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60" windowWidth="15480" windowHeight="8445" tabRatio="772" activeTab="1"/>
  </bookViews>
  <sheets>
    <sheet name="Rate Rider Calc" sheetId="1" r:id="rId1"/>
    <sheet name="SSM Summary" sheetId="2" r:id="rId2"/>
    <sheet name="LRAM Summary" sheetId="3" r:id="rId3"/>
    <sheet name="Eligible CDM Programs" sheetId="4" r:id="rId4"/>
    <sheet name="GrossNet kWh_kW Savings" sheetId="5" r:id="rId5"/>
    <sheet name="Carrying Charges" sheetId="6" r:id="rId6"/>
    <sheet name="LRAM 2005" sheetId="7" r:id="rId7"/>
    <sheet name="LRAM 2006" sheetId="8" r:id="rId8"/>
    <sheet name="LRAM 2007" sheetId="9" r:id="rId9"/>
    <sheet name="SSM 2005" sheetId="10" r:id="rId10"/>
    <sheet name="SSM 2006" sheetId="11" r:id="rId11"/>
    <sheet name="SSM 2007" sheetId="12" r:id="rId12"/>
  </sheets>
  <externalReferences>
    <externalReference r:id="rId13"/>
    <externalReference r:id="rId14"/>
    <externalReference r:id="rId15"/>
    <externalReference r:id="rId16"/>
  </externalReferences>
  <definedNames>
    <definedName name="_xlnm.Print_Area" localSheetId="2">'LRAM Summary'!$A$1:$G$41</definedName>
    <definedName name="_xlnm.Print_Area" localSheetId="11">'SSM 2007'!$A$1:$S$32</definedName>
    <definedName name="Z_79BD26C1_CFC5_4DF6_B35F_C5F18E7B1C41_.wvu.Cols" localSheetId="9" hidden="1">'SSM 2005'!$H:$I</definedName>
    <definedName name="Z_79BD26C1_CFC5_4DF6_B35F_C5F18E7B1C41_.wvu.Cols" localSheetId="11" hidden="1">'SSM 2007'!$H:$I</definedName>
    <definedName name="Z_79BD26C1_CFC5_4DF6_B35F_C5F18E7B1C41_.wvu.PrintArea" localSheetId="2" hidden="1">'LRAM Summary'!$A$1:$G$41</definedName>
    <definedName name="Z_79BD26C1_CFC5_4DF6_B35F_C5F18E7B1C41_.wvu.PrintArea" localSheetId="11" hidden="1">'SSM 2007'!$A$1:$S$32</definedName>
  </definedNames>
  <calcPr calcId="125725"/>
  <customWorkbookViews>
    <customWorkbookView name="Steve Zebrowski - Personal View" guid="{79BD26C1-CFC5-4DF6-B35F-C5F18E7B1C41}" mergeInterval="0" personalView="1" maximized="1" xWindow="1" yWindow="1" windowWidth="1024" windowHeight="501" tabRatio="772" activeSheetId="12"/>
  </customWorkbookViews>
</workbook>
</file>

<file path=xl/calcChain.xml><?xml version="1.0" encoding="utf-8"?>
<calcChain xmlns="http://schemas.openxmlformats.org/spreadsheetml/2006/main">
  <c r="G25" i="2"/>
  <c r="G33"/>
  <c r="G31"/>
  <c r="G27"/>
  <c r="C33"/>
  <c r="C31"/>
  <c r="C27"/>
  <c r="C25"/>
  <c r="G9"/>
  <c r="C9"/>
  <c r="G7"/>
  <c r="C7"/>
  <c r="C6"/>
  <c r="L8" i="12"/>
  <c r="J8" i="10"/>
  <c r="C6" i="3"/>
  <c r="C24" s="1"/>
  <c r="C31" s="1"/>
  <c r="E5" i="5"/>
  <c r="E7" s="1"/>
  <c r="K6" i="8"/>
  <c r="G6"/>
  <c r="G5"/>
  <c r="D31" i="2"/>
  <c r="H31"/>
  <c r="H25"/>
  <c r="D25"/>
  <c r="F12" i="1"/>
  <c r="D12"/>
  <c r="G15" i="5"/>
  <c r="F15" s="1"/>
  <c r="H15" s="1"/>
  <c r="G14"/>
  <c r="E16" i="3" s="1"/>
  <c r="G11" i="5"/>
  <c r="F11" s="1"/>
  <c r="E14"/>
  <c r="E15" i="3" s="1"/>
  <c r="E17" s="1"/>
  <c r="E11" i="5"/>
  <c r="E11" i="3" s="1"/>
  <c r="J18" i="9"/>
  <c r="J17"/>
  <c r="J16"/>
  <c r="J15"/>
  <c r="J14"/>
  <c r="J13"/>
  <c r="J12"/>
  <c r="J11"/>
  <c r="J10"/>
  <c r="K16" i="8"/>
  <c r="K15"/>
  <c r="G4" i="5"/>
  <c r="F4" s="1"/>
  <c r="F6" s="1"/>
  <c r="C4"/>
  <c r="B4" s="1"/>
  <c r="J5" i="9"/>
  <c r="K5" i="8"/>
  <c r="E4" i="5" s="1"/>
  <c r="L5" i="7"/>
  <c r="I19" i="9"/>
  <c r="I20"/>
  <c r="I5"/>
  <c r="C6"/>
  <c r="H6" s="1"/>
  <c r="I6" s="1"/>
  <c r="C7" i="3"/>
  <c r="C5"/>
  <c r="C4"/>
  <c r="C9" s="1"/>
  <c r="C27" s="1"/>
  <c r="C34" s="1"/>
  <c r="C23"/>
  <c r="C30" s="1"/>
  <c r="G10"/>
  <c r="G11"/>
  <c r="G12"/>
  <c r="F13"/>
  <c r="G13"/>
  <c r="G14"/>
  <c r="G15"/>
  <c r="G16"/>
  <c r="F17"/>
  <c r="G17"/>
  <c r="G18"/>
  <c r="G19"/>
  <c r="G20"/>
  <c r="F21"/>
  <c r="G21"/>
  <c r="E22"/>
  <c r="F22"/>
  <c r="F23"/>
  <c r="F25"/>
  <c r="F26"/>
  <c r="D7"/>
  <c r="D25" s="1"/>
  <c r="D5"/>
  <c r="D23" s="1"/>
  <c r="D4"/>
  <c r="D22" s="1"/>
  <c r="C25"/>
  <c r="C32" s="1"/>
  <c r="C22"/>
  <c r="C29" s="1"/>
  <c r="F28" i="2"/>
  <c r="E28"/>
  <c r="D6"/>
  <c r="D24" s="1"/>
  <c r="D5"/>
  <c r="D23" s="1"/>
  <c r="D4"/>
  <c r="D22" s="1"/>
  <c r="D26" s="1"/>
  <c r="C24"/>
  <c r="C5"/>
  <c r="C23" s="1"/>
  <c r="C4"/>
  <c r="C22" s="1"/>
  <c r="L12" i="1"/>
  <c r="G12"/>
  <c r="E12"/>
  <c r="I12" s="1"/>
  <c r="C12"/>
  <c r="B12"/>
  <c r="H12"/>
  <c r="F36" i="6"/>
  <c r="F34"/>
  <c r="B32"/>
  <c r="F32"/>
  <c r="I18"/>
  <c r="C30"/>
  <c r="B30"/>
  <c r="F30"/>
  <c r="H18"/>
  <c r="B20"/>
  <c r="B24"/>
  <c r="L18"/>
  <c r="K18"/>
  <c r="J18"/>
  <c r="D14"/>
  <c r="C14"/>
  <c r="B14"/>
  <c r="K12"/>
  <c r="E12"/>
  <c r="J11"/>
  <c r="E11"/>
  <c r="E14" s="1"/>
  <c r="J10"/>
  <c r="I10"/>
  <c r="C20"/>
  <c r="E10"/>
  <c r="S28" i="12"/>
  <c r="Q20" i="11"/>
  <c r="J18" i="8"/>
  <c r="E16" i="5"/>
  <c r="C16"/>
  <c r="B16"/>
  <c r="I15"/>
  <c r="I14"/>
  <c r="I11"/>
  <c r="G20" i="4"/>
  <c r="G19"/>
  <c r="G16"/>
  <c r="G15"/>
  <c r="G14"/>
  <c r="G13"/>
  <c r="G11"/>
  <c r="G9"/>
  <c r="G8"/>
  <c r="G7"/>
  <c r="G6"/>
  <c r="G5"/>
  <c r="H20" i="2"/>
  <c r="G20"/>
  <c r="H19"/>
  <c r="G19"/>
  <c r="H18"/>
  <c r="G18"/>
  <c r="H16"/>
  <c r="G16"/>
  <c r="H15"/>
  <c r="G15"/>
  <c r="H14"/>
  <c r="G14"/>
  <c r="H12"/>
  <c r="G12"/>
  <c r="H11"/>
  <c r="G11"/>
  <c r="H10"/>
  <c r="G10"/>
  <c r="H5"/>
  <c r="H29" s="1"/>
  <c r="G6"/>
  <c r="G30" s="1"/>
  <c r="G4"/>
  <c r="G28" s="1"/>
  <c r="F24"/>
  <c r="E24"/>
  <c r="E23"/>
  <c r="F23"/>
  <c r="F22"/>
  <c r="F26"/>
  <c r="E22"/>
  <c r="E26"/>
  <c r="F21"/>
  <c r="H21"/>
  <c r="E21"/>
  <c r="G21"/>
  <c r="F17"/>
  <c r="H17"/>
  <c r="E17"/>
  <c r="G17"/>
  <c r="F13"/>
  <c r="H13"/>
  <c r="E13"/>
  <c r="G13"/>
  <c r="C8"/>
  <c r="G8" s="1"/>
  <c r="G32" s="1"/>
  <c r="I20" i="6"/>
  <c r="K10"/>
  <c r="D20"/>
  <c r="K11"/>
  <c r="L12"/>
  <c r="E22" s="1"/>
  <c r="J14"/>
  <c r="H20"/>
  <c r="C21"/>
  <c r="I21" s="1"/>
  <c r="D22"/>
  <c r="J22" s="1"/>
  <c r="I14"/>
  <c r="J20"/>
  <c r="L11"/>
  <c r="E21"/>
  <c r="H24"/>
  <c r="K14"/>
  <c r="L10"/>
  <c r="L14"/>
  <c r="C24"/>
  <c r="D21"/>
  <c r="J21" s="1"/>
  <c r="E20"/>
  <c r="D24"/>
  <c r="K21"/>
  <c r="L21"/>
  <c r="K20"/>
  <c r="L20"/>
  <c r="M20"/>
  <c r="G7" i="3"/>
  <c r="G4"/>
  <c r="G5"/>
  <c r="C8" l="1"/>
  <c r="C26" s="1"/>
  <c r="C33" s="1"/>
  <c r="I5" i="5"/>
  <c r="I7" s="1"/>
  <c r="D5"/>
  <c r="D7" s="1"/>
  <c r="I13" i="1"/>
  <c r="J13" s="1"/>
  <c r="D9" i="2"/>
  <c r="I16" i="5"/>
  <c r="D4"/>
  <c r="D6" s="1"/>
  <c r="E6"/>
  <c r="J12" i="1"/>
  <c r="M12" s="1"/>
  <c r="D8" i="2"/>
  <c r="H8" s="1"/>
  <c r="H32" s="1"/>
  <c r="G5"/>
  <c r="G29" s="1"/>
  <c r="H4"/>
  <c r="H28" s="1"/>
  <c r="H6"/>
  <c r="H30" s="1"/>
  <c r="D8" i="3"/>
  <c r="G8" s="1"/>
  <c r="G16" i="5"/>
  <c r="G6"/>
  <c r="G23" i="2"/>
  <c r="C29"/>
  <c r="H22"/>
  <c r="D28"/>
  <c r="H24"/>
  <c r="D30"/>
  <c r="E23" i="3"/>
  <c r="G22" i="2"/>
  <c r="C26"/>
  <c r="C28"/>
  <c r="G24"/>
  <c r="C30"/>
  <c r="D29"/>
  <c r="H23"/>
  <c r="G22" i="3"/>
  <c r="D29"/>
  <c r="G29" s="1"/>
  <c r="I4" i="5"/>
  <c r="D14"/>
  <c r="F14"/>
  <c r="F16" s="1"/>
  <c r="E12" i="3"/>
  <c r="E20"/>
  <c r="E21" s="1"/>
  <c r="C6" i="5"/>
  <c r="D11"/>
  <c r="L22" i="6"/>
  <c r="E24"/>
  <c r="K22"/>
  <c r="K24" s="1"/>
  <c r="M22"/>
  <c r="J24"/>
  <c r="L24"/>
  <c r="M21"/>
  <c r="I24"/>
  <c r="I6" i="5"/>
  <c r="H4"/>
  <c r="H6" s="1"/>
  <c r="B6"/>
  <c r="G25" i="3"/>
  <c r="D32"/>
  <c r="G32" s="1"/>
  <c r="D26"/>
  <c r="G26" s="1"/>
  <c r="G23"/>
  <c r="D30"/>
  <c r="H5" i="5" l="1"/>
  <c r="H7" s="1"/>
  <c r="H27" i="2"/>
  <c r="D27"/>
  <c r="D33" s="1"/>
  <c r="H33" s="1"/>
  <c r="H9"/>
  <c r="C32"/>
  <c r="G26"/>
  <c r="H26"/>
  <c r="D32"/>
  <c r="E25" i="3"/>
  <c r="E26" s="1"/>
  <c r="H14" i="5"/>
  <c r="E13" i="3"/>
  <c r="H11" i="5"/>
  <c r="D16"/>
  <c r="M24" i="6"/>
  <c r="G30" i="3"/>
  <c r="D33"/>
  <c r="G33" s="1"/>
  <c r="H16" i="5" l="1"/>
</calcChain>
</file>

<file path=xl/comments1.xml><?xml version="1.0" encoding="utf-8"?>
<comments xmlns="http://schemas.openxmlformats.org/spreadsheetml/2006/main">
  <authors>
    <author>Melinda Clarke</author>
  </authors>
  <commentList>
    <comment ref="C7" authorId="0">
      <text>
        <r>
          <rPr>
            <b/>
            <sz val="9"/>
            <color indexed="81"/>
            <rFont val="Arial"/>
            <family val="2"/>
          </rPr>
          <t>Melinda Clarke:</t>
        </r>
        <r>
          <rPr>
            <sz val="9"/>
            <color indexed="81"/>
            <rFont val="Arial"/>
            <family val="2"/>
          </rPr>
          <t xml:space="preserve">
kWh savings for this program occur during the summer months.  An effective factor of 1 was deemed appropriate for this program.</t>
        </r>
      </text>
    </comment>
    <comment ref="B8" authorId="0">
      <text>
        <r>
          <rPr>
            <b/>
            <sz val="9"/>
            <color indexed="81"/>
            <rFont val="Arial"/>
            <family val="2"/>
          </rPr>
          <t xml:space="preserve">Melinda Clarke:
2007 WHT Program was a continuation of th 2006 WHT program.   The 2007 prgram ended Aug 24, 2007.
 </t>
        </r>
        <r>
          <rPr>
            <sz val="9"/>
            <color indexed="81"/>
            <rFont val="Arial"/>
            <family val="2"/>
          </rPr>
          <t xml:space="preserve">
</t>
        </r>
      </text>
    </comment>
    <comment ref="C8" authorId="0">
      <text>
        <r>
          <rPr>
            <b/>
            <sz val="9"/>
            <color indexed="81"/>
            <rFont val="Arial"/>
            <family val="2"/>
          </rPr>
          <t>Melinda Clarke:</t>
        </r>
        <r>
          <rPr>
            <sz val="9"/>
            <color indexed="81"/>
            <rFont val="Arial"/>
            <family val="2"/>
          </rPr>
          <t xml:space="preserve">
2007 WHT Program was a continuation of th 2006 WHT program.   The 2007 prgram ended Aug 24, 2007.</t>
        </r>
      </text>
    </comment>
    <comment ref="C9" authorId="0">
      <text>
        <r>
          <rPr>
            <b/>
            <sz val="9"/>
            <color indexed="81"/>
            <rFont val="Arial"/>
            <family val="2"/>
          </rPr>
          <t>Melinda Clarke:</t>
        </r>
        <r>
          <rPr>
            <sz val="9"/>
            <color indexed="81"/>
            <rFont val="Arial"/>
            <family val="2"/>
          </rPr>
          <t xml:space="preserve">
kWh savings for this program occur during the summer months.  An effective factor of 1 was deemed appropriate for this program.</t>
        </r>
      </text>
    </comment>
  </commentList>
</comments>
</file>

<file path=xl/sharedStrings.xml><?xml version="1.0" encoding="utf-8"?>
<sst xmlns="http://schemas.openxmlformats.org/spreadsheetml/2006/main" count="574" uniqueCount="191">
  <si>
    <t>Program</t>
  </si>
  <si>
    <t>Year</t>
  </si>
  <si>
    <t>RESIDENTIAL</t>
  </si>
  <si>
    <t>TRC Net Benefits</t>
  </si>
  <si>
    <t>SSM Incentive</t>
  </si>
  <si>
    <t>GS &gt; 50</t>
  </si>
  <si>
    <t>TOTAL SAVINGS</t>
  </si>
  <si>
    <t>Program Sub Total</t>
  </si>
  <si>
    <t>Fall Retail Campaign</t>
  </si>
  <si>
    <t>CFL Distribution</t>
  </si>
  <si>
    <t>Every Kilowatt Counts</t>
  </si>
  <si>
    <t>Fall Campaign</t>
  </si>
  <si>
    <t>Keep Cool</t>
  </si>
  <si>
    <t>Spring Campaign</t>
  </si>
  <si>
    <t>The Great Exchange</t>
  </si>
  <si>
    <t>Water Heater Tune-up</t>
  </si>
  <si>
    <t>Switch to Cold Water Wash</t>
  </si>
  <si>
    <t>Peaksaver</t>
  </si>
  <si>
    <t>GRAND TOTALS</t>
  </si>
  <si>
    <t>SUMMARY BY YEAR</t>
  </si>
  <si>
    <t>Leveraging Energy Conservation &amp; Load Management</t>
  </si>
  <si>
    <t>Distributed Energy</t>
  </si>
  <si>
    <t>Commercial DR</t>
  </si>
  <si>
    <t>TOTALS BY YEAR</t>
  </si>
  <si>
    <t>including Carrying Charges</t>
  </si>
  <si>
    <t>KWH Savings</t>
  </si>
  <si>
    <t>LRAM</t>
  </si>
  <si>
    <t>KW Savings</t>
  </si>
  <si>
    <t>Program Name</t>
  </si>
  <si>
    <t>Duration</t>
  </si>
  <si>
    <t>Participation Levels</t>
  </si>
  <si>
    <t>Free Ridership Level</t>
  </si>
  <si>
    <t>Total</t>
  </si>
  <si>
    <t>Rate Class</t>
  </si>
  <si>
    <t>Residential</t>
  </si>
  <si>
    <t>2005-2007</t>
  </si>
  <si>
    <t>2006-2007</t>
  </si>
  <si>
    <t>5% and 10%</t>
  </si>
  <si>
    <t>2005 kWh</t>
  </si>
  <si>
    <t>Gross</t>
  </si>
  <si>
    <t>2006 kWh</t>
  </si>
  <si>
    <t>2007 kWh</t>
  </si>
  <si>
    <t>Total kWh</t>
  </si>
  <si>
    <t>Net</t>
  </si>
  <si>
    <t>GS &gt; 50 kW</t>
  </si>
  <si>
    <t>2005 kW</t>
  </si>
  <si>
    <t>2006 kW</t>
  </si>
  <si>
    <t>2007 kW</t>
  </si>
  <si>
    <t>Total kW</t>
  </si>
  <si>
    <t>n/a</t>
  </si>
  <si>
    <t>-</t>
  </si>
  <si>
    <t>TRC Inputs</t>
  </si>
  <si>
    <t>Program Savings</t>
  </si>
  <si>
    <t>TRC Results (NPV)</t>
  </si>
  <si>
    <t>Program Start Date</t>
  </si>
  <si>
    <t>2005 Program Duration</t>
  </si>
  <si>
    <t>Utility Program Costs (net of incentives)</t>
  </si>
  <si>
    <t>Incentives</t>
  </si>
  <si>
    <t>Total CDM Funding (spent in 2005)</t>
  </si>
  <si>
    <t>kWh Savings</t>
  </si>
  <si>
    <t>kW Savings</t>
  </si>
  <si>
    <t>Customer Equipment Costs (net)</t>
  </si>
  <si>
    <t xml:space="preserve"> TRC Costs</t>
  </si>
  <si>
    <t xml:space="preserve"> TRC Benefits</t>
  </si>
  <si>
    <t xml:space="preserve">TRC Net Benefits </t>
  </si>
  <si>
    <t>TRC Benefit Cost Ratio</t>
  </si>
  <si>
    <t>SSM</t>
  </si>
  <si>
    <t>Co-Branded Mass Markets</t>
  </si>
  <si>
    <t xml:space="preserve"> </t>
  </si>
  <si>
    <t>2 months</t>
  </si>
  <si>
    <t>12 months</t>
  </si>
  <si>
    <t>Cold Water Wash Campaign</t>
  </si>
  <si>
    <t>3 months</t>
  </si>
  <si>
    <t>OTHER SUPPORT COSTS</t>
  </si>
  <si>
    <t>TOTAL</t>
  </si>
  <si>
    <t>Partially Effective Factor</t>
  </si>
  <si>
    <t>2005 Distribution Rates</t>
  </si>
  <si>
    <t>2006 Distribution Rates</t>
  </si>
  <si>
    <t>2007 Distribution Rates</t>
  </si>
  <si>
    <t>Fully Effective kWh Savings</t>
  </si>
  <si>
    <t>Fully Effective kW Savings</t>
  </si>
  <si>
    <t>Partially Effective 2005 kWh Savings</t>
  </si>
  <si>
    <t>Partially Effective 2006 kWh Savings</t>
  </si>
  <si>
    <t>General Service &gt;50 kW</t>
  </si>
  <si>
    <t>2006 Program Duration</t>
  </si>
  <si>
    <t>1 month</t>
  </si>
  <si>
    <t>OPA EKC Spring Campaign</t>
  </si>
  <si>
    <t>Apr 23 2006</t>
  </si>
  <si>
    <t>4 months</t>
  </si>
  <si>
    <t>OPA EKC Fall Campaign</t>
  </si>
  <si>
    <t>Oct 1 2006</t>
  </si>
  <si>
    <t>Oct 26 2006</t>
  </si>
  <si>
    <t>Water Heater Tune Up</t>
  </si>
  <si>
    <t>June 5 2006</t>
  </si>
  <si>
    <t>7 months</t>
  </si>
  <si>
    <t>Nov 7 2006</t>
  </si>
  <si>
    <t>Over 50 kW Leveraging Energy Conservation &amp; Load Management</t>
  </si>
  <si>
    <t>2007 Program Duration</t>
  </si>
  <si>
    <t>6 months</t>
  </si>
  <si>
    <t>0.5 months</t>
  </si>
  <si>
    <t>8 months</t>
  </si>
  <si>
    <t>Customer 1</t>
  </si>
  <si>
    <t>Customer 2</t>
  </si>
  <si>
    <t>Customer 3</t>
  </si>
  <si>
    <t>Customer 4</t>
  </si>
  <si>
    <t>Customer 5</t>
  </si>
  <si>
    <t>Customer 6</t>
  </si>
  <si>
    <t>Partially Effective 2007 kWh Savings</t>
  </si>
  <si>
    <t>Table 2: Shared Saving Mechanism (SSM) Summary for the Years 2005 to 2007</t>
  </si>
  <si>
    <t>Table 3: Lost Revenue Adjustment Mechanism (LRAM) Savings by Program and Class for 2005 to 2007</t>
  </si>
  <si>
    <t>Table 4: CDM Programs Eligible for LRAM and SSM</t>
  </si>
  <si>
    <t>Table 5: Gross and Net kWh/kW Savings</t>
  </si>
  <si>
    <t>Participants/ Projects</t>
  </si>
  <si>
    <t>Table 7A: 2005 CDM Results - LRAM Calculation</t>
  </si>
  <si>
    <t>Table 7B: 2006 CDM Results - LRAM Calculation</t>
  </si>
  <si>
    <t>Table 7C: 2007 CDM Results - LRAM Calculation</t>
  </si>
  <si>
    <t>Table 8A: 2005 CDM Results - SSM Calculation</t>
  </si>
  <si>
    <t>Table 8B: 2006 CDM Results - SSM Calculation</t>
  </si>
  <si>
    <t>Table 8C: 2007 CDM Results - SSM Calculation</t>
  </si>
  <si>
    <t>Total Less GS &gt; 50kW Programs</t>
  </si>
  <si>
    <t>LESS GS &gt; 50 PROGRAMS</t>
  </si>
  <si>
    <t>CDM Program</t>
  </si>
  <si>
    <t>LRAM Additions per Year</t>
  </si>
  <si>
    <t>LRAM Year End Balances</t>
  </si>
  <si>
    <t>Start Year</t>
  </si>
  <si>
    <t>Interest Calculations</t>
  </si>
  <si>
    <t>LRAM Average Balance</t>
  </si>
  <si>
    <t>Rate</t>
  </si>
  <si>
    <t>Interest Rate Calculations</t>
  </si>
  <si>
    <t>Jan '05</t>
  </si>
  <si>
    <t>Dec '05</t>
  </si>
  <si>
    <t>2005 Average</t>
  </si>
  <si>
    <t>Q1-2006</t>
  </si>
  <si>
    <t>Q2-2006</t>
  </si>
  <si>
    <t>Q3-2006</t>
  </si>
  <si>
    <t>Q4-2006</t>
  </si>
  <si>
    <t>2006 Average</t>
  </si>
  <si>
    <t>Q1-2007</t>
  </si>
  <si>
    <t>Q2-2007</t>
  </si>
  <si>
    <t>Q3-2007</t>
  </si>
  <si>
    <t>Q4-2007</t>
  </si>
  <si>
    <t>2007 Average</t>
  </si>
  <si>
    <t>Q1-2008</t>
  </si>
  <si>
    <t>Q2-2008</t>
  </si>
  <si>
    <t>Q3-2008</t>
  </si>
  <si>
    <t>Q4-2008</t>
  </si>
  <si>
    <t>2008 Average</t>
  </si>
  <si>
    <t>Notes:</t>
  </si>
  <si>
    <t>LRAM/SSM TOTALS BY RATE CLASS AND RATE RIDERS</t>
  </si>
  <si>
    <t>Billing Unit</t>
  </si>
  <si>
    <t xml:space="preserve">2007 Billed Units </t>
  </si>
  <si>
    <t>Rate Rider</t>
  </si>
  <si>
    <t xml:space="preserve">Residential </t>
  </si>
  <si>
    <t>kWh</t>
  </si>
  <si>
    <t>TABLE 1:</t>
  </si>
  <si>
    <t>TABLE 6:  LRAM CARRYING CHARGES</t>
  </si>
  <si>
    <t>1) TRC (Total Resource Cost) benefits are based on the approved measures and calculations as defined by the OEB's October 2, 2006 TRC Cost Guide</t>
  </si>
  <si>
    <t>2) Program savings have been prorated in the initial year based on the start date.</t>
  </si>
  <si>
    <t>3) LRAM amounts for programs applicable to GS&gt;50 kw have not been reduced by the estimated transformer allowance</t>
  </si>
  <si>
    <t>4) LRAM amounts for programs applicable to GS&gt;50 kw have been ommitted from Total LRAM Savings</t>
  </si>
  <si>
    <t>1) This table shows the accumulative gross and net kWh and kW savings for the various CDM programs in the period 2005 to 2007 inclusive.  Gross savings includes any partial year reduction factor.</t>
  </si>
  <si>
    <t>1) Participation level refers to the number of customers or units for the various CDM programs above.   Qualification of programs are based on the TRC guide and are filed with the OEB CDM annual report.</t>
  </si>
  <si>
    <t xml:space="preserve">3) Columns labeled 2005 reflect calculated savings based on the start date in 2005 plus the full year savings for both 2006 and 2007.  Columns labeled 2006 reflect calculated savings based on start date in 2006 plus full year savings for 2007.  Columns labeled 2007 reflect calculated partial year savings based on start date in 2007.  </t>
  </si>
  <si>
    <t>2) Free ridership levels are determined by individual program.</t>
  </si>
  <si>
    <t>2) The new savings are after the "free riders" quantities have been deducted and partial year reduction factor has been applied.  Free ridership is defined as a program participant who would have installed a measure on their own initiative without the program.</t>
  </si>
  <si>
    <t>Free Ridership</t>
  </si>
  <si>
    <t>2) SSM incentive amounts for programs applicable to GS&gt;50 kw have been ommitted from Total SSM Incentive</t>
  </si>
  <si>
    <t>1)  Carrying charges calculated on simple interest basis</t>
  </si>
  <si>
    <t>2)  Programs starting in 2005 are assumed to have started Oct 1/05 and savings accrued evenly over the period to Dec 31/07</t>
  </si>
  <si>
    <t>3)  Programs starting in 2006 are assumed to have started June 1/06 and savings accrued evenly over the period to Dec 31/07</t>
  </si>
  <si>
    <t>4)  Programs starting in 2007 are assumed to have started January 1/07 and savings accrued evenly over the period to Dec 31/07</t>
  </si>
  <si>
    <t>5)  Interest rates are those prescribed by the OEB for Approved Deferral and Variance Accounts for Q2-2006 through to Q4-2008</t>
  </si>
  <si>
    <t>6)  Interest rates for Q1-2006 and 2005 have been calculated using the Bankers' Acceptances-3 months rate Plus 0.25 Spread - source: Bank of Canada monthly series</t>
  </si>
  <si>
    <t>7)  Interest rate for Q1-2009 are assumed to be unchanged from Q4-2008</t>
  </si>
  <si>
    <t>8)  All carrying charges are applicable only to programs associated with the Residential class</t>
  </si>
  <si>
    <t>Note:</t>
  </si>
  <si>
    <t xml:space="preserve">1) Certain programs are comprised of several technologies, each with it's own Board approved free ridership level.  As such, certain programs may be shown with multiple free ridership levels.  </t>
  </si>
  <si>
    <t>1) The kWh amounts shown above for each year represent savings that occurred from the start of the program to then end of 2007.</t>
  </si>
  <si>
    <t>3 year kWh Accum.</t>
  </si>
  <si>
    <t>2 year kWh/kW Accum.</t>
  </si>
  <si>
    <t>Annual kWh/kW Accum.</t>
  </si>
  <si>
    <t xml:space="preserve">3) This rate rider is to be applied to all residential rate classes </t>
  </si>
  <si>
    <t>1) 2007 Billed Units - Source: 2007 PBR data filing</t>
  </si>
  <si>
    <t>2) LRAM amounts include carrying charges</t>
  </si>
  <si>
    <t>3) Leveraging Energy Conservation &amp; Load Management program includes prescriptive PBIP projects.</t>
  </si>
  <si>
    <r>
      <t>Leveraging Energy Conservation &amp; Load Management</t>
    </r>
    <r>
      <rPr>
        <b/>
        <vertAlign val="superscript"/>
        <sz val="10"/>
        <color theme="1"/>
        <rFont val="Garamond"/>
        <family val="1"/>
      </rPr>
      <t>3</t>
    </r>
  </si>
  <si>
    <t>2005
Program Amounts</t>
  </si>
  <si>
    <t>Combined
Total</t>
  </si>
  <si>
    <t>2006
Program Amounts</t>
  </si>
  <si>
    <t>2007
Program Amounts</t>
  </si>
  <si>
    <r>
      <t xml:space="preserve">5) Table 6 shows the calculations of carrying charges which amounted to </t>
    </r>
    <r>
      <rPr>
        <strike/>
        <sz val="12"/>
        <color rgb="FFFF0000"/>
        <rFont val="Garamond"/>
        <family val="1"/>
      </rPr>
      <t>$20,082</t>
    </r>
    <r>
      <rPr>
        <sz val="12"/>
        <color rgb="FFFF0000"/>
        <rFont val="Garamond"/>
        <family val="1"/>
      </rPr>
      <t xml:space="preserve"> $21,250</t>
    </r>
  </si>
</sst>
</file>

<file path=xl/styles.xml><?xml version="1.0" encoding="utf-8"?>
<styleSheet xmlns="http://schemas.openxmlformats.org/spreadsheetml/2006/main">
  <numFmts count="14">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0_);\(&quot;$&quot;#,##0.0\)"/>
    <numFmt numFmtId="165" formatCode="0.0"/>
    <numFmt numFmtId="166" formatCode="_-&quot;$&quot;* #,##0_-;\-&quot;$&quot;* #,##0_-;_-&quot;$&quot;* &quot;-&quot;??_-;_-@_-"/>
    <numFmt numFmtId="167" formatCode="_-* #,##0_-;\-* #,##0_-;_-* &quot;-&quot;??_-;_-@_-"/>
    <numFmt numFmtId="168" formatCode="_-* #,##0.00_-;\-* #,##0.00_-;_-* &quot;-&quot;??_-;_-@_-"/>
    <numFmt numFmtId="169" formatCode="_-&quot;$&quot;* #,##0.0000_-;\-&quot;$&quot;* #,##0.0000_-;_-&quot;$&quot;* &quot;-&quot;??_-;_-@_-"/>
    <numFmt numFmtId="170" formatCode="_(* #,##0_);_(* \(#,##0\);_(* &quot;-&quot;??_);_(@_)"/>
    <numFmt numFmtId="171" formatCode="d\-mmm\-yyyy"/>
    <numFmt numFmtId="172" formatCode="_(&quot;$&quot;* #,##0_);_(&quot;$&quot;* \(#,##0\);_(&quot;$&quot;* &quot;-&quot;??_);_(@_)"/>
    <numFmt numFmtId="173" formatCode="_(&quot;$&quot;* #,##0.0000_);_(&quot;$&quot;* \(#,##0.0000\);_(&quot;$&quot;* &quot;-&quot;??_);_(@_)"/>
  </numFmts>
  <fonts count="37">
    <font>
      <sz val="11"/>
      <color theme="1"/>
      <name val="Calibri"/>
      <family val="2"/>
      <scheme val="minor"/>
    </font>
    <font>
      <sz val="10"/>
      <name val="Arial"/>
      <family val="2"/>
    </font>
    <font>
      <b/>
      <sz val="9"/>
      <color indexed="81"/>
      <name val="Arial"/>
      <family val="2"/>
    </font>
    <font>
      <sz val="9"/>
      <color indexed="81"/>
      <name val="Arial"/>
      <family val="2"/>
    </font>
    <font>
      <b/>
      <sz val="10"/>
      <name val="Garamond"/>
      <family val="1"/>
    </font>
    <font>
      <sz val="10"/>
      <name val="Garamond"/>
      <family val="1"/>
    </font>
    <font>
      <b/>
      <sz val="11"/>
      <name val="Garamond"/>
      <family val="1"/>
    </font>
    <font>
      <sz val="11"/>
      <name val="Garamond"/>
      <family val="1"/>
    </font>
    <font>
      <b/>
      <u/>
      <sz val="11"/>
      <name val="Garamond"/>
      <family val="1"/>
    </font>
    <font>
      <sz val="11"/>
      <color theme="1"/>
      <name val="Calibri"/>
      <family val="2"/>
      <scheme val="minor"/>
    </font>
    <font>
      <sz val="10"/>
      <color theme="1"/>
      <name val="Garamond"/>
      <family val="1"/>
    </font>
    <font>
      <b/>
      <sz val="10"/>
      <color theme="1"/>
      <name val="Garamond"/>
      <family val="1"/>
    </font>
    <font>
      <sz val="11"/>
      <color theme="1"/>
      <name val="Garamond"/>
      <family val="1"/>
    </font>
    <font>
      <b/>
      <sz val="11"/>
      <color theme="1"/>
      <name val="Garamond"/>
      <family val="1"/>
    </font>
    <font>
      <b/>
      <sz val="13"/>
      <color theme="1"/>
      <name val="Garamond"/>
      <family val="1"/>
    </font>
    <font>
      <sz val="13"/>
      <color theme="1"/>
      <name val="Calibri"/>
      <family val="2"/>
      <scheme val="minor"/>
    </font>
    <font>
      <b/>
      <i/>
      <sz val="11"/>
      <color theme="1"/>
      <name val="Garamond"/>
      <family val="1"/>
    </font>
    <font>
      <i/>
      <sz val="10"/>
      <color theme="1"/>
      <name val="Garamond"/>
      <family val="1"/>
    </font>
    <font>
      <sz val="8"/>
      <color theme="1"/>
      <name val="Garamond"/>
      <family val="1"/>
    </font>
    <font>
      <b/>
      <u/>
      <sz val="8"/>
      <color theme="1"/>
      <name val="Garamond"/>
      <family val="1"/>
    </font>
    <font>
      <b/>
      <u/>
      <sz val="11"/>
      <color theme="1"/>
      <name val="Garamond"/>
      <family val="1"/>
    </font>
    <font>
      <b/>
      <vertAlign val="superscript"/>
      <sz val="10"/>
      <color theme="1"/>
      <name val="Garamond"/>
      <family val="1"/>
    </font>
    <font>
      <sz val="12"/>
      <color theme="1"/>
      <name val="Garamond"/>
      <family val="1"/>
    </font>
    <font>
      <sz val="12"/>
      <color theme="1"/>
      <name val="Calibri"/>
      <family val="2"/>
      <scheme val="minor"/>
    </font>
    <font>
      <b/>
      <sz val="12"/>
      <color theme="1"/>
      <name val="Garamond"/>
      <family val="1"/>
    </font>
    <font>
      <b/>
      <u/>
      <sz val="12"/>
      <color theme="1"/>
      <name val="Garamond"/>
      <family val="1"/>
    </font>
    <font>
      <b/>
      <sz val="14"/>
      <color theme="1"/>
      <name val="Garamond"/>
      <family val="1"/>
    </font>
    <font>
      <b/>
      <i/>
      <sz val="12"/>
      <color theme="1"/>
      <name val="Garamond"/>
      <family val="1"/>
    </font>
    <font>
      <strike/>
      <sz val="11"/>
      <color rgb="FFFF0000"/>
      <name val="Garamond"/>
      <family val="1"/>
    </font>
    <font>
      <sz val="11"/>
      <color rgb="FFFF0000"/>
      <name val="Garamond"/>
      <family val="1"/>
    </font>
    <font>
      <b/>
      <sz val="11"/>
      <color rgb="FFFF0000"/>
      <name val="Garamond"/>
      <family val="1"/>
    </font>
    <font>
      <b/>
      <strike/>
      <sz val="11"/>
      <color rgb="FFFF0000"/>
      <name val="Garamond"/>
      <family val="1"/>
    </font>
    <font>
      <strike/>
      <sz val="12"/>
      <color rgb="FFFF0000"/>
      <name val="Garamond"/>
      <family val="1"/>
    </font>
    <font>
      <sz val="12"/>
      <color rgb="FFFF0000"/>
      <name val="Garamond"/>
      <family val="1"/>
    </font>
    <font>
      <b/>
      <sz val="12"/>
      <color rgb="FFFF0000"/>
      <name val="Garamond"/>
      <family val="1"/>
    </font>
    <font>
      <b/>
      <strike/>
      <sz val="12"/>
      <color rgb="FFFF0000"/>
      <name val="Garamond"/>
      <family val="1"/>
    </font>
    <font>
      <sz val="12"/>
      <name val="Garamond"/>
      <family val="1"/>
    </font>
  </fonts>
  <fills count="3">
    <fill>
      <patternFill patternType="none"/>
    </fill>
    <fill>
      <patternFill patternType="gray125"/>
    </fill>
    <fill>
      <patternFill patternType="solid">
        <fgColor theme="0" tint="-0.149998474074526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style="medium">
        <color indexed="64"/>
      </left>
      <right style="medium">
        <color indexed="64"/>
      </right>
      <top style="medium">
        <color indexed="64"/>
      </top>
      <bottom style="thin">
        <color theme="0" tint="-0.14996795556505021"/>
      </bottom>
      <diagonal/>
    </border>
    <border>
      <left style="medium">
        <color indexed="64"/>
      </left>
      <right/>
      <top style="medium">
        <color indexed="64"/>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s>
  <cellStyleXfs count="18">
    <xf numFmtId="0" fontId="0" fillId="0" borderId="0"/>
    <xf numFmtId="43"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9" fillId="0" borderId="0" applyFont="0" applyFill="0" applyBorder="0" applyAlignment="0" applyProtection="0"/>
    <xf numFmtId="9" fontId="1" fillId="0" borderId="0" applyFont="0" applyFill="0" applyBorder="0" applyAlignment="0" applyProtection="0"/>
  </cellStyleXfs>
  <cellXfs count="715">
    <xf numFmtId="0" fontId="0" fillId="0" borderId="0" xfId="0"/>
    <xf numFmtId="5" fontId="0" fillId="0" borderId="0" xfId="0" applyNumberFormat="1"/>
    <xf numFmtId="0" fontId="10" fillId="0" borderId="3" xfId="0" applyFont="1" applyBorder="1" applyAlignment="1">
      <alignment horizontal="center"/>
    </xf>
    <xf numFmtId="0" fontId="10" fillId="0" borderId="9" xfId="0" applyFont="1" applyBorder="1" applyAlignment="1">
      <alignment horizontal="center"/>
    </xf>
    <xf numFmtId="3" fontId="0" fillId="0" borderId="0" xfId="0" applyNumberFormat="1"/>
    <xf numFmtId="1" fontId="10" fillId="0" borderId="1" xfId="0" applyNumberFormat="1" applyFont="1" applyBorder="1" applyAlignment="1">
      <alignment horizontal="center"/>
    </xf>
    <xf numFmtId="1" fontId="10" fillId="0" borderId="3" xfId="0" applyNumberFormat="1" applyFont="1" applyBorder="1" applyAlignment="1">
      <alignment horizontal="center"/>
    </xf>
    <xf numFmtId="0" fontId="10" fillId="0" borderId="4" xfId="0" applyFont="1" applyBorder="1" applyAlignment="1">
      <alignment vertical="center"/>
    </xf>
    <xf numFmtId="0" fontId="10" fillId="0" borderId="0" xfId="0" applyFont="1"/>
    <xf numFmtId="0" fontId="5" fillId="0" borderId="0" xfId="15" applyFont="1"/>
    <xf numFmtId="0" fontId="5" fillId="0" borderId="22" xfId="15" applyFont="1" applyBorder="1"/>
    <xf numFmtId="0" fontId="4" fillId="0" borderId="0" xfId="15" applyFont="1"/>
    <xf numFmtId="171" fontId="5" fillId="0" borderId="23" xfId="15" applyNumberFormat="1" applyFont="1" applyBorder="1" applyAlignment="1">
      <alignment horizontal="right"/>
    </xf>
    <xf numFmtId="2" fontId="5" fillId="0" borderId="24" xfId="15" applyNumberFormat="1" applyFont="1" applyBorder="1"/>
    <xf numFmtId="0" fontId="5" fillId="0" borderId="24" xfId="15" applyFont="1" applyBorder="1" applyAlignment="1">
      <alignment horizontal="right"/>
    </xf>
    <xf numFmtId="169" fontId="5" fillId="0" borderId="24" xfId="9" applyNumberFormat="1" applyFont="1" applyFill="1" applyBorder="1" applyAlignment="1">
      <alignment horizontal="right"/>
    </xf>
    <xf numFmtId="169" fontId="5" fillId="0" borderId="24" xfId="9" applyNumberFormat="1" applyFont="1" applyFill="1" applyBorder="1"/>
    <xf numFmtId="167" fontId="5" fillId="0" borderId="23" xfId="2" applyNumberFormat="1" applyFont="1" applyBorder="1"/>
    <xf numFmtId="0" fontId="5" fillId="0" borderId="23" xfId="15" applyFont="1" applyBorder="1" applyAlignment="1">
      <alignment horizontal="right"/>
    </xf>
    <xf numFmtId="170" fontId="5" fillId="0" borderId="23" xfId="15" applyNumberFormat="1" applyFont="1" applyBorder="1"/>
    <xf numFmtId="171" fontId="5" fillId="0" borderId="23" xfId="15" applyNumberFormat="1" applyFont="1" applyBorder="1"/>
    <xf numFmtId="0" fontId="4" fillId="0" borderId="25" xfId="15" applyFont="1" applyBorder="1"/>
    <xf numFmtId="166" fontId="5" fillId="0" borderId="0" xfId="12" applyNumberFormat="1" applyFont="1"/>
    <xf numFmtId="0" fontId="5" fillId="0" borderId="0" xfId="15" applyFont="1" applyAlignment="1">
      <alignment horizontal="center"/>
    </xf>
    <xf numFmtId="2" fontId="5" fillId="0" borderId="23" xfId="15" applyNumberFormat="1" applyFont="1" applyBorder="1"/>
    <xf numFmtId="9" fontId="12" fillId="0" borderId="23" xfId="17" applyFont="1" applyBorder="1"/>
    <xf numFmtId="169" fontId="12" fillId="0" borderId="23" xfId="10" applyNumberFormat="1" applyFont="1" applyFill="1" applyBorder="1"/>
    <xf numFmtId="167" fontId="12" fillId="0" borderId="23" xfId="3" applyNumberFormat="1" applyFont="1" applyBorder="1"/>
    <xf numFmtId="166" fontId="5" fillId="0" borderId="0" xfId="13" applyNumberFormat="1" applyFont="1"/>
    <xf numFmtId="167" fontId="12" fillId="0" borderId="23" xfId="6" applyNumberFormat="1" applyFont="1" applyBorder="1"/>
    <xf numFmtId="166" fontId="12" fillId="0" borderId="23" xfId="13" applyNumberFormat="1" applyFont="1" applyBorder="1"/>
    <xf numFmtId="167" fontId="12" fillId="0" borderId="23" xfId="6" applyNumberFormat="1" applyFont="1" applyFill="1" applyBorder="1"/>
    <xf numFmtId="168" fontId="12" fillId="0" borderId="23" xfId="6" applyNumberFormat="1" applyFont="1" applyFill="1" applyBorder="1"/>
    <xf numFmtId="9" fontId="12" fillId="0" borderId="23" xfId="17" applyFont="1" applyBorder="1" applyAlignment="1">
      <alignment horizontal="right"/>
    </xf>
    <xf numFmtId="168" fontId="12" fillId="0" borderId="23" xfId="6" applyNumberFormat="1" applyFont="1" applyBorder="1"/>
    <xf numFmtId="0" fontId="5" fillId="0" borderId="0" xfId="15" applyFont="1" applyFill="1"/>
    <xf numFmtId="167" fontId="12" fillId="0" borderId="23" xfId="4" applyNumberFormat="1" applyFont="1" applyBorder="1"/>
    <xf numFmtId="0" fontId="4" fillId="0" borderId="0" xfId="15" applyFont="1" applyFill="1"/>
    <xf numFmtId="166" fontId="5" fillId="0" borderId="0" xfId="14" applyNumberFormat="1" applyFont="1"/>
    <xf numFmtId="167" fontId="12" fillId="0" borderId="23" xfId="7" applyNumberFormat="1" applyFont="1" applyBorder="1"/>
    <xf numFmtId="166" fontId="12" fillId="0" borderId="23" xfId="14" applyNumberFormat="1" applyFont="1" applyBorder="1"/>
    <xf numFmtId="168" fontId="12" fillId="0" borderId="23" xfId="7" applyNumberFormat="1" applyFont="1" applyBorder="1"/>
    <xf numFmtId="0" fontId="5" fillId="0" borderId="0" xfId="15" applyFont="1" applyAlignment="1">
      <alignment wrapText="1"/>
    </xf>
    <xf numFmtId="42" fontId="12" fillId="0" borderId="23" xfId="14" applyNumberFormat="1" applyFont="1" applyBorder="1"/>
    <xf numFmtId="42" fontId="12" fillId="0" borderId="23" xfId="13" applyNumberFormat="1" applyFont="1" applyBorder="1"/>
    <xf numFmtId="42" fontId="12" fillId="0" borderId="23" xfId="13" applyNumberFormat="1" applyFont="1" applyFill="1" applyBorder="1"/>
    <xf numFmtId="0" fontId="13" fillId="0" borderId="0" xfId="0" applyFont="1" applyAlignment="1">
      <alignment vertical="top"/>
    </xf>
    <xf numFmtId="0" fontId="14" fillId="0" borderId="0" xfId="0" applyFont="1" applyAlignment="1">
      <alignment vertical="top"/>
    </xf>
    <xf numFmtId="0" fontId="15" fillId="0" borderId="0" xfId="0" applyFont="1"/>
    <xf numFmtId="5" fontId="15" fillId="0" borderId="0" xfId="0" applyNumberFormat="1" applyFont="1"/>
    <xf numFmtId="169" fontId="12" fillId="0" borderId="28" xfId="10" applyNumberFormat="1" applyFont="1" applyFill="1" applyBorder="1"/>
    <xf numFmtId="15" fontId="7" fillId="0" borderId="23" xfId="15" applyNumberFormat="1" applyFont="1" applyBorder="1" applyAlignment="1">
      <alignment horizontal="right"/>
    </xf>
    <xf numFmtId="2" fontId="7" fillId="0" borderId="23" xfId="15" applyNumberFormat="1" applyFont="1" applyBorder="1"/>
    <xf numFmtId="0" fontId="7" fillId="0" borderId="28" xfId="15" applyFont="1" applyBorder="1" applyAlignment="1">
      <alignment horizontal="right" wrapText="1"/>
    </xf>
    <xf numFmtId="0" fontId="7" fillId="0" borderId="28" xfId="15" applyFont="1" applyBorder="1" applyAlignment="1">
      <alignment horizontal="right"/>
    </xf>
    <xf numFmtId="2" fontId="7" fillId="0" borderId="29" xfId="15" applyNumberFormat="1" applyFont="1" applyFill="1" applyBorder="1" applyAlignment="1">
      <alignment vertical="center"/>
    </xf>
    <xf numFmtId="2" fontId="7" fillId="0" borderId="23" xfId="15" applyNumberFormat="1" applyFont="1" applyFill="1" applyBorder="1" applyAlignment="1">
      <alignment vertical="center"/>
    </xf>
    <xf numFmtId="169" fontId="7" fillId="0" borderId="23" xfId="10" applyNumberFormat="1" applyFont="1" applyFill="1" applyBorder="1"/>
    <xf numFmtId="169" fontId="7" fillId="0" borderId="28" xfId="10" applyNumberFormat="1" applyFont="1" applyFill="1" applyBorder="1"/>
    <xf numFmtId="167" fontId="7" fillId="0" borderId="23" xfId="3" applyNumberFormat="1" applyFont="1" applyBorder="1" applyAlignment="1">
      <alignment horizontal="right"/>
    </xf>
    <xf numFmtId="0" fontId="7" fillId="0" borderId="23" xfId="15" applyFont="1" applyBorder="1" applyAlignment="1">
      <alignment horizontal="right"/>
    </xf>
    <xf numFmtId="15" fontId="7" fillId="0" borderId="23" xfId="15" applyNumberFormat="1" applyFont="1" applyBorder="1"/>
    <xf numFmtId="2" fontId="7" fillId="0" borderId="28" xfId="15" applyNumberFormat="1" applyFont="1" applyBorder="1" applyAlignment="1">
      <alignment horizontal="right"/>
    </xf>
    <xf numFmtId="0" fontId="7" fillId="0" borderId="23" xfId="15" applyFont="1" applyBorder="1"/>
    <xf numFmtId="0" fontId="7" fillId="0" borderId="24" xfId="15" applyFont="1" applyBorder="1"/>
    <xf numFmtId="0" fontId="7" fillId="0" borderId="26" xfId="15" applyFont="1" applyBorder="1" applyAlignment="1">
      <alignment wrapText="1"/>
    </xf>
    <xf numFmtId="0" fontId="7" fillId="0" borderId="26" xfId="15" applyFont="1" applyBorder="1"/>
    <xf numFmtId="0" fontId="7" fillId="0" borderId="22" xfId="15" applyFont="1" applyBorder="1"/>
    <xf numFmtId="0" fontId="7" fillId="0" borderId="23" xfId="15" applyFont="1" applyBorder="1" applyAlignment="1">
      <alignment horizontal="left" wrapText="1"/>
    </xf>
    <xf numFmtId="0" fontId="7" fillId="0" borderId="23" xfId="15" applyFont="1" applyFill="1" applyBorder="1" applyAlignment="1">
      <alignment horizontal="right"/>
    </xf>
    <xf numFmtId="2" fontId="7" fillId="0" borderId="23" xfId="15" applyNumberFormat="1" applyFont="1" applyFill="1" applyBorder="1" applyAlignment="1">
      <alignment horizontal="right" vertical="center" wrapText="1"/>
    </xf>
    <xf numFmtId="15" fontId="7" fillId="0" borderId="24" xfId="15" applyNumberFormat="1" applyFont="1" applyBorder="1"/>
    <xf numFmtId="2" fontId="7" fillId="0" borderId="24" xfId="15" applyNumberFormat="1" applyFont="1" applyBorder="1"/>
    <xf numFmtId="0" fontId="7" fillId="0" borderId="24" xfId="15" applyFont="1" applyFill="1" applyBorder="1" applyAlignment="1">
      <alignment horizontal="right"/>
    </xf>
    <xf numFmtId="0" fontId="7" fillId="0" borderId="24" xfId="15" applyFont="1" applyBorder="1" applyAlignment="1">
      <alignment horizontal="right"/>
    </xf>
    <xf numFmtId="0" fontId="7" fillId="0" borderId="25" xfId="15" applyFont="1" applyBorder="1"/>
    <xf numFmtId="0" fontId="7" fillId="0" borderId="25" xfId="15" applyFont="1" applyFill="1" applyBorder="1"/>
    <xf numFmtId="0" fontId="6" fillId="0" borderId="31" xfId="15" applyFont="1" applyBorder="1" applyAlignment="1">
      <alignment wrapText="1"/>
    </xf>
    <xf numFmtId="0" fontId="7" fillId="0" borderId="30" xfId="15" applyFont="1" applyBorder="1"/>
    <xf numFmtId="0" fontId="7" fillId="0" borderId="32" xfId="15" applyFont="1" applyBorder="1" applyAlignment="1">
      <alignment wrapText="1"/>
    </xf>
    <xf numFmtId="0" fontId="7" fillId="0" borderId="0" xfId="15" applyFont="1"/>
    <xf numFmtId="15" fontId="7" fillId="0" borderId="23" xfId="15" applyNumberFormat="1" applyFont="1" applyFill="1" applyBorder="1" applyAlignment="1">
      <alignment horizontal="right"/>
    </xf>
    <xf numFmtId="9" fontId="7" fillId="0" borderId="23" xfId="17" applyFont="1" applyBorder="1" applyAlignment="1">
      <alignment horizontal="right"/>
    </xf>
    <xf numFmtId="167" fontId="7" fillId="0" borderId="23" xfId="15" applyNumberFormat="1" applyFont="1" applyBorder="1"/>
    <xf numFmtId="166" fontId="7" fillId="0" borderId="23" xfId="15" applyNumberFormat="1" applyFont="1" applyBorder="1"/>
    <xf numFmtId="42" fontId="7" fillId="0" borderId="23" xfId="15" applyNumberFormat="1" applyFont="1" applyBorder="1"/>
    <xf numFmtId="0" fontId="7" fillId="0" borderId="31" xfId="15" applyFont="1" applyFill="1" applyBorder="1" applyAlignment="1">
      <alignment horizontal="center" vertical="center" wrapText="1"/>
    </xf>
    <xf numFmtId="0" fontId="7" fillId="0" borderId="33" xfId="15" applyFont="1" applyFill="1" applyBorder="1" applyAlignment="1">
      <alignment horizontal="center" vertical="center" wrapText="1"/>
    </xf>
    <xf numFmtId="0" fontId="7" fillId="0" borderId="22" xfId="15" applyFont="1" applyFill="1" applyBorder="1" applyAlignment="1">
      <alignment horizontal="center" vertical="center"/>
    </xf>
    <xf numFmtId="166" fontId="7" fillId="0" borderId="22" xfId="12" applyNumberFormat="1" applyFont="1" applyFill="1" applyBorder="1" applyAlignment="1">
      <alignment horizontal="center" vertical="center" wrapText="1"/>
    </xf>
    <xf numFmtId="166" fontId="7" fillId="0" borderId="31" xfId="12" applyNumberFormat="1" applyFont="1" applyFill="1" applyBorder="1" applyAlignment="1">
      <alignment horizontal="center" vertical="center" wrapText="1"/>
    </xf>
    <xf numFmtId="166" fontId="7" fillId="0" borderId="30" xfId="12" applyNumberFormat="1" applyFont="1" applyFill="1" applyBorder="1" applyAlignment="1">
      <alignment horizontal="center" vertical="center" wrapText="1"/>
    </xf>
    <xf numFmtId="0" fontId="7" fillId="0" borderId="22" xfId="15" applyFont="1" applyFill="1" applyBorder="1" applyAlignment="1">
      <alignment horizontal="center" vertical="center" wrapText="1"/>
    </xf>
    <xf numFmtId="0" fontId="7" fillId="0" borderId="35" xfId="15" applyFont="1" applyFill="1" applyBorder="1" applyAlignment="1">
      <alignment horizontal="right" vertical="center" wrapText="1"/>
    </xf>
    <xf numFmtId="0" fontId="7" fillId="0" borderId="34" xfId="15" applyFont="1" applyFill="1" applyBorder="1" applyAlignment="1">
      <alignment horizontal="center" vertical="center" wrapText="1"/>
    </xf>
    <xf numFmtId="0" fontId="7" fillId="0" borderId="23" xfId="15" applyFont="1" applyFill="1" applyBorder="1"/>
    <xf numFmtId="15" fontId="7" fillId="0" borderId="25" xfId="15" applyNumberFormat="1" applyFont="1" applyBorder="1" applyAlignment="1">
      <alignment horizontal="right"/>
    </xf>
    <xf numFmtId="9" fontId="7" fillId="0" borderId="25" xfId="17" applyFont="1" applyBorder="1"/>
    <xf numFmtId="42" fontId="7" fillId="0" borderId="25" xfId="15" applyNumberFormat="1" applyFont="1" applyFill="1" applyBorder="1"/>
    <xf numFmtId="0" fontId="6" fillId="0" borderId="22" xfId="15" applyFont="1" applyBorder="1"/>
    <xf numFmtId="0" fontId="6" fillId="0" borderId="33" xfId="15" applyFont="1" applyBorder="1" applyAlignment="1">
      <alignment wrapText="1"/>
    </xf>
    <xf numFmtId="0" fontId="6" fillId="0" borderId="33" xfId="15" applyFont="1" applyBorder="1"/>
    <xf numFmtId="166" fontId="7" fillId="0" borderId="22" xfId="11" applyNumberFormat="1" applyFont="1" applyFill="1" applyBorder="1" applyAlignment="1">
      <alignment horizontal="center" vertical="center" wrapText="1"/>
    </xf>
    <xf numFmtId="166" fontId="7" fillId="0" borderId="30" xfId="11" applyNumberFormat="1" applyFont="1" applyFill="1" applyBorder="1" applyAlignment="1">
      <alignment horizontal="center" vertical="center" wrapText="1"/>
    </xf>
    <xf numFmtId="166" fontId="7" fillId="0" borderId="37" xfId="11" applyNumberFormat="1" applyFont="1" applyFill="1" applyBorder="1" applyAlignment="1">
      <alignment horizontal="center" vertical="center" wrapText="1"/>
    </xf>
    <xf numFmtId="0" fontId="7" fillId="0" borderId="31" xfId="15" applyFont="1" applyFill="1" applyBorder="1" applyAlignment="1">
      <alignment horizontal="right" vertical="center" wrapText="1"/>
    </xf>
    <xf numFmtId="168" fontId="7" fillId="0" borderId="31" xfId="4" applyNumberFormat="1" applyFont="1" applyFill="1" applyBorder="1" applyAlignment="1">
      <alignment horizontal="right" vertical="center" wrapText="1"/>
    </xf>
    <xf numFmtId="0" fontId="7" fillId="0" borderId="36" xfId="15" applyFont="1" applyBorder="1" applyAlignment="1">
      <alignment wrapText="1"/>
    </xf>
    <xf numFmtId="0" fontId="7" fillId="0" borderId="36" xfId="15" applyFont="1" applyBorder="1"/>
    <xf numFmtId="169" fontId="7" fillId="0" borderId="23" xfId="11" applyNumberFormat="1" applyFont="1" applyFill="1" applyBorder="1"/>
    <xf numFmtId="167" fontId="7" fillId="0" borderId="36" xfId="4" applyNumberFormat="1" applyFont="1" applyBorder="1"/>
    <xf numFmtId="0" fontId="7" fillId="0" borderId="36" xfId="15" applyFont="1" applyBorder="1" applyAlignment="1">
      <alignment horizontal="right"/>
    </xf>
    <xf numFmtId="170" fontId="7" fillId="0" borderId="36" xfId="15" applyNumberFormat="1" applyFont="1" applyBorder="1"/>
    <xf numFmtId="0" fontId="7" fillId="0" borderId="23" xfId="15" applyFont="1" applyBorder="1" applyAlignment="1">
      <alignment wrapText="1"/>
    </xf>
    <xf numFmtId="0" fontId="7" fillId="0" borderId="24" xfId="15" applyFont="1" applyBorder="1" applyAlignment="1">
      <alignment wrapText="1"/>
    </xf>
    <xf numFmtId="0" fontId="7" fillId="0" borderId="25" xfId="15" applyFont="1" applyBorder="1" applyAlignment="1">
      <alignment wrapText="1"/>
    </xf>
    <xf numFmtId="166" fontId="7" fillId="0" borderId="22" xfId="10" applyNumberFormat="1" applyFont="1" applyFill="1" applyBorder="1" applyAlignment="1">
      <alignment horizontal="center" vertical="center" wrapText="1"/>
    </xf>
    <xf numFmtId="166" fontId="7" fillId="0" borderId="33" xfId="10" applyNumberFormat="1" applyFont="1" applyFill="1" applyBorder="1" applyAlignment="1">
      <alignment horizontal="center" vertical="center" wrapText="1"/>
    </xf>
    <xf numFmtId="166" fontId="7" fillId="0" borderId="34" xfId="10" applyNumberFormat="1" applyFont="1" applyFill="1" applyBorder="1" applyAlignment="1">
      <alignment horizontal="center" vertical="center" wrapText="1"/>
    </xf>
    <xf numFmtId="0" fontId="7" fillId="0" borderId="37" xfId="15" applyFont="1" applyFill="1" applyBorder="1" applyAlignment="1">
      <alignment horizontal="center" vertical="center" wrapText="1"/>
    </xf>
    <xf numFmtId="0" fontId="7" fillId="0" borderId="22" xfId="15" applyFont="1" applyFill="1" applyBorder="1" applyAlignment="1">
      <alignment horizontal="right" vertical="center" wrapText="1"/>
    </xf>
    <xf numFmtId="168" fontId="7" fillId="0" borderId="22" xfId="3" applyNumberFormat="1" applyFont="1" applyFill="1" applyBorder="1" applyAlignment="1">
      <alignment horizontal="right" vertical="center" wrapText="1"/>
    </xf>
    <xf numFmtId="0" fontId="7" fillId="0" borderId="33" xfId="15" applyFont="1" applyFill="1" applyBorder="1" applyAlignment="1">
      <alignment horizontal="right" vertical="center" wrapText="1"/>
    </xf>
    <xf numFmtId="0" fontId="7" fillId="0" borderId="39" xfId="15" applyFont="1" applyBorder="1" applyAlignment="1">
      <alignment wrapText="1"/>
    </xf>
    <xf numFmtId="0" fontId="5" fillId="0" borderId="22" xfId="15" applyFont="1" applyFill="1" applyBorder="1" applyAlignment="1">
      <alignment horizontal="center" vertical="center"/>
    </xf>
    <xf numFmtId="0" fontId="5" fillId="0" borderId="31" xfId="15" applyFont="1" applyFill="1" applyBorder="1" applyAlignment="1">
      <alignment horizontal="center" vertical="center" wrapText="1"/>
    </xf>
    <xf numFmtId="166" fontId="5" fillId="0" borderId="22" xfId="9" applyNumberFormat="1" applyFont="1" applyFill="1" applyBorder="1" applyAlignment="1">
      <alignment horizontal="center" vertical="center" wrapText="1"/>
    </xf>
    <xf numFmtId="166" fontId="5" fillId="0" borderId="30" xfId="9" applyNumberFormat="1" applyFont="1" applyFill="1" applyBorder="1" applyAlignment="1">
      <alignment horizontal="center" vertical="center" wrapText="1"/>
    </xf>
    <xf numFmtId="166" fontId="5" fillId="0" borderId="37" xfId="9" applyNumberFormat="1" applyFont="1" applyFill="1" applyBorder="1" applyAlignment="1">
      <alignment horizontal="center" vertical="center" wrapText="1"/>
    </xf>
    <xf numFmtId="0" fontId="5" fillId="0" borderId="34" xfId="15" applyFont="1" applyFill="1" applyBorder="1" applyAlignment="1">
      <alignment horizontal="center" vertical="center" wrapText="1"/>
    </xf>
    <xf numFmtId="0" fontId="5" fillId="0" borderId="31" xfId="15" applyFont="1" applyFill="1" applyBorder="1" applyAlignment="1">
      <alignment horizontal="right" vertical="center" wrapText="1"/>
    </xf>
    <xf numFmtId="168" fontId="5" fillId="0" borderId="31" xfId="2" applyNumberFormat="1" applyFont="1" applyFill="1" applyBorder="1" applyAlignment="1">
      <alignment horizontal="right" vertical="center" wrapText="1"/>
    </xf>
    <xf numFmtId="0" fontId="5" fillId="0" borderId="36" xfId="15" applyFont="1" applyBorder="1"/>
    <xf numFmtId="169" fontId="5" fillId="0" borderId="23" xfId="9" applyNumberFormat="1" applyFont="1" applyFill="1" applyBorder="1" applyAlignment="1">
      <alignment horizontal="right"/>
    </xf>
    <xf numFmtId="169" fontId="5" fillId="0" borderId="23" xfId="9" applyNumberFormat="1" applyFont="1" applyBorder="1"/>
    <xf numFmtId="167" fontId="5" fillId="0" borderId="36" xfId="2" applyNumberFormat="1" applyFont="1" applyBorder="1"/>
    <xf numFmtId="0" fontId="5" fillId="0" borderId="36" xfId="15" applyFont="1" applyBorder="1" applyAlignment="1">
      <alignment horizontal="right"/>
    </xf>
    <xf numFmtId="170" fontId="5" fillId="0" borderId="36" xfId="15" applyNumberFormat="1" applyFont="1" applyBorder="1"/>
    <xf numFmtId="0" fontId="7" fillId="0" borderId="0" xfId="15" applyFont="1" applyAlignment="1">
      <alignment wrapText="1"/>
    </xf>
    <xf numFmtId="0" fontId="7" fillId="0" borderId="23" xfId="15" applyFont="1" applyFill="1" applyBorder="1" applyAlignment="1">
      <alignment horizontal="left" vertical="center" wrapText="1"/>
    </xf>
    <xf numFmtId="0" fontId="7" fillId="0" borderId="23" xfId="15" applyFont="1" applyBorder="1" applyAlignment="1">
      <alignment horizontal="right" wrapText="1"/>
    </xf>
    <xf numFmtId="0" fontId="7" fillId="0" borderId="23" xfId="15" quotePrefix="1" applyFont="1" applyBorder="1" applyAlignment="1">
      <alignment horizontal="right"/>
    </xf>
    <xf numFmtId="0" fontId="7" fillId="0" borderId="23" xfId="15" applyFont="1" applyFill="1" applyBorder="1" applyAlignment="1">
      <alignment horizontal="right" wrapText="1"/>
    </xf>
    <xf numFmtId="2" fontId="7" fillId="0" borderId="23" xfId="15" applyNumberFormat="1" applyFont="1" applyBorder="1" applyAlignment="1">
      <alignment horizontal="right"/>
    </xf>
    <xf numFmtId="2" fontId="7" fillId="0" borderId="23" xfId="15" quotePrefix="1" applyNumberFormat="1" applyFont="1" applyBorder="1" applyAlignment="1">
      <alignment horizontal="right"/>
    </xf>
    <xf numFmtId="42" fontId="7" fillId="0" borderId="23" xfId="15" applyNumberFormat="1" applyFont="1" applyFill="1" applyBorder="1"/>
    <xf numFmtId="166" fontId="7" fillId="0" borderId="22" xfId="13" applyNumberFormat="1" applyFont="1" applyFill="1" applyBorder="1" applyAlignment="1">
      <alignment horizontal="center" vertical="center" wrapText="1"/>
    </xf>
    <xf numFmtId="166" fontId="7" fillId="0" borderId="30" xfId="13" applyNumberFormat="1" applyFont="1" applyFill="1" applyBorder="1" applyAlignment="1">
      <alignment horizontal="center" vertical="center" wrapText="1"/>
    </xf>
    <xf numFmtId="166" fontId="7" fillId="0" borderId="34" xfId="13" applyNumberFormat="1" applyFont="1" applyFill="1" applyBorder="1" applyAlignment="1">
      <alignment horizontal="right" vertical="center" wrapText="1"/>
    </xf>
    <xf numFmtId="166" fontId="7" fillId="0" borderId="34" xfId="13" applyNumberFormat="1" applyFont="1" applyFill="1" applyBorder="1" applyAlignment="1">
      <alignment horizontal="center" vertical="center" wrapText="1"/>
    </xf>
    <xf numFmtId="0" fontId="7" fillId="0" borderId="36" xfId="15" applyFont="1" applyFill="1" applyBorder="1" applyAlignment="1">
      <alignment vertical="center" wrapText="1"/>
    </xf>
    <xf numFmtId="166" fontId="7" fillId="0" borderId="23" xfId="13" applyNumberFormat="1" applyFont="1" applyBorder="1"/>
    <xf numFmtId="167" fontId="7" fillId="0" borderId="23" xfId="6" applyNumberFormat="1" applyFont="1" applyBorder="1"/>
    <xf numFmtId="168" fontId="7" fillId="0" borderId="23" xfId="6" applyNumberFormat="1" applyFont="1" applyBorder="1"/>
    <xf numFmtId="0" fontId="7" fillId="0" borderId="23" xfId="15" applyFont="1" applyFill="1" applyBorder="1" applyAlignment="1">
      <alignment vertical="center" wrapText="1"/>
    </xf>
    <xf numFmtId="0" fontId="7" fillId="0" borderId="23" xfId="15" applyFont="1" applyBorder="1" applyAlignment="1">
      <alignment horizontal="right" vertical="center" wrapText="1"/>
    </xf>
    <xf numFmtId="167" fontId="7" fillId="0" borderId="23" xfId="6" applyNumberFormat="1" applyFont="1" applyFill="1" applyBorder="1" applyAlignment="1">
      <alignment horizontal="right" vertical="center"/>
    </xf>
    <xf numFmtId="9" fontId="7" fillId="0" borderId="23" xfId="17" applyFont="1" applyFill="1" applyBorder="1" applyAlignment="1">
      <alignment horizontal="right" vertical="center"/>
    </xf>
    <xf numFmtId="166" fontId="7" fillId="0" borderId="23" xfId="13" applyNumberFormat="1" applyFont="1" applyBorder="1" applyAlignment="1">
      <alignment horizontal="right" vertical="center"/>
    </xf>
    <xf numFmtId="168" fontId="7" fillId="0" borderId="23" xfId="6" applyNumberFormat="1" applyFont="1" applyFill="1" applyBorder="1" applyAlignment="1">
      <alignment horizontal="right" vertical="center"/>
    </xf>
    <xf numFmtId="42" fontId="7" fillId="0" borderId="23" xfId="13" applyNumberFormat="1" applyFont="1" applyBorder="1" applyAlignment="1">
      <alignment horizontal="right" vertical="center"/>
    </xf>
    <xf numFmtId="42" fontId="7" fillId="0" borderId="23" xfId="13" applyNumberFormat="1" applyFont="1" applyFill="1" applyBorder="1" applyAlignment="1">
      <alignment horizontal="right" vertical="center"/>
    </xf>
    <xf numFmtId="2" fontId="7" fillId="0" borderId="23" xfId="15" applyNumberFormat="1" applyFont="1" applyFill="1" applyBorder="1" applyAlignment="1">
      <alignment horizontal="right" vertical="center"/>
    </xf>
    <xf numFmtId="167" fontId="7" fillId="0" borderId="23" xfId="6" applyNumberFormat="1" applyFont="1" applyFill="1" applyBorder="1"/>
    <xf numFmtId="9" fontId="7" fillId="0" borderId="23" xfId="17" applyFont="1" applyFill="1" applyBorder="1"/>
    <xf numFmtId="166" fontId="7" fillId="0" borderId="23" xfId="13" applyNumberFormat="1" applyFont="1" applyFill="1" applyBorder="1"/>
    <xf numFmtId="168" fontId="7" fillId="0" borderId="23" xfId="6" applyNumberFormat="1" applyFont="1" applyFill="1" applyBorder="1"/>
    <xf numFmtId="42" fontId="7" fillId="0" borderId="23" xfId="13" applyNumberFormat="1" applyFont="1" applyFill="1" applyBorder="1"/>
    <xf numFmtId="42" fontId="7" fillId="0" borderId="23" xfId="13" applyNumberFormat="1" applyFont="1" applyBorder="1"/>
    <xf numFmtId="42" fontId="7" fillId="0" borderId="23" xfId="13" applyNumberFormat="1" applyFont="1" applyBorder="1" applyAlignment="1">
      <alignment horizontal="right"/>
    </xf>
    <xf numFmtId="2" fontId="7" fillId="0" borderId="23" xfId="15" applyNumberFormat="1" applyFont="1" applyFill="1" applyBorder="1"/>
    <xf numFmtId="0" fontId="7" fillId="0" borderId="25" xfId="15" applyFont="1" applyBorder="1" applyAlignment="1">
      <alignment horizontal="right" wrapText="1"/>
    </xf>
    <xf numFmtId="167" fontId="7" fillId="0" borderId="25" xfId="6" applyNumberFormat="1" applyFont="1" applyBorder="1"/>
    <xf numFmtId="166" fontId="7" fillId="0" borderId="25" xfId="13" applyNumberFormat="1" applyFont="1" applyBorder="1"/>
    <xf numFmtId="168" fontId="7" fillId="0" borderId="25" xfId="6" applyNumberFormat="1" applyFont="1" applyBorder="1"/>
    <xf numFmtId="42" fontId="7" fillId="0" borderId="25" xfId="13" applyNumberFormat="1" applyFont="1" applyBorder="1"/>
    <xf numFmtId="42" fontId="7" fillId="0" borderId="25" xfId="13" applyNumberFormat="1" applyFont="1" applyFill="1" applyBorder="1"/>
    <xf numFmtId="2" fontId="7" fillId="0" borderId="25" xfId="15" applyNumberFormat="1" applyFont="1" applyFill="1" applyBorder="1"/>
    <xf numFmtId="2" fontId="7" fillId="0" borderId="23" xfId="15" quotePrefix="1" applyNumberFormat="1" applyFont="1" applyBorder="1" applyAlignment="1">
      <alignment horizontal="center"/>
    </xf>
    <xf numFmtId="167" fontId="7" fillId="0" borderId="23" xfId="7" applyNumberFormat="1" applyFont="1" applyFill="1" applyBorder="1"/>
    <xf numFmtId="168" fontId="7" fillId="0" borderId="23" xfId="7" applyNumberFormat="1" applyFont="1" applyFill="1" applyBorder="1"/>
    <xf numFmtId="166" fontId="7" fillId="0" borderId="23" xfId="14" applyNumberFormat="1" applyFont="1" applyFill="1" applyBorder="1"/>
    <xf numFmtId="166" fontId="7" fillId="0" borderId="23" xfId="14" applyNumberFormat="1" applyFont="1" applyBorder="1"/>
    <xf numFmtId="166" fontId="7" fillId="0" borderId="23" xfId="14" applyNumberFormat="1" applyFont="1" applyBorder="1" applyAlignment="1">
      <alignment horizontal="right"/>
    </xf>
    <xf numFmtId="42" fontId="7" fillId="0" borderId="23" xfId="14" applyNumberFormat="1" applyFont="1" applyBorder="1"/>
    <xf numFmtId="166" fontId="7" fillId="0" borderId="22" xfId="14" applyNumberFormat="1" applyFont="1" applyFill="1" applyBorder="1" applyAlignment="1">
      <alignment horizontal="center" vertical="center" wrapText="1"/>
    </xf>
    <xf numFmtId="166" fontId="7" fillId="0" borderId="31" xfId="14" applyNumberFormat="1" applyFont="1" applyFill="1" applyBorder="1" applyAlignment="1">
      <alignment horizontal="center" vertical="center" wrapText="1"/>
    </xf>
    <xf numFmtId="166" fontId="7" fillId="0" borderId="30" xfId="14" applyNumberFormat="1" applyFont="1" applyFill="1" applyBorder="1" applyAlignment="1">
      <alignment horizontal="center" vertical="center" wrapText="1"/>
    </xf>
    <xf numFmtId="166" fontId="7" fillId="0" borderId="34" xfId="14" applyNumberFormat="1" applyFont="1" applyFill="1" applyBorder="1" applyAlignment="1">
      <alignment horizontal="right" vertical="center" wrapText="1"/>
    </xf>
    <xf numFmtId="166" fontId="7" fillId="0" borderId="34" xfId="14" applyNumberFormat="1" applyFont="1" applyFill="1" applyBorder="1" applyAlignment="1">
      <alignment horizontal="center" vertical="center" wrapText="1"/>
    </xf>
    <xf numFmtId="42" fontId="7" fillId="0" borderId="34" xfId="14" applyNumberFormat="1" applyFont="1" applyFill="1" applyBorder="1" applyAlignment="1">
      <alignment horizontal="center" vertical="center" wrapText="1"/>
    </xf>
    <xf numFmtId="42" fontId="7" fillId="0" borderId="34" xfId="15" applyNumberFormat="1" applyFont="1" applyFill="1" applyBorder="1" applyAlignment="1">
      <alignment horizontal="center" vertical="center" wrapText="1"/>
    </xf>
    <xf numFmtId="0" fontId="7" fillId="0" borderId="23" xfId="15" applyFont="1" applyFill="1" applyBorder="1" applyAlignment="1">
      <alignment horizontal="right" vertical="center"/>
    </xf>
    <xf numFmtId="167" fontId="7" fillId="0" borderId="23" xfId="7" applyNumberFormat="1" applyFont="1" applyFill="1" applyBorder="1" applyAlignment="1">
      <alignment horizontal="right" vertical="center"/>
    </xf>
    <xf numFmtId="166" fontId="7" fillId="0" borderId="23" xfId="14" applyNumberFormat="1" applyFont="1" applyBorder="1" applyAlignment="1">
      <alignment horizontal="right" vertical="center"/>
    </xf>
    <xf numFmtId="0" fontId="7" fillId="0" borderId="23" xfId="15" applyFont="1" applyBorder="1" applyAlignment="1">
      <alignment horizontal="right" vertical="center"/>
    </xf>
    <xf numFmtId="168" fontId="7" fillId="0" borderId="23" xfId="7" applyNumberFormat="1" applyFont="1" applyFill="1" applyBorder="1" applyAlignment="1">
      <alignment horizontal="right" vertical="center"/>
    </xf>
    <xf numFmtId="42" fontId="7" fillId="0" borderId="23" xfId="14" applyNumberFormat="1" applyFont="1" applyBorder="1" applyAlignment="1">
      <alignment horizontal="right" vertical="center"/>
    </xf>
    <xf numFmtId="2" fontId="7" fillId="0" borderId="23" xfId="15" applyNumberFormat="1" applyFont="1" applyBorder="1" applyAlignment="1">
      <alignment horizontal="right" vertical="center"/>
    </xf>
    <xf numFmtId="0" fontId="4" fillId="0" borderId="25" xfId="15" applyFont="1" applyFill="1" applyBorder="1"/>
    <xf numFmtId="0" fontId="6" fillId="0" borderId="22" xfId="15" applyFont="1" applyBorder="1" applyAlignment="1">
      <alignment wrapText="1"/>
    </xf>
    <xf numFmtId="0" fontId="6" fillId="0" borderId="22" xfId="15" applyFont="1" applyFill="1" applyBorder="1"/>
    <xf numFmtId="166" fontId="6" fillId="0" borderId="30" xfId="15" applyNumberFormat="1" applyFont="1" applyFill="1" applyBorder="1"/>
    <xf numFmtId="42" fontId="5" fillId="0" borderId="0" xfId="15" applyNumberFormat="1" applyFont="1"/>
    <xf numFmtId="0" fontId="13" fillId="0" borderId="9" xfId="0" applyFont="1" applyBorder="1"/>
    <xf numFmtId="0" fontId="13" fillId="0" borderId="0" xfId="0" applyFont="1"/>
    <xf numFmtId="0" fontId="12" fillId="0" borderId="0" xfId="0" applyFont="1"/>
    <xf numFmtId="0" fontId="13" fillId="0" borderId="0" xfId="0" applyFont="1" applyAlignment="1">
      <alignment horizontal="center"/>
    </xf>
    <xf numFmtId="172" fontId="12" fillId="0" borderId="0" xfId="8" applyNumberFormat="1" applyFont="1"/>
    <xf numFmtId="172" fontId="12" fillId="0" borderId="0" xfId="0" applyNumberFormat="1" applyFont="1"/>
    <xf numFmtId="0" fontId="13" fillId="0" borderId="3" xfId="0" applyFont="1" applyBorder="1"/>
    <xf numFmtId="172" fontId="13" fillId="0" borderId="0" xfId="8" applyNumberFormat="1" applyFont="1"/>
    <xf numFmtId="172" fontId="12" fillId="0" borderId="11" xfId="8" applyNumberFormat="1" applyFont="1" applyBorder="1"/>
    <xf numFmtId="172" fontId="13" fillId="0" borderId="11" xfId="8" applyNumberFormat="1" applyFont="1" applyBorder="1"/>
    <xf numFmtId="172" fontId="13" fillId="0" borderId="40" xfId="0" applyNumberFormat="1" applyFont="1" applyBorder="1"/>
    <xf numFmtId="0" fontId="12" fillId="0" borderId="27" xfId="0" applyFont="1" applyBorder="1"/>
    <xf numFmtId="0" fontId="12" fillId="0" borderId="28" xfId="0" applyFont="1" applyBorder="1"/>
    <xf numFmtId="0" fontId="13" fillId="0" borderId="28" xfId="0" applyFont="1" applyBorder="1"/>
    <xf numFmtId="0" fontId="12" fillId="0" borderId="41" xfId="0" applyFont="1" applyBorder="1"/>
    <xf numFmtId="10" fontId="12" fillId="0" borderId="0" xfId="0" applyNumberFormat="1" applyFont="1"/>
    <xf numFmtId="10" fontId="12" fillId="0" borderId="0" xfId="16" applyNumberFormat="1" applyFont="1"/>
    <xf numFmtId="172" fontId="13" fillId="0" borderId="0" xfId="0" applyNumberFormat="1" applyFont="1"/>
    <xf numFmtId="0" fontId="12" fillId="0" borderId="11" xfId="0" applyFont="1" applyBorder="1"/>
    <xf numFmtId="172" fontId="12" fillId="0" borderId="11" xfId="0" applyNumberFormat="1" applyFont="1" applyBorder="1"/>
    <xf numFmtId="172" fontId="13" fillId="0" borderId="11" xfId="0" applyNumberFormat="1" applyFont="1" applyBorder="1"/>
    <xf numFmtId="0" fontId="16" fillId="0" borderId="0" xfId="0" applyFont="1"/>
    <xf numFmtId="0" fontId="12" fillId="2" borderId="0" xfId="0" applyFont="1" applyFill="1" applyAlignment="1">
      <alignment horizontal="center"/>
    </xf>
    <xf numFmtId="0" fontId="10" fillId="0" borderId="4" xfId="0" applyFont="1" applyBorder="1" applyAlignment="1">
      <alignment horizontal="center"/>
    </xf>
    <xf numFmtId="1" fontId="10" fillId="0" borderId="26" xfId="0" applyNumberFormat="1" applyFont="1" applyBorder="1" applyAlignment="1">
      <alignment horizontal="center"/>
    </xf>
    <xf numFmtId="0" fontId="11" fillId="0" borderId="3" xfId="0" applyFont="1" applyBorder="1" applyAlignment="1">
      <alignment horizontal="left"/>
    </xf>
    <xf numFmtId="0" fontId="5" fillId="0" borderId="23" xfId="15" applyFont="1" applyBorder="1" applyAlignment="1">
      <alignment horizontal="left" indent="2"/>
    </xf>
    <xf numFmtId="0" fontId="7" fillId="0" borderId="32" xfId="15" applyFont="1" applyBorder="1" applyAlignment="1">
      <alignment horizontal="left" wrapText="1" indent="2"/>
    </xf>
    <xf numFmtId="0" fontId="7" fillId="0" borderId="23" xfId="15" applyFont="1" applyBorder="1" applyAlignment="1">
      <alignment horizontal="left" wrapText="1" indent="2"/>
    </xf>
    <xf numFmtId="0" fontId="7" fillId="0" borderId="24" xfId="15" applyFont="1" applyBorder="1" applyAlignment="1">
      <alignment horizontal="left" wrapText="1" indent="2"/>
    </xf>
    <xf numFmtId="0" fontId="7" fillId="0" borderId="23" xfId="15" applyFont="1" applyFill="1" applyBorder="1" applyAlignment="1">
      <alignment horizontal="left" vertical="center" wrapText="1" indent="2"/>
    </xf>
    <xf numFmtId="3" fontId="12" fillId="0" borderId="0" xfId="0" applyNumberFormat="1" applyFont="1"/>
    <xf numFmtId="0" fontId="18" fillId="0" borderId="0" xfId="0" applyFont="1"/>
    <xf numFmtId="0" fontId="5" fillId="0" borderId="23" xfId="15" applyFont="1" applyBorder="1" applyAlignment="1">
      <alignment horizontal="left" wrapText="1" indent="2"/>
    </xf>
    <xf numFmtId="0" fontId="20" fillId="0" borderId="0" xfId="0" applyFont="1"/>
    <xf numFmtId="0" fontId="19" fillId="0" borderId="0" xfId="0" applyFont="1"/>
    <xf numFmtId="0" fontId="8" fillId="0" borderId="0" xfId="15" applyFont="1"/>
    <xf numFmtId="0" fontId="5" fillId="0" borderId="34" xfId="15" applyFont="1" applyBorder="1"/>
    <xf numFmtId="0" fontId="5" fillId="0" borderId="29" xfId="15" applyFont="1" applyBorder="1"/>
    <xf numFmtId="167" fontId="5" fillId="0" borderId="29" xfId="15" applyNumberFormat="1" applyFont="1" applyBorder="1"/>
    <xf numFmtId="0" fontId="5" fillId="0" borderId="44" xfId="15" applyFont="1" applyBorder="1"/>
    <xf numFmtId="0" fontId="5" fillId="0" borderId="22" xfId="15" applyFont="1" applyBorder="1" applyAlignment="1">
      <alignment horizontal="center" wrapText="1"/>
    </xf>
    <xf numFmtId="0" fontId="7" fillId="0" borderId="22" xfId="15" applyFont="1" applyBorder="1" applyAlignment="1">
      <alignment horizontal="center" wrapText="1"/>
    </xf>
    <xf numFmtId="166" fontId="5" fillId="0" borderId="32" xfId="9" applyNumberFormat="1" applyFont="1" applyBorder="1"/>
    <xf numFmtId="0" fontId="5" fillId="0" borderId="31" xfId="15" applyFont="1" applyBorder="1"/>
    <xf numFmtId="166" fontId="5" fillId="0" borderId="38" xfId="9" applyNumberFormat="1" applyFont="1" applyBorder="1"/>
    <xf numFmtId="166" fontId="4" fillId="0" borderId="45" xfId="9" applyNumberFormat="1" applyFont="1" applyFill="1" applyBorder="1"/>
    <xf numFmtId="167" fontId="6" fillId="0" borderId="44" xfId="15" applyNumberFormat="1" applyFont="1" applyBorder="1"/>
    <xf numFmtId="166" fontId="6" fillId="0" borderId="44" xfId="15" applyNumberFormat="1" applyFont="1" applyBorder="1"/>
    <xf numFmtId="166" fontId="6" fillId="0" borderId="33" xfId="15" applyNumberFormat="1" applyFont="1" applyBorder="1"/>
    <xf numFmtId="166" fontId="12" fillId="0" borderId="28" xfId="10" applyNumberFormat="1" applyFont="1" applyBorder="1"/>
    <xf numFmtId="166" fontId="12" fillId="0" borderId="28" xfId="10" applyNumberFormat="1" applyFont="1" applyFill="1" applyBorder="1"/>
    <xf numFmtId="166" fontId="7" fillId="0" borderId="28" xfId="10" applyNumberFormat="1" applyFont="1" applyFill="1" applyBorder="1"/>
    <xf numFmtId="166" fontId="7" fillId="0" borderId="26" xfId="10" applyNumberFormat="1" applyFont="1" applyFill="1" applyBorder="1"/>
    <xf numFmtId="167" fontId="7" fillId="0" borderId="29" xfId="15" applyNumberFormat="1" applyFont="1" applyBorder="1"/>
    <xf numFmtId="166" fontId="6" fillId="0" borderId="31" xfId="15" applyNumberFormat="1" applyFont="1" applyBorder="1"/>
    <xf numFmtId="166" fontId="7" fillId="0" borderId="38" xfId="11" applyNumberFormat="1" applyFont="1" applyBorder="1"/>
    <xf numFmtId="166" fontId="12" fillId="0" borderId="32" xfId="8" applyNumberFormat="1" applyFont="1" applyBorder="1"/>
    <xf numFmtId="166" fontId="12" fillId="0" borderId="32" xfId="11" applyNumberFormat="1" applyFont="1" applyBorder="1"/>
    <xf numFmtId="166" fontId="7" fillId="0" borderId="32" xfId="11" applyNumberFormat="1" applyFont="1" applyBorder="1"/>
    <xf numFmtId="166" fontId="7" fillId="0" borderId="39" xfId="11" applyNumberFormat="1" applyFont="1" applyFill="1" applyBorder="1" applyAlignment="1">
      <alignment horizontal="right"/>
    </xf>
    <xf numFmtId="166" fontId="7" fillId="0" borderId="39" xfId="11" applyNumberFormat="1" applyFont="1" applyFill="1" applyBorder="1"/>
    <xf numFmtId="166" fontId="7" fillId="0" borderId="45" xfId="11" applyNumberFormat="1" applyFont="1" applyFill="1" applyBorder="1"/>
    <xf numFmtId="170" fontId="7" fillId="0" borderId="34" xfId="15" applyNumberFormat="1" applyFont="1" applyBorder="1"/>
    <xf numFmtId="170" fontId="7" fillId="0" borderId="29" xfId="15" applyNumberFormat="1" applyFont="1" applyBorder="1"/>
    <xf numFmtId="43" fontId="7" fillId="0" borderId="29" xfId="15" applyNumberFormat="1" applyFont="1" applyBorder="1"/>
    <xf numFmtId="0" fontId="7" fillId="0" borderId="29" xfId="15" applyFont="1" applyBorder="1"/>
    <xf numFmtId="167" fontId="5" fillId="0" borderId="0" xfId="15" applyNumberFormat="1" applyFont="1"/>
    <xf numFmtId="0" fontId="22" fillId="0" borderId="1" xfId="0" applyFont="1" applyBorder="1"/>
    <xf numFmtId="0" fontId="23" fillId="0" borderId="0" xfId="0" applyFont="1"/>
    <xf numFmtId="0" fontId="22" fillId="0" borderId="1" xfId="0" applyFont="1" applyBorder="1" applyAlignment="1">
      <alignment horizontal="center" wrapText="1"/>
    </xf>
    <xf numFmtId="5" fontId="22" fillId="0" borderId="1" xfId="0" applyNumberFormat="1" applyFont="1" applyBorder="1" applyAlignment="1">
      <alignment horizontal="center" wrapText="1"/>
    </xf>
    <xf numFmtId="0" fontId="22" fillId="0" borderId="2" xfId="0" applyFont="1" applyBorder="1"/>
    <xf numFmtId="0" fontId="22" fillId="0" borderId="3" xfId="0" applyFont="1" applyBorder="1"/>
    <xf numFmtId="42" fontId="22" fillId="0" borderId="26" xfId="0" applyNumberFormat="1" applyFont="1" applyBorder="1" applyAlignment="1">
      <alignment horizontal="right"/>
    </xf>
    <xf numFmtId="42" fontId="22" fillId="0" borderId="3" xfId="0" applyNumberFormat="1" applyFont="1" applyBorder="1"/>
    <xf numFmtId="42" fontId="22" fillId="0" borderId="2" xfId="0" applyNumberFormat="1" applyFont="1" applyBorder="1"/>
    <xf numFmtId="42" fontId="22" fillId="0" borderId="4" xfId="0" applyNumberFormat="1" applyFont="1" applyBorder="1"/>
    <xf numFmtId="0" fontId="22" fillId="0" borderId="5" xfId="0" applyFont="1" applyBorder="1"/>
    <xf numFmtId="0" fontId="22" fillId="0" borderId="6" xfId="0" applyFont="1" applyBorder="1"/>
    <xf numFmtId="42" fontId="22" fillId="0" borderId="0" xfId="0" applyNumberFormat="1" applyFont="1" applyBorder="1"/>
    <xf numFmtId="42" fontId="22" fillId="0" borderId="6" xfId="0" applyNumberFormat="1" applyFont="1" applyBorder="1"/>
    <xf numFmtId="42" fontId="22" fillId="0" borderId="5" xfId="0" applyNumberFormat="1" applyFont="1" applyBorder="1"/>
    <xf numFmtId="42" fontId="22" fillId="0" borderId="8" xfId="0" applyNumberFormat="1" applyFont="1" applyBorder="1"/>
    <xf numFmtId="42" fontId="22" fillId="0" borderId="9" xfId="0" applyNumberFormat="1" applyFont="1" applyBorder="1"/>
    <xf numFmtId="0" fontId="22" fillId="0" borderId="9" xfId="0" applyFont="1" applyBorder="1"/>
    <xf numFmtId="42" fontId="23" fillId="0" borderId="2" xfId="0" applyNumberFormat="1" applyFont="1" applyBorder="1"/>
    <xf numFmtId="42" fontId="23" fillId="0" borderId="5" xfId="0" applyNumberFormat="1" applyFont="1" applyBorder="1"/>
    <xf numFmtId="42" fontId="23" fillId="0" borderId="8" xfId="0" applyNumberFormat="1" applyFont="1" applyBorder="1"/>
    <xf numFmtId="0" fontId="22" fillId="0" borderId="8" xfId="0" applyFont="1" applyBorder="1"/>
    <xf numFmtId="0" fontId="22" fillId="0" borderId="4" xfId="0" applyFont="1" applyBorder="1"/>
    <xf numFmtId="42" fontId="22" fillId="0" borderId="26" xfId="0" applyNumberFormat="1" applyFont="1" applyBorder="1"/>
    <xf numFmtId="0" fontId="22" fillId="0" borderId="7" xfId="0" applyFont="1" applyBorder="1"/>
    <xf numFmtId="0" fontId="24" fillId="0" borderId="3" xfId="0" applyFont="1" applyFill="1" applyBorder="1"/>
    <xf numFmtId="42" fontId="24" fillId="0" borderId="3" xfId="0" applyNumberFormat="1" applyFont="1" applyBorder="1"/>
    <xf numFmtId="42" fontId="24" fillId="0" borderId="6" xfId="0" applyNumberFormat="1" applyFont="1" applyBorder="1"/>
    <xf numFmtId="0" fontId="24" fillId="0" borderId="6" xfId="0" applyFont="1" applyFill="1" applyBorder="1"/>
    <xf numFmtId="0" fontId="24" fillId="0" borderId="5" xfId="0" applyFont="1" applyFill="1" applyBorder="1"/>
    <xf numFmtId="42" fontId="24" fillId="0" borderId="5" xfId="0" applyNumberFormat="1" applyFont="1" applyBorder="1"/>
    <xf numFmtId="0" fontId="24" fillId="0" borderId="8" xfId="0" applyFont="1" applyBorder="1"/>
    <xf numFmtId="5" fontId="23" fillId="0" borderId="0" xfId="0" applyNumberFormat="1" applyFont="1"/>
    <xf numFmtId="0" fontId="25" fillId="0" borderId="0" xfId="0" applyFont="1" applyFill="1" applyBorder="1"/>
    <xf numFmtId="0" fontId="22" fillId="0" borderId="0" xfId="0" applyFont="1"/>
    <xf numFmtId="5" fontId="22" fillId="0" borderId="0" xfId="0" applyNumberFormat="1" applyFont="1"/>
    <xf numFmtId="0" fontId="24" fillId="0" borderId="0" xfId="0" applyFont="1" applyAlignment="1">
      <alignment vertical="top"/>
    </xf>
    <xf numFmtId="0" fontId="26" fillId="0" borderId="0" xfId="0" applyFont="1" applyAlignment="1">
      <alignment vertical="top"/>
    </xf>
    <xf numFmtId="0" fontId="24" fillId="0" borderId="0" xfId="0" applyFont="1"/>
    <xf numFmtId="0" fontId="24" fillId="0" borderId="0" xfId="0" applyFont="1" applyAlignment="1">
      <alignment horizontal="center"/>
    </xf>
    <xf numFmtId="172" fontId="22" fillId="0" borderId="0" xfId="8" applyNumberFormat="1" applyFont="1"/>
    <xf numFmtId="172" fontId="22" fillId="0" borderId="0" xfId="8" applyNumberFormat="1" applyFont="1" applyFill="1"/>
    <xf numFmtId="172" fontId="22" fillId="0" borderId="0" xfId="0" applyNumberFormat="1" applyFont="1" applyFill="1"/>
    <xf numFmtId="0" fontId="22" fillId="0" borderId="0" xfId="0" applyFont="1" applyFill="1"/>
    <xf numFmtId="170" fontId="22" fillId="0" borderId="0" xfId="1" applyNumberFormat="1" applyFont="1" applyFill="1"/>
    <xf numFmtId="173" fontId="22" fillId="0" borderId="0" xfId="8" applyNumberFormat="1" applyFont="1"/>
    <xf numFmtId="172" fontId="22" fillId="0" borderId="0" xfId="0" applyNumberFormat="1" applyFont="1"/>
    <xf numFmtId="0" fontId="25" fillId="0" borderId="0" xfId="0" applyFont="1"/>
    <xf numFmtId="5" fontId="22" fillId="0" borderId="1" xfId="0" applyNumberFormat="1" applyFont="1" applyBorder="1" applyAlignment="1"/>
    <xf numFmtId="5" fontId="22" fillId="0" borderId="0" xfId="0" applyNumberFormat="1" applyFont="1" applyBorder="1" applyAlignment="1"/>
    <xf numFmtId="37" fontId="22" fillId="0" borderId="26" xfId="0" applyNumberFormat="1" applyFont="1" applyBorder="1" applyAlignment="1">
      <alignment horizontal="right"/>
    </xf>
    <xf numFmtId="37" fontId="22" fillId="0" borderId="2" xfId="0" applyNumberFormat="1" applyFont="1" applyBorder="1"/>
    <xf numFmtId="37" fontId="22" fillId="0" borderId="5" xfId="0" applyNumberFormat="1" applyFont="1" applyBorder="1"/>
    <xf numFmtId="37" fontId="22" fillId="0" borderId="8" xfId="0" applyNumberFormat="1" applyFont="1" applyBorder="1"/>
    <xf numFmtId="39" fontId="22" fillId="0" borderId="5" xfId="0" applyNumberFormat="1" applyFont="1" applyBorder="1"/>
    <xf numFmtId="39" fontId="22" fillId="0" borderId="8" xfId="0" applyNumberFormat="1" applyFont="1" applyBorder="1"/>
    <xf numFmtId="39" fontId="22" fillId="0" borderId="9" xfId="0" applyNumberFormat="1" applyFont="1" applyBorder="1"/>
    <xf numFmtId="42" fontId="22" fillId="0" borderId="8" xfId="0" applyNumberFormat="1" applyFont="1" applyBorder="1" applyAlignment="1">
      <alignment horizontal="right"/>
    </xf>
    <xf numFmtId="37" fontId="22" fillId="0" borderId="26" xfId="0" applyNumberFormat="1" applyFont="1" applyFill="1" applyBorder="1"/>
    <xf numFmtId="42" fontId="22" fillId="0" borderId="5" xfId="0" applyNumberFormat="1" applyFont="1" applyFill="1" applyBorder="1"/>
    <xf numFmtId="37" fontId="22" fillId="0" borderId="0" xfId="0" applyNumberFormat="1" applyFont="1" applyFill="1" applyBorder="1"/>
    <xf numFmtId="37" fontId="22" fillId="0" borderId="8" xfId="0" applyNumberFormat="1" applyFont="1" applyFill="1" applyBorder="1"/>
    <xf numFmtId="42" fontId="22" fillId="0" borderId="8" xfId="0" applyNumberFormat="1" applyFont="1" applyFill="1" applyBorder="1"/>
    <xf numFmtId="37" fontId="22" fillId="0" borderId="3" xfId="0" applyNumberFormat="1" applyFont="1" applyFill="1" applyBorder="1"/>
    <xf numFmtId="42" fontId="22" fillId="0" borderId="3" xfId="0" applyNumberFormat="1" applyFont="1" applyFill="1" applyBorder="1"/>
    <xf numFmtId="42" fontId="22" fillId="0" borderId="2" xfId="0" applyNumberFormat="1" applyFont="1" applyFill="1" applyBorder="1"/>
    <xf numFmtId="42" fontId="22" fillId="0" borderId="6" xfId="0" applyNumberFormat="1" applyFont="1" applyFill="1" applyBorder="1"/>
    <xf numFmtId="42" fontId="22" fillId="0" borderId="9" xfId="0" applyNumberFormat="1" applyFont="1" applyFill="1" applyBorder="1"/>
    <xf numFmtId="0" fontId="0" fillId="0" borderId="0" xfId="0" applyAlignment="1">
      <alignment wrapText="1"/>
    </xf>
    <xf numFmtId="0" fontId="10" fillId="0" borderId="46" xfId="0" applyFont="1" applyBorder="1" applyAlignment="1">
      <alignment horizontal="left" vertical="center" indent="2"/>
    </xf>
    <xf numFmtId="0" fontId="10" fillId="0" borderId="46" xfId="0" applyFont="1" applyBorder="1" applyAlignment="1">
      <alignment vertical="center"/>
    </xf>
    <xf numFmtId="0" fontId="10" fillId="0" borderId="46" xfId="0" applyFont="1" applyBorder="1" applyAlignment="1">
      <alignment horizontal="center" vertical="center"/>
    </xf>
    <xf numFmtId="3" fontId="10" fillId="0" borderId="46" xfId="0" applyNumberFormat="1" applyFont="1" applyBorder="1" applyAlignment="1">
      <alignment horizontal="right" vertical="center"/>
    </xf>
    <xf numFmtId="3" fontId="10" fillId="0" borderId="46" xfId="0" applyNumberFormat="1" applyFont="1" applyBorder="1" applyAlignment="1">
      <alignment vertical="center"/>
    </xf>
    <xf numFmtId="0" fontId="10" fillId="0" borderId="46" xfId="0" applyFont="1" applyBorder="1" applyAlignment="1">
      <alignment horizontal="right" vertical="center"/>
    </xf>
    <xf numFmtId="0" fontId="10" fillId="0" borderId="47" xfId="0" applyFont="1" applyBorder="1" applyAlignment="1">
      <alignment horizontal="left" vertical="center" indent="2"/>
    </xf>
    <xf numFmtId="0" fontId="10" fillId="0" borderId="48" xfId="0" applyFont="1" applyBorder="1" applyAlignment="1">
      <alignment vertical="center"/>
    </xf>
    <xf numFmtId="0" fontId="10" fillId="0" borderId="47" xfId="0" applyFont="1" applyBorder="1" applyAlignment="1">
      <alignment horizontal="center" vertical="center"/>
    </xf>
    <xf numFmtId="3" fontId="10" fillId="0" borderId="49" xfId="0" applyNumberFormat="1" applyFont="1" applyBorder="1" applyAlignment="1">
      <alignment horizontal="right" vertical="center"/>
    </xf>
    <xf numFmtId="3" fontId="10" fillId="0" borderId="47" xfId="0" applyNumberFormat="1" applyFont="1" applyBorder="1" applyAlignment="1">
      <alignment horizontal="right" vertical="center"/>
    </xf>
    <xf numFmtId="3" fontId="10" fillId="0" borderId="47" xfId="0" applyNumberFormat="1" applyFont="1" applyBorder="1" applyAlignment="1">
      <alignment vertical="center"/>
    </xf>
    <xf numFmtId="9" fontId="10" fillId="0" borderId="48" xfId="0" applyNumberFormat="1" applyFont="1" applyBorder="1" applyAlignment="1">
      <alignment horizontal="right" vertical="center"/>
    </xf>
    <xf numFmtId="0" fontId="10" fillId="0" borderId="47" xfId="0" applyFont="1" applyBorder="1" applyAlignment="1">
      <alignment horizontal="left" indent="2"/>
    </xf>
    <xf numFmtId="0" fontId="17" fillId="0" borderId="47" xfId="0" applyFont="1" applyBorder="1" applyAlignment="1">
      <alignment horizontal="left" vertical="top" indent="2"/>
    </xf>
    <xf numFmtId="0" fontId="10" fillId="0" borderId="47" xfId="0" applyFont="1" applyBorder="1" applyAlignment="1">
      <alignment horizontal="right" vertical="center"/>
    </xf>
    <xf numFmtId="0" fontId="11" fillId="0" borderId="47" xfId="0" applyFont="1" applyBorder="1" applyAlignment="1">
      <alignment vertical="center"/>
    </xf>
    <xf numFmtId="0" fontId="10" fillId="0" borderId="48" xfId="0" applyFont="1" applyBorder="1" applyAlignment="1">
      <alignment horizontal="left" vertical="center" wrapText="1"/>
    </xf>
    <xf numFmtId="0" fontId="11" fillId="0" borderId="50" xfId="0" applyFont="1" applyBorder="1" applyAlignment="1">
      <alignment vertical="center"/>
    </xf>
    <xf numFmtId="0" fontId="10" fillId="0" borderId="51" xfId="0" applyFont="1" applyBorder="1" applyAlignment="1">
      <alignment horizontal="left" vertical="center" wrapText="1"/>
    </xf>
    <xf numFmtId="0" fontId="10" fillId="0" borderId="50" xfId="0" applyFont="1" applyBorder="1" applyAlignment="1">
      <alignment horizontal="center" vertical="center"/>
    </xf>
    <xf numFmtId="3" fontId="10" fillId="0" borderId="52" xfId="0" applyNumberFormat="1" applyFont="1" applyBorder="1" applyAlignment="1">
      <alignment horizontal="right" vertical="center"/>
    </xf>
    <xf numFmtId="3" fontId="10" fillId="0" borderId="50" xfId="0" applyNumberFormat="1" applyFont="1" applyBorder="1" applyAlignment="1">
      <alignment horizontal="right" vertical="center"/>
    </xf>
    <xf numFmtId="3" fontId="10" fillId="0" borderId="50" xfId="0" applyNumberFormat="1" applyFont="1" applyBorder="1" applyAlignment="1">
      <alignment vertical="center"/>
    </xf>
    <xf numFmtId="9" fontId="10" fillId="0" borderId="51" xfId="0" applyNumberFormat="1" applyFont="1" applyBorder="1" applyAlignment="1">
      <alignment horizontal="right" vertical="center"/>
    </xf>
    <xf numFmtId="0" fontId="22" fillId="0" borderId="12" xfId="0" applyFont="1" applyBorder="1" applyAlignment="1">
      <alignment horizontal="center"/>
    </xf>
    <xf numFmtId="0" fontId="22" fillId="0" borderId="13" xfId="0" applyFont="1" applyBorder="1" applyAlignment="1">
      <alignment horizontal="center"/>
    </xf>
    <xf numFmtId="0" fontId="22" fillId="0" borderId="39" xfId="0" applyFont="1" applyBorder="1" applyAlignment="1">
      <alignment vertical="center" wrapText="1"/>
    </xf>
    <xf numFmtId="37" fontId="22" fillId="0" borderId="14" xfId="0" applyNumberFormat="1" applyFont="1" applyFill="1" applyBorder="1" applyAlignment="1">
      <alignment horizontal="right" vertical="center"/>
    </xf>
    <xf numFmtId="37" fontId="22" fillId="0" borderId="15" xfId="0" applyNumberFormat="1" applyFont="1" applyFill="1" applyBorder="1" applyAlignment="1">
      <alignment vertical="center"/>
    </xf>
    <xf numFmtId="37" fontId="22" fillId="0" borderId="14" xfId="0" applyNumberFormat="1" applyFont="1" applyFill="1" applyBorder="1" applyAlignment="1">
      <alignment vertical="center"/>
    </xf>
    <xf numFmtId="0" fontId="24" fillId="0" borderId="14" xfId="0" applyFont="1" applyBorder="1" applyAlignment="1">
      <alignment horizontal="left" vertical="center" indent="1"/>
    </xf>
    <xf numFmtId="0" fontId="22" fillId="0" borderId="21" xfId="0" applyFont="1" applyBorder="1"/>
    <xf numFmtId="37" fontId="22" fillId="0" borderId="18" xfId="0" applyNumberFormat="1" applyFont="1" applyBorder="1"/>
    <xf numFmtId="37" fontId="22" fillId="0" borderId="19" xfId="0" applyNumberFormat="1" applyFont="1" applyBorder="1"/>
    <xf numFmtId="37" fontId="22" fillId="0" borderId="18" xfId="0" applyNumberFormat="1" applyFont="1" applyBorder="1" applyAlignment="1">
      <alignment horizontal="right"/>
    </xf>
    <xf numFmtId="37" fontId="22" fillId="0" borderId="19" xfId="0" applyNumberFormat="1" applyFont="1" applyBorder="1" applyAlignment="1">
      <alignment horizontal="right"/>
    </xf>
    <xf numFmtId="0" fontId="22" fillId="0" borderId="14" xfId="0" applyFont="1" applyBorder="1" applyAlignment="1">
      <alignment vertical="center"/>
    </xf>
    <xf numFmtId="0" fontId="22" fillId="0" borderId="15" xfId="0" applyFont="1" applyBorder="1" applyAlignment="1">
      <alignment vertical="center"/>
    </xf>
    <xf numFmtId="0" fontId="22" fillId="0" borderId="20" xfId="0" applyFont="1" applyBorder="1" applyAlignment="1">
      <alignment vertical="center"/>
    </xf>
    <xf numFmtId="39" fontId="22" fillId="0" borderId="14" xfId="0" applyNumberFormat="1" applyFont="1" applyFill="1" applyBorder="1" applyAlignment="1">
      <alignment vertical="center"/>
    </xf>
    <xf numFmtId="39" fontId="22" fillId="0" borderId="20" xfId="0" applyNumberFormat="1" applyFont="1" applyFill="1" applyBorder="1" applyAlignment="1">
      <alignment vertical="center"/>
    </xf>
    <xf numFmtId="39" fontId="22" fillId="0" borderId="14" xfId="0" quotePrefix="1" applyNumberFormat="1" applyFont="1" applyFill="1" applyBorder="1" applyAlignment="1">
      <alignment horizontal="right" vertical="center"/>
    </xf>
    <xf numFmtId="39" fontId="22" fillId="0" borderId="14" xfId="0" applyNumberFormat="1" applyFont="1" applyFill="1" applyBorder="1" applyAlignment="1">
      <alignment horizontal="right" vertical="center"/>
    </xf>
    <xf numFmtId="39" fontId="22" fillId="0" borderId="20" xfId="0" applyNumberFormat="1" applyFont="1" applyFill="1" applyBorder="1" applyAlignment="1">
      <alignment horizontal="right" vertical="center"/>
    </xf>
    <xf numFmtId="0" fontId="24" fillId="0" borderId="14" xfId="0" applyFont="1" applyBorder="1" applyAlignment="1">
      <alignment horizontal="left" indent="1"/>
    </xf>
    <xf numFmtId="2" fontId="22" fillId="0" borderId="16" xfId="0" applyNumberFormat="1" applyFont="1" applyBorder="1"/>
    <xf numFmtId="2" fontId="22" fillId="0" borderId="17" xfId="0" applyNumberFormat="1" applyFont="1" applyBorder="1"/>
    <xf numFmtId="39" fontId="22" fillId="0" borderId="16" xfId="0" applyNumberFormat="1" applyFont="1" applyBorder="1"/>
    <xf numFmtId="39" fontId="22" fillId="0" borderId="17" xfId="0" applyNumberFormat="1" applyFont="1" applyBorder="1"/>
    <xf numFmtId="0" fontId="22" fillId="0" borderId="18" xfId="0" applyFont="1" applyBorder="1"/>
    <xf numFmtId="0" fontId="22" fillId="0" borderId="19" xfId="0" applyFont="1" applyBorder="1"/>
    <xf numFmtId="0" fontId="7" fillId="0" borderId="53" xfId="15" applyFont="1" applyFill="1" applyBorder="1" applyAlignment="1">
      <alignment horizontal="center" vertical="center"/>
    </xf>
    <xf numFmtId="0" fontId="7" fillId="0" borderId="54" xfId="15" applyFont="1" applyFill="1" applyBorder="1" applyAlignment="1">
      <alignment horizontal="right" vertical="center" wrapText="1"/>
    </xf>
    <xf numFmtId="166" fontId="7" fillId="0" borderId="53" xfId="12" applyNumberFormat="1" applyFont="1" applyFill="1" applyBorder="1" applyAlignment="1">
      <alignment horizontal="right" vertical="center" wrapText="1"/>
    </xf>
    <xf numFmtId="166" fontId="7" fillId="0" borderId="53" xfId="12" applyNumberFormat="1" applyFont="1" applyFill="1" applyBorder="1" applyAlignment="1">
      <alignment horizontal="center" vertical="center" wrapText="1"/>
    </xf>
    <xf numFmtId="0" fontId="7" fillId="0" borderId="53" xfId="15" applyFont="1" applyFill="1" applyBorder="1" applyAlignment="1">
      <alignment horizontal="center" vertical="center" wrapText="1"/>
    </xf>
    <xf numFmtId="0" fontId="7" fillId="0" borderId="55" xfId="15" applyFont="1" applyFill="1" applyBorder="1" applyAlignment="1">
      <alignment vertical="center"/>
    </xf>
    <xf numFmtId="0" fontId="7" fillId="0" borderId="55" xfId="15" applyFont="1" applyFill="1" applyBorder="1"/>
    <xf numFmtId="0" fontId="7" fillId="0" borderId="55" xfId="15" applyFont="1" applyBorder="1" applyAlignment="1">
      <alignment horizontal="right"/>
    </xf>
    <xf numFmtId="167" fontId="7" fillId="0" borderId="55" xfId="15" applyNumberFormat="1" applyFont="1" applyBorder="1"/>
    <xf numFmtId="9" fontId="7" fillId="0" borderId="55" xfId="17" applyFont="1" applyBorder="1" applyAlignment="1">
      <alignment horizontal="right"/>
    </xf>
    <xf numFmtId="166" fontId="7" fillId="0" borderId="55" xfId="12" applyNumberFormat="1" applyFont="1" applyBorder="1"/>
    <xf numFmtId="0" fontId="7" fillId="0" borderId="55" xfId="15" applyFont="1" applyBorder="1"/>
    <xf numFmtId="167" fontId="7" fillId="0" borderId="55" xfId="5" applyNumberFormat="1" applyFont="1" applyBorder="1"/>
    <xf numFmtId="168" fontId="7" fillId="0" borderId="55" xfId="5" applyNumberFormat="1" applyFont="1" applyBorder="1"/>
    <xf numFmtId="42" fontId="7" fillId="0" borderId="55" xfId="12" applyNumberFormat="1" applyFont="1" applyBorder="1"/>
    <xf numFmtId="2" fontId="7" fillId="0" borderId="55" xfId="15" applyNumberFormat="1" applyFont="1" applyBorder="1"/>
    <xf numFmtId="0" fontId="7" fillId="0" borderId="55" xfId="15" applyFont="1" applyFill="1" applyBorder="1" applyAlignment="1">
      <alignment horizontal="left" vertical="center" indent="2"/>
    </xf>
    <xf numFmtId="15" fontId="7" fillId="0" borderId="55" xfId="15" applyNumberFormat="1" applyFont="1" applyFill="1" applyBorder="1" applyAlignment="1">
      <alignment horizontal="right"/>
    </xf>
    <xf numFmtId="167" fontId="7" fillId="0" borderId="55" xfId="15" applyNumberFormat="1" applyFont="1" applyFill="1" applyBorder="1"/>
    <xf numFmtId="17" fontId="7" fillId="0" borderId="55" xfId="15" applyNumberFormat="1" applyFont="1" applyFill="1" applyBorder="1"/>
    <xf numFmtId="17" fontId="7" fillId="0" borderId="55" xfId="15" applyNumberFormat="1" applyFont="1" applyFill="1" applyBorder="1" applyAlignment="1">
      <alignment horizontal="right"/>
    </xf>
    <xf numFmtId="166" fontId="7" fillId="0" borderId="55" xfId="15" applyNumberFormat="1" applyFont="1" applyBorder="1"/>
    <xf numFmtId="15" fontId="7" fillId="0" borderId="55" xfId="15" applyNumberFormat="1" applyFont="1" applyBorder="1" applyAlignment="1">
      <alignment horizontal="right"/>
    </xf>
    <xf numFmtId="167" fontId="12" fillId="0" borderId="55" xfId="5" applyNumberFormat="1" applyFont="1" applyBorder="1"/>
    <xf numFmtId="9" fontId="12" fillId="0" borderId="55" xfId="17" applyFont="1" applyBorder="1"/>
    <xf numFmtId="166" fontId="12" fillId="0" borderId="55" xfId="12" applyNumberFormat="1" applyFont="1" applyBorder="1"/>
    <xf numFmtId="168" fontId="12" fillId="0" borderId="55" xfId="5" applyNumberFormat="1" applyFont="1" applyBorder="1"/>
    <xf numFmtId="42" fontId="12" fillId="0" borderId="55" xfId="12" applyNumberFormat="1" applyFont="1" applyBorder="1"/>
    <xf numFmtId="42" fontId="7" fillId="0" borderId="55" xfId="15" applyNumberFormat="1" applyFont="1" applyBorder="1"/>
    <xf numFmtId="0" fontId="6" fillId="0" borderId="56" xfId="15" applyFont="1" applyBorder="1"/>
    <xf numFmtId="15" fontId="6" fillId="0" borderId="56" xfId="15" applyNumberFormat="1" applyFont="1" applyBorder="1" applyAlignment="1">
      <alignment horizontal="right"/>
    </xf>
    <xf numFmtId="0" fontId="6" fillId="0" borderId="56" xfId="15" applyFont="1" applyBorder="1" applyAlignment="1">
      <alignment horizontal="right"/>
    </xf>
    <xf numFmtId="167" fontId="6" fillId="0" borderId="56" xfId="5" applyNumberFormat="1" applyFont="1" applyBorder="1"/>
    <xf numFmtId="9" fontId="6" fillId="0" borderId="56" xfId="17" applyFont="1" applyBorder="1"/>
    <xf numFmtId="166" fontId="6" fillId="0" borderId="56" xfId="12" applyNumberFormat="1" applyFont="1" applyBorder="1"/>
    <xf numFmtId="168" fontId="6" fillId="0" borderId="56" xfId="5" applyNumberFormat="1" applyFont="1" applyBorder="1"/>
    <xf numFmtId="42" fontId="6" fillId="0" borderId="56" xfId="12" applyNumberFormat="1" applyFont="1" applyBorder="1"/>
    <xf numFmtId="42" fontId="6" fillId="0" borderId="56" xfId="15" applyNumberFormat="1" applyFont="1" applyFill="1" applyBorder="1"/>
    <xf numFmtId="0" fontId="7" fillId="0" borderId="24" xfId="15" applyFont="1" applyFill="1" applyBorder="1" applyAlignment="1">
      <alignment horizontal="left" vertical="center" wrapText="1" indent="2"/>
    </xf>
    <xf numFmtId="15" fontId="7" fillId="0" borderId="24" xfId="15" applyNumberFormat="1" applyFont="1" applyFill="1" applyBorder="1" applyAlignment="1">
      <alignment horizontal="right"/>
    </xf>
    <xf numFmtId="167" fontId="12" fillId="0" borderId="24" xfId="7" applyNumberFormat="1" applyFont="1" applyBorder="1"/>
    <xf numFmtId="9" fontId="12" fillId="0" borderId="24" xfId="17" applyFont="1" applyBorder="1"/>
    <xf numFmtId="166" fontId="12" fillId="0" borderId="24" xfId="14" applyNumberFormat="1" applyFont="1" applyBorder="1"/>
    <xf numFmtId="167" fontId="12" fillId="0" borderId="24" xfId="7" applyNumberFormat="1" applyFont="1" applyFill="1" applyBorder="1"/>
    <xf numFmtId="168" fontId="12" fillId="0" borderId="24" xfId="7" applyNumberFormat="1" applyFont="1" applyFill="1" applyBorder="1"/>
    <xf numFmtId="166" fontId="28" fillId="0" borderId="24" xfId="14" applyNumberFormat="1" applyFont="1" applyBorder="1"/>
    <xf numFmtId="42" fontId="12" fillId="0" borderId="24" xfId="14" applyNumberFormat="1" applyFont="1" applyBorder="1"/>
    <xf numFmtId="42" fontId="7" fillId="0" borderId="24" xfId="15" applyNumberFormat="1" applyFont="1" applyBorder="1"/>
    <xf numFmtId="0" fontId="7" fillId="0" borderId="57" xfId="15" applyFont="1" applyFill="1" applyBorder="1" applyAlignment="1">
      <alignment horizontal="left" vertical="center" wrapText="1" indent="2"/>
    </xf>
    <xf numFmtId="15" fontId="7" fillId="0" borderId="57" xfId="15" applyNumberFormat="1" applyFont="1" applyFill="1" applyBorder="1" applyAlignment="1">
      <alignment horizontal="right"/>
    </xf>
    <xf numFmtId="0" fontId="7" fillId="0" borderId="57" xfId="15" applyFont="1" applyBorder="1" applyAlignment="1">
      <alignment horizontal="right"/>
    </xf>
    <xf numFmtId="167" fontId="12" fillId="0" borderId="57" xfId="7" applyNumberFormat="1" applyFont="1" applyBorder="1"/>
    <xf numFmtId="9" fontId="12" fillId="0" borderId="57" xfId="17" applyFont="1" applyBorder="1"/>
    <xf numFmtId="166" fontId="12" fillId="0" borderId="57" xfId="14" applyNumberFormat="1" applyFont="1" applyBorder="1"/>
    <xf numFmtId="0" fontId="7" fillId="0" borderId="57" xfId="15" applyFont="1" applyBorder="1"/>
    <xf numFmtId="167" fontId="12" fillId="0" borderId="57" xfId="7" applyNumberFormat="1" applyFont="1" applyFill="1" applyBorder="1"/>
    <xf numFmtId="168" fontId="12" fillId="0" borderId="57" xfId="7" applyNumberFormat="1" applyFont="1" applyFill="1" applyBorder="1"/>
    <xf numFmtId="166" fontId="29" fillId="0" borderId="57" xfId="14" applyNumberFormat="1" applyFont="1" applyBorder="1"/>
    <xf numFmtId="0" fontId="7" fillId="0" borderId="24" xfId="15" quotePrefix="1" applyFont="1" applyBorder="1" applyAlignment="1">
      <alignment horizontal="center"/>
    </xf>
    <xf numFmtId="0" fontId="7" fillId="0" borderId="29" xfId="15" applyFont="1" applyFill="1" applyBorder="1" applyAlignment="1">
      <alignment horizontal="left" vertical="center" wrapText="1" indent="2"/>
    </xf>
    <xf numFmtId="15" fontId="7" fillId="0" borderId="29" xfId="15" applyNumberFormat="1" applyFont="1" applyFill="1" applyBorder="1" applyAlignment="1">
      <alignment horizontal="right"/>
    </xf>
    <xf numFmtId="0" fontId="7" fillId="0" borderId="29" xfId="15" applyFont="1" applyBorder="1" applyAlignment="1">
      <alignment horizontal="right"/>
    </xf>
    <xf numFmtId="167" fontId="12" fillId="0" borderId="29" xfId="7" applyNumberFormat="1" applyFont="1" applyBorder="1"/>
    <xf numFmtId="9" fontId="12" fillId="0" borderId="29" xfId="17" applyFont="1" applyBorder="1"/>
    <xf numFmtId="166" fontId="12" fillId="0" borderId="29" xfId="14" applyNumberFormat="1" applyFont="1" applyBorder="1"/>
    <xf numFmtId="167" fontId="12" fillId="0" borderId="29" xfId="7" applyNumberFormat="1" applyFont="1" applyFill="1" applyBorder="1"/>
    <xf numFmtId="168" fontId="12" fillId="0" borderId="29" xfId="7" applyNumberFormat="1" applyFont="1" applyFill="1" applyBorder="1"/>
    <xf numFmtId="42" fontId="12" fillId="0" borderId="29" xfId="14" applyNumberFormat="1" applyFont="1" applyBorder="1"/>
    <xf numFmtId="0" fontId="7" fillId="0" borderId="29" xfId="15" quotePrefix="1" applyFont="1" applyBorder="1" applyAlignment="1">
      <alignment horizontal="center"/>
    </xf>
    <xf numFmtId="42" fontId="7" fillId="0" borderId="29" xfId="15" applyNumberFormat="1" applyFont="1" applyBorder="1"/>
    <xf numFmtId="0" fontId="5" fillId="0" borderId="0" xfId="15" applyFont="1" applyBorder="1"/>
    <xf numFmtId="166" fontId="29" fillId="0" borderId="29" xfId="14" applyNumberFormat="1" applyFont="1" applyBorder="1"/>
    <xf numFmtId="167" fontId="7" fillId="0" borderId="24" xfId="15" applyNumberFormat="1" applyFont="1" applyBorder="1"/>
    <xf numFmtId="9" fontId="7" fillId="0" borderId="24" xfId="17" applyFont="1" applyBorder="1" applyAlignment="1">
      <alignment horizontal="right"/>
    </xf>
    <xf numFmtId="166" fontId="7" fillId="0" borderId="24" xfId="14" applyNumberFormat="1" applyFont="1" applyBorder="1"/>
    <xf numFmtId="167" fontId="7" fillId="0" borderId="24" xfId="7" applyNumberFormat="1" applyFont="1" applyBorder="1"/>
    <xf numFmtId="168" fontId="7" fillId="0" borderId="24" xfId="7" applyNumberFormat="1" applyFont="1" applyBorder="1"/>
    <xf numFmtId="0" fontId="7" fillId="0" borderId="34" xfId="15" applyFont="1" applyFill="1" applyBorder="1" applyAlignment="1">
      <alignment vertical="center" wrapText="1"/>
    </xf>
    <xf numFmtId="0" fontId="7" fillId="0" borderId="57" xfId="15" applyFont="1" applyFill="1" applyBorder="1" applyAlignment="1">
      <alignment vertical="center" wrapText="1"/>
    </xf>
    <xf numFmtId="167" fontId="7" fillId="0" borderId="57" xfId="15" applyNumberFormat="1" applyFont="1" applyBorder="1"/>
    <xf numFmtId="9" fontId="7" fillId="0" borderId="57" xfId="17" applyFont="1" applyBorder="1" applyAlignment="1">
      <alignment horizontal="right"/>
    </xf>
    <xf numFmtId="166" fontId="7" fillId="0" borderId="57" xfId="14" applyNumberFormat="1" applyFont="1" applyBorder="1"/>
    <xf numFmtId="167" fontId="7" fillId="0" borderId="57" xfId="7" applyNumberFormat="1" applyFont="1" applyBorder="1"/>
    <xf numFmtId="168" fontId="7" fillId="0" borderId="57" xfId="7" applyNumberFormat="1" applyFont="1" applyBorder="1"/>
    <xf numFmtId="42" fontId="29" fillId="0" borderId="57" xfId="14" applyNumberFormat="1" applyFont="1" applyBorder="1"/>
    <xf numFmtId="42" fontId="28" fillId="0" borderId="24" xfId="14" applyNumberFormat="1" applyFont="1" applyBorder="1"/>
    <xf numFmtId="168" fontId="12" fillId="0" borderId="24" xfId="7" applyNumberFormat="1" applyFont="1" applyBorder="1"/>
    <xf numFmtId="166" fontId="29" fillId="0" borderId="24" xfId="14" applyNumberFormat="1" applyFont="1" applyBorder="1"/>
    <xf numFmtId="168" fontId="12" fillId="0" borderId="57" xfId="7" applyNumberFormat="1" applyFont="1" applyBorder="1"/>
    <xf numFmtId="0" fontId="7" fillId="0" borderId="57" xfId="15" quotePrefix="1" applyFont="1" applyBorder="1" applyAlignment="1">
      <alignment horizontal="center"/>
    </xf>
    <xf numFmtId="2" fontId="29" fillId="0" borderId="57" xfId="15" applyNumberFormat="1" applyFont="1" applyBorder="1"/>
    <xf numFmtId="2" fontId="28" fillId="0" borderId="24" xfId="15" applyNumberFormat="1" applyFont="1" applyBorder="1"/>
    <xf numFmtId="2" fontId="29" fillId="0" borderId="24" xfId="15" quotePrefix="1" applyNumberFormat="1" applyFont="1" applyBorder="1" applyAlignment="1">
      <alignment horizontal="right"/>
    </xf>
    <xf numFmtId="42" fontId="29" fillId="0" borderId="57" xfId="15" applyNumberFormat="1" applyFont="1" applyBorder="1"/>
    <xf numFmtId="37" fontId="28" fillId="0" borderId="24" xfId="15" applyNumberFormat="1" applyFont="1" applyBorder="1"/>
    <xf numFmtId="37" fontId="28" fillId="0" borderId="24" xfId="14" applyNumberFormat="1" applyFont="1" applyBorder="1"/>
    <xf numFmtId="0" fontId="7" fillId="0" borderId="18" xfId="15" applyFont="1" applyBorder="1" applyAlignment="1">
      <alignment wrapText="1"/>
    </xf>
    <xf numFmtId="15" fontId="7" fillId="0" borderId="44" xfId="15" applyNumberFormat="1" applyFont="1" applyBorder="1" applyAlignment="1">
      <alignment horizontal="right"/>
    </xf>
    <xf numFmtId="0" fontId="7" fillId="0" borderId="44" xfId="15" applyFont="1" applyBorder="1" applyAlignment="1">
      <alignment horizontal="right"/>
    </xf>
    <xf numFmtId="167" fontId="7" fillId="0" borderId="44" xfId="7" applyNumberFormat="1" applyFont="1" applyBorder="1"/>
    <xf numFmtId="9" fontId="7" fillId="0" borderId="44" xfId="17" applyFont="1" applyBorder="1"/>
    <xf numFmtId="166" fontId="7" fillId="0" borderId="44" xfId="14" applyNumberFormat="1" applyFont="1" applyBorder="1"/>
    <xf numFmtId="0" fontId="7" fillId="0" borderId="44" xfId="15" applyFont="1" applyBorder="1"/>
    <xf numFmtId="168" fontId="7" fillId="0" borderId="44" xfId="7" applyNumberFormat="1" applyFont="1" applyBorder="1"/>
    <xf numFmtId="15" fontId="7" fillId="0" borderId="24" xfId="15" applyNumberFormat="1" applyFont="1" applyBorder="1" applyAlignment="1">
      <alignment horizontal="right"/>
    </xf>
    <xf numFmtId="9" fontId="7" fillId="0" borderId="24" xfId="17" applyFont="1" applyBorder="1"/>
    <xf numFmtId="166" fontId="29" fillId="0" borderId="44" xfId="14" applyNumberFormat="1" applyFont="1" applyBorder="1"/>
    <xf numFmtId="42" fontId="29" fillId="0" borderId="44" xfId="14" applyNumberFormat="1" applyFont="1" applyBorder="1"/>
    <xf numFmtId="0" fontId="29" fillId="0" borderId="44" xfId="15" applyFont="1" applyBorder="1"/>
    <xf numFmtId="42" fontId="29" fillId="0" borderId="44" xfId="15" applyNumberFormat="1" applyFont="1" applyFill="1" applyBorder="1"/>
    <xf numFmtId="0" fontId="28" fillId="0" borderId="24" xfId="15" applyFont="1" applyBorder="1"/>
    <xf numFmtId="42" fontId="28" fillId="0" borderId="24" xfId="15" applyNumberFormat="1" applyFont="1" applyFill="1" applyBorder="1"/>
    <xf numFmtId="0" fontId="6" fillId="0" borderId="58" xfId="15" applyFont="1" applyBorder="1"/>
    <xf numFmtId="0" fontId="6" fillId="0" borderId="58" xfId="15" applyFont="1" applyBorder="1" applyAlignment="1">
      <alignment wrapText="1"/>
    </xf>
    <xf numFmtId="0" fontId="6" fillId="0" borderId="58" xfId="15" applyFont="1" applyFill="1" applyBorder="1"/>
    <xf numFmtId="0" fontId="4" fillId="0" borderId="58" xfId="15" applyFont="1" applyBorder="1"/>
    <xf numFmtId="0" fontId="6" fillId="0" borderId="34" xfId="15" applyFont="1" applyBorder="1" applyAlignment="1">
      <alignment wrapText="1"/>
    </xf>
    <xf numFmtId="0" fontId="6" fillId="0" borderId="59" xfId="15" applyFont="1" applyBorder="1" applyAlignment="1">
      <alignment wrapText="1"/>
    </xf>
    <xf numFmtId="0" fontId="6" fillId="0" borderId="59" xfId="15" applyFont="1" applyBorder="1"/>
    <xf numFmtId="0" fontId="6" fillId="0" borderId="59" xfId="15" applyFont="1" applyFill="1" applyBorder="1"/>
    <xf numFmtId="0" fontId="4" fillId="0" borderId="59" xfId="15" applyFont="1" applyBorder="1"/>
    <xf numFmtId="0" fontId="6" fillId="0" borderId="35" xfId="15" applyFont="1" applyBorder="1"/>
    <xf numFmtId="0" fontId="6" fillId="0" borderId="18" xfId="15" applyFont="1" applyBorder="1"/>
    <xf numFmtId="0" fontId="6" fillId="0" borderId="44" xfId="15" applyFont="1" applyBorder="1" applyAlignment="1">
      <alignment wrapText="1"/>
    </xf>
    <xf numFmtId="166" fontId="30" fillId="0" borderId="19" xfId="15" applyNumberFormat="1" applyFont="1" applyFill="1" applyBorder="1"/>
    <xf numFmtId="166" fontId="31" fillId="0" borderId="37" xfId="15" applyNumberFormat="1" applyFont="1" applyFill="1" applyBorder="1"/>
    <xf numFmtId="167" fontId="29" fillId="0" borderId="23" xfId="3" applyNumberFormat="1" applyFont="1" applyBorder="1"/>
    <xf numFmtId="166" fontId="4" fillId="0" borderId="0" xfId="15" applyNumberFormat="1" applyFont="1"/>
    <xf numFmtId="167" fontId="29" fillId="0" borderId="55" xfId="5" applyNumberFormat="1" applyFont="1" applyBorder="1" applyAlignment="1">
      <alignment horizontal="right"/>
    </xf>
    <xf numFmtId="168" fontId="29" fillId="0" borderId="55" xfId="5" applyNumberFormat="1" applyFont="1" applyBorder="1"/>
    <xf numFmtId="168" fontId="29" fillId="0" borderId="55" xfId="5" applyNumberFormat="1" applyFont="1" applyBorder="1" applyAlignment="1">
      <alignment horizontal="right"/>
    </xf>
    <xf numFmtId="168" fontId="29" fillId="0" borderId="23" xfId="7" applyNumberFormat="1" applyFont="1" applyBorder="1"/>
    <xf numFmtId="9" fontId="29" fillId="0" borderId="57" xfId="17" applyFont="1" applyBorder="1"/>
    <xf numFmtId="9" fontId="28" fillId="0" borderId="24" xfId="17" applyFont="1" applyBorder="1"/>
    <xf numFmtId="172" fontId="33" fillId="0" borderId="0" xfId="8" applyNumberFormat="1" applyFont="1"/>
    <xf numFmtId="172" fontId="32" fillId="0" borderId="0" xfId="8" applyNumberFormat="1" applyFont="1" applyFill="1"/>
    <xf numFmtId="172" fontId="33" fillId="0" borderId="0" xfId="0" applyNumberFormat="1" applyFont="1"/>
    <xf numFmtId="172" fontId="32" fillId="0" borderId="0" xfId="0" applyNumberFormat="1" applyFont="1" applyFill="1"/>
    <xf numFmtId="42" fontId="32" fillId="0" borderId="6" xfId="0" applyNumberFormat="1" applyFont="1" applyBorder="1"/>
    <xf numFmtId="42" fontId="33" fillId="0" borderId="9" xfId="0" applyNumberFormat="1" applyFont="1" applyBorder="1"/>
    <xf numFmtId="42" fontId="24" fillId="0" borderId="7" xfId="0" applyNumberFormat="1" applyFont="1" applyBorder="1"/>
    <xf numFmtId="0" fontId="22" fillId="0" borderId="0" xfId="0" applyFont="1" applyBorder="1"/>
    <xf numFmtId="42" fontId="33" fillId="0" borderId="8" xfId="0" applyNumberFormat="1" applyFont="1" applyBorder="1"/>
    <xf numFmtId="42" fontId="34" fillId="0" borderId="6" xfId="0" applyNumberFormat="1" applyFont="1" applyBorder="1"/>
    <xf numFmtId="42" fontId="35" fillId="0" borderId="6" xfId="0" applyNumberFormat="1" applyFont="1" applyBorder="1"/>
    <xf numFmtId="42" fontId="32" fillId="0" borderId="3" xfId="0" applyNumberFormat="1" applyFont="1" applyBorder="1"/>
    <xf numFmtId="42" fontId="32" fillId="0" borderId="5" xfId="0" applyNumberFormat="1" applyFont="1" applyBorder="1"/>
    <xf numFmtId="42" fontId="33" fillId="0" borderId="5" xfId="0" applyNumberFormat="1" applyFont="1" applyBorder="1"/>
    <xf numFmtId="0" fontId="22" fillId="0" borderId="11" xfId="0" applyFont="1" applyBorder="1"/>
    <xf numFmtId="0" fontId="24" fillId="0" borderId="5" xfId="0" applyFont="1" applyBorder="1"/>
    <xf numFmtId="42" fontId="35" fillId="0" borderId="3" xfId="0" applyNumberFormat="1" applyFont="1" applyBorder="1"/>
    <xf numFmtId="42" fontId="24" fillId="0" borderId="4" xfId="0" applyNumberFormat="1" applyFont="1" applyBorder="1"/>
    <xf numFmtId="0" fontId="26" fillId="0" borderId="35" xfId="0" applyFont="1" applyBorder="1" applyAlignment="1">
      <alignment vertical="top"/>
    </xf>
    <xf numFmtId="0" fontId="0" fillId="0" borderId="59" xfId="0" applyBorder="1"/>
    <xf numFmtId="5" fontId="0" fillId="0" borderId="59" xfId="0" applyNumberFormat="1" applyBorder="1"/>
    <xf numFmtId="5" fontId="0" fillId="0" borderId="37" xfId="0" applyNumberFormat="1" applyBorder="1"/>
    <xf numFmtId="0" fontId="22" fillId="0" borderId="12" xfId="0" applyFont="1" applyBorder="1"/>
    <xf numFmtId="0" fontId="22" fillId="0" borderId="12" xfId="0" applyFont="1" applyBorder="1" applyAlignment="1">
      <alignment horizontal="center" wrapText="1"/>
    </xf>
    <xf numFmtId="5" fontId="22" fillId="0" borderId="13" xfId="0" applyNumberFormat="1" applyFont="1" applyBorder="1" applyAlignment="1">
      <alignment horizontal="center" wrapText="1"/>
    </xf>
    <xf numFmtId="0" fontId="22" fillId="0" borderId="39" xfId="0" applyFont="1" applyBorder="1"/>
    <xf numFmtId="42" fontId="22" fillId="0" borderId="60" xfId="0" applyNumberFormat="1" applyFont="1" applyBorder="1"/>
    <xf numFmtId="0" fontId="22" fillId="0" borderId="14" xfId="0" applyFont="1" applyBorder="1"/>
    <xf numFmtId="42" fontId="22" fillId="0" borderId="20" xfId="0" applyNumberFormat="1" applyFont="1" applyBorder="1"/>
    <xf numFmtId="42" fontId="32" fillId="0" borderId="20" xfId="0" applyNumberFormat="1" applyFont="1" applyBorder="1"/>
    <xf numFmtId="42" fontId="33" fillId="0" borderId="61" xfId="0" applyNumberFormat="1" applyFont="1" applyBorder="1"/>
    <xf numFmtId="42" fontId="32" fillId="0" borderId="62" xfId="0" applyNumberFormat="1" applyFont="1" applyBorder="1"/>
    <xf numFmtId="42" fontId="33" fillId="0" borderId="62" xfId="0" applyNumberFormat="1" applyFont="1" applyBorder="1"/>
    <xf numFmtId="42" fontId="22" fillId="0" borderId="65" xfId="0" applyNumberFormat="1" applyFont="1" applyBorder="1"/>
    <xf numFmtId="42" fontId="22" fillId="0" borderId="62" xfId="0" applyNumberFormat="1" applyFont="1" applyBorder="1"/>
    <xf numFmtId="0" fontId="22" fillId="0" borderId="63" xfId="0" applyFont="1" applyBorder="1"/>
    <xf numFmtId="0" fontId="22" fillId="0" borderId="64" xfId="0" applyFont="1" applyBorder="1"/>
    <xf numFmtId="42" fontId="33" fillId="0" borderId="65" xfId="0" applyNumberFormat="1" applyFont="1" applyBorder="1"/>
    <xf numFmtId="42" fontId="32" fillId="0" borderId="15" xfId="0" applyNumberFormat="1" applyFont="1" applyBorder="1"/>
    <xf numFmtId="0" fontId="22" fillId="0" borderId="66" xfId="0" applyFont="1" applyBorder="1"/>
    <xf numFmtId="0" fontId="24" fillId="0" borderId="64" xfId="0" applyFont="1" applyFill="1" applyBorder="1"/>
    <xf numFmtId="42" fontId="24" fillId="0" borderId="20" xfId="0" applyNumberFormat="1" applyFont="1" applyBorder="1"/>
    <xf numFmtId="42" fontId="35" fillId="0" borderId="20" xfId="0" applyNumberFormat="1" applyFont="1" applyBorder="1"/>
    <xf numFmtId="42" fontId="34" fillId="0" borderId="20" xfId="0" applyNumberFormat="1" applyFont="1" applyBorder="1"/>
    <xf numFmtId="0" fontId="24" fillId="0" borderId="64" xfId="0" applyFont="1" applyBorder="1"/>
    <xf numFmtId="42" fontId="35" fillId="0" borderId="15" xfId="0" applyNumberFormat="1" applyFont="1" applyBorder="1"/>
    <xf numFmtId="0" fontId="24" fillId="0" borderId="18" xfId="0" applyFont="1" applyBorder="1"/>
    <xf numFmtId="0" fontId="24" fillId="0" borderId="67" xfId="0" applyFont="1" applyBorder="1"/>
    <xf numFmtId="42" fontId="24" fillId="0" borderId="67" xfId="0" applyNumberFormat="1" applyFont="1" applyBorder="1"/>
    <xf numFmtId="42" fontId="34" fillId="0" borderId="68" xfId="0" applyNumberFormat="1" applyFont="1" applyBorder="1"/>
    <xf numFmtId="42" fontId="34" fillId="0" borderId="67" xfId="0" applyNumberFormat="1" applyFont="1" applyBorder="1"/>
    <xf numFmtId="0" fontId="7" fillId="0" borderId="21" xfId="15" applyFont="1" applyBorder="1" applyAlignment="1">
      <alignment wrapText="1"/>
    </xf>
    <xf numFmtId="0" fontId="7" fillId="0" borderId="11" xfId="15" applyFont="1" applyBorder="1" applyAlignment="1">
      <alignment horizontal="right"/>
    </xf>
    <xf numFmtId="170" fontId="7" fillId="0" borderId="57" xfId="15" applyNumberFormat="1" applyFont="1" applyBorder="1"/>
    <xf numFmtId="166" fontId="7" fillId="0" borderId="11" xfId="10" applyNumberFormat="1" applyFont="1" applyBorder="1"/>
    <xf numFmtId="0" fontId="7" fillId="0" borderId="35" xfId="15" applyFont="1" applyBorder="1" applyAlignment="1">
      <alignment wrapText="1"/>
    </xf>
    <xf numFmtId="0" fontId="7" fillId="0" borderId="34" xfId="15" applyFont="1" applyBorder="1"/>
    <xf numFmtId="0" fontId="7" fillId="0" borderId="26" xfId="15" applyFont="1" applyBorder="1" applyAlignment="1">
      <alignment horizontal="right" wrapText="1"/>
    </xf>
    <xf numFmtId="169" fontId="7" fillId="0" borderId="24" xfId="10" applyNumberFormat="1" applyFont="1" applyFill="1" applyBorder="1"/>
    <xf numFmtId="169" fontId="7" fillId="0" borderId="26" xfId="10" applyNumberFormat="1" applyFont="1" applyFill="1" applyBorder="1"/>
    <xf numFmtId="0" fontId="7" fillId="0" borderId="59" xfId="15" applyFont="1" applyBorder="1" applyAlignment="1">
      <alignment horizontal="right"/>
    </xf>
    <xf numFmtId="166" fontId="7" fillId="0" borderId="59" xfId="10" applyNumberFormat="1" applyFont="1" applyBorder="1"/>
    <xf numFmtId="0" fontId="7" fillId="0" borderId="11" xfId="15" applyFont="1" applyBorder="1" applyAlignment="1">
      <alignment horizontal="right" wrapText="1"/>
    </xf>
    <xf numFmtId="169" fontId="7" fillId="0" borderId="57" xfId="10" applyNumberFormat="1" applyFont="1" applyFill="1" applyBorder="1"/>
    <xf numFmtId="169" fontId="7" fillId="0" borderId="11" xfId="10" applyNumberFormat="1" applyFont="1" applyFill="1" applyBorder="1"/>
    <xf numFmtId="167" fontId="29" fillId="0" borderId="57" xfId="3" applyNumberFormat="1" applyFont="1" applyBorder="1"/>
    <xf numFmtId="167" fontId="28" fillId="0" borderId="34" xfId="3" applyNumberFormat="1" applyFont="1" applyBorder="1"/>
    <xf numFmtId="167" fontId="29" fillId="0" borderId="29" xfId="15" applyNumberFormat="1" applyFont="1" applyBorder="1"/>
    <xf numFmtId="167" fontId="28" fillId="0" borderId="34" xfId="15" applyNumberFormat="1" applyFont="1" applyBorder="1"/>
    <xf numFmtId="0" fontId="22" fillId="0" borderId="14" xfId="0" applyFont="1" applyBorder="1" applyAlignment="1">
      <alignment vertical="center" wrapText="1"/>
    </xf>
    <xf numFmtId="37" fontId="22" fillId="0" borderId="39" xfId="0" applyNumberFormat="1" applyFont="1" applyBorder="1"/>
    <xf numFmtId="37" fontId="22" fillId="0" borderId="15" xfId="0" applyNumberFormat="1" applyFont="1" applyBorder="1"/>
    <xf numFmtId="37" fontId="22" fillId="0" borderId="69" xfId="0" applyNumberFormat="1" applyFont="1" applyBorder="1"/>
    <xf numFmtId="37" fontId="22" fillId="0" borderId="70" xfId="0" applyNumberFormat="1" applyFont="1" applyBorder="1"/>
    <xf numFmtId="37" fontId="22" fillId="0" borderId="65" xfId="0" applyNumberFormat="1" applyFont="1" applyFill="1" applyBorder="1" applyAlignment="1">
      <alignment vertical="center"/>
    </xf>
    <xf numFmtId="37" fontId="22" fillId="0" borderId="21" xfId="0" applyNumberFormat="1" applyFont="1" applyFill="1" applyBorder="1" applyAlignment="1">
      <alignment vertical="center"/>
    </xf>
    <xf numFmtId="37" fontId="33" fillId="0" borderId="21" xfId="0" applyNumberFormat="1" applyFont="1" applyFill="1" applyBorder="1" applyAlignment="1">
      <alignment vertical="center"/>
    </xf>
    <xf numFmtId="37" fontId="33" fillId="0" borderId="65" xfId="0" applyNumberFormat="1" applyFont="1" applyFill="1" applyBorder="1" applyAlignment="1">
      <alignment vertical="center"/>
    </xf>
    <xf numFmtId="37" fontId="33" fillId="0" borderId="69" xfId="0" applyNumberFormat="1" applyFont="1" applyBorder="1"/>
    <xf numFmtId="37" fontId="33" fillId="0" borderId="70" xfId="0" applyNumberFormat="1" applyFont="1" applyBorder="1"/>
    <xf numFmtId="37" fontId="32" fillId="0" borderId="39" xfId="0" applyNumberFormat="1" applyFont="1" applyBorder="1"/>
    <xf numFmtId="37" fontId="32" fillId="0" borderId="15" xfId="0" applyNumberFormat="1" applyFont="1" applyBorder="1"/>
    <xf numFmtId="37" fontId="32" fillId="0" borderId="14" xfId="0" applyNumberFormat="1" applyFont="1" applyFill="1" applyBorder="1" applyAlignment="1">
      <alignment vertical="center"/>
    </xf>
    <xf numFmtId="37" fontId="32" fillId="0" borderId="15" xfId="0" applyNumberFormat="1" applyFont="1" applyFill="1" applyBorder="1" applyAlignment="1">
      <alignment vertical="center"/>
    </xf>
    <xf numFmtId="37" fontId="33" fillId="0" borderId="0" xfId="0" applyNumberFormat="1" applyFont="1" applyBorder="1"/>
    <xf numFmtId="37" fontId="33" fillId="0" borderId="0" xfId="0" applyNumberFormat="1" applyFont="1" applyFill="1" applyBorder="1"/>
    <xf numFmtId="42" fontId="36" fillId="0" borderId="6" xfId="0" applyNumberFormat="1" applyFont="1" applyBorder="1"/>
    <xf numFmtId="42" fontId="36" fillId="0" borderId="9" xfId="0" applyNumberFormat="1" applyFont="1" applyBorder="1"/>
    <xf numFmtId="42" fontId="36" fillId="0" borderId="7" xfId="0" applyNumberFormat="1" applyFont="1" applyBorder="1"/>
    <xf numFmtId="37" fontId="33" fillId="0" borderId="6" xfId="0" applyNumberFormat="1" applyFont="1" applyFill="1" applyBorder="1"/>
    <xf numFmtId="37" fontId="33" fillId="0" borderId="11" xfId="0" applyNumberFormat="1" applyFont="1" applyBorder="1"/>
    <xf numFmtId="0" fontId="27" fillId="0" borderId="6" xfId="0" applyFont="1" applyFill="1" applyBorder="1"/>
    <xf numFmtId="0" fontId="24" fillId="0" borderId="9" xfId="0" applyFont="1" applyFill="1" applyBorder="1"/>
    <xf numFmtId="42" fontId="22" fillId="0" borderId="4" xfId="0" applyNumberFormat="1" applyFont="1" applyFill="1" applyBorder="1"/>
    <xf numFmtId="42" fontId="22" fillId="0" borderId="7" xfId="0" applyNumberFormat="1" applyFont="1" applyFill="1" applyBorder="1"/>
    <xf numFmtId="37" fontId="33" fillId="0" borderId="9" xfId="0" applyNumberFormat="1" applyFont="1" applyFill="1" applyBorder="1"/>
    <xf numFmtId="37" fontId="22" fillId="0" borderId="9" xfId="0" applyNumberFormat="1" applyFont="1" applyFill="1" applyBorder="1"/>
    <xf numFmtId="39" fontId="22" fillId="0" borderId="3" xfId="0" applyNumberFormat="1" applyFont="1" applyBorder="1"/>
    <xf numFmtId="39" fontId="22" fillId="0" borderId="0" xfId="0" applyNumberFormat="1" applyFont="1" applyBorder="1"/>
    <xf numFmtId="42" fontId="22" fillId="0" borderId="10" xfId="0" applyNumberFormat="1" applyFont="1" applyFill="1" applyBorder="1"/>
    <xf numFmtId="37" fontId="22" fillId="0" borderId="11" xfId="0" applyNumberFormat="1" applyFont="1" applyFill="1" applyBorder="1"/>
    <xf numFmtId="39" fontId="22" fillId="0" borderId="2" xfId="0" applyNumberFormat="1" applyFont="1" applyBorder="1"/>
    <xf numFmtId="37" fontId="33" fillId="0" borderId="9" xfId="0" applyNumberFormat="1" applyFont="1" applyBorder="1"/>
    <xf numFmtId="0" fontId="24" fillId="0" borderId="2" xfId="0" applyFont="1" applyBorder="1"/>
    <xf numFmtId="37" fontId="32" fillId="0" borderId="0" xfId="0" applyNumberFormat="1" applyFont="1" applyFill="1" applyBorder="1"/>
    <xf numFmtId="37" fontId="32" fillId="0" borderId="3" xfId="0" applyNumberFormat="1" applyFont="1" applyBorder="1"/>
    <xf numFmtId="37" fontId="32" fillId="0" borderId="6" xfId="0" applyNumberFormat="1" applyFont="1" applyFill="1" applyBorder="1"/>
    <xf numFmtId="37" fontId="32" fillId="0" borderId="3" xfId="0" applyNumberFormat="1" applyFont="1" applyFill="1" applyBorder="1"/>
    <xf numFmtId="37" fontId="32" fillId="0" borderId="0" xfId="0" applyNumberFormat="1" applyFont="1" applyBorder="1"/>
    <xf numFmtId="167" fontId="28" fillId="0" borderId="55" xfId="5" applyNumberFormat="1" applyFont="1" applyBorder="1"/>
    <xf numFmtId="167" fontId="29" fillId="0" borderId="55" xfId="5" applyNumberFormat="1" applyFont="1" applyBorder="1"/>
    <xf numFmtId="37" fontId="33" fillId="0" borderId="21" xfId="0" applyNumberFormat="1" applyFont="1" applyFill="1" applyBorder="1" applyAlignment="1">
      <alignment horizontal="right" vertical="center"/>
    </xf>
    <xf numFmtId="37" fontId="33" fillId="0" borderId="65" xfId="0" applyNumberFormat="1" applyFont="1" applyFill="1" applyBorder="1" applyAlignment="1">
      <alignment horizontal="right" vertical="center"/>
    </xf>
    <xf numFmtId="37" fontId="32" fillId="0" borderId="14" xfId="0" applyNumberFormat="1" applyFont="1" applyFill="1" applyBorder="1" applyAlignment="1">
      <alignment horizontal="right" vertical="center"/>
    </xf>
    <xf numFmtId="37" fontId="32" fillId="0" borderId="15" xfId="0" applyNumberFormat="1" applyFont="1" applyFill="1" applyBorder="1" applyAlignment="1">
      <alignment horizontal="right" vertical="center"/>
    </xf>
    <xf numFmtId="168" fontId="28" fillId="0" borderId="24" xfId="7" applyNumberFormat="1" applyFont="1" applyBorder="1"/>
    <xf numFmtId="168" fontId="29" fillId="0" borderId="57" xfId="7" applyNumberFormat="1" applyFont="1" applyBorder="1"/>
    <xf numFmtId="42" fontId="33" fillId="0" borderId="0" xfId="0" applyNumberFormat="1" applyFont="1" applyBorder="1"/>
    <xf numFmtId="42" fontId="32" fillId="0" borderId="0" xfId="0" applyNumberFormat="1" applyFont="1" applyBorder="1"/>
    <xf numFmtId="42" fontId="32" fillId="0" borderId="7" xfId="0" applyNumberFormat="1" applyFont="1" applyBorder="1"/>
    <xf numFmtId="42" fontId="34" fillId="0" borderId="5" xfId="0" applyNumberFormat="1" applyFont="1" applyBorder="1"/>
    <xf numFmtId="42" fontId="32" fillId="0" borderId="4" xfId="0" applyNumberFormat="1" applyFont="1" applyBorder="1"/>
    <xf numFmtId="42" fontId="35" fillId="0" borderId="5" xfId="0" applyNumberFormat="1" applyFont="1" applyBorder="1"/>
    <xf numFmtId="42" fontId="35" fillId="0" borderId="2" xfId="0" applyNumberFormat="1" applyFont="1" applyBorder="1"/>
    <xf numFmtId="0" fontId="24" fillId="0" borderId="3" xfId="0" applyFont="1" applyBorder="1" applyAlignment="1">
      <alignment horizontal="center" wrapText="1"/>
    </xf>
    <xf numFmtId="0" fontId="24" fillId="0" borderId="9" xfId="0" applyFont="1" applyBorder="1" applyAlignment="1">
      <alignment horizontal="center" wrapText="1"/>
    </xf>
    <xf numFmtId="0" fontId="24" fillId="0" borderId="2" xfId="0" applyFont="1" applyBorder="1" applyAlignment="1">
      <alignment horizontal="center" wrapText="1"/>
    </xf>
    <xf numFmtId="0" fontId="24" fillId="0" borderId="4" xfId="0" applyFont="1" applyBorder="1" applyAlignment="1">
      <alignment horizontal="center"/>
    </xf>
    <xf numFmtId="0" fontId="24" fillId="0" borderId="8" xfId="0" applyFont="1" applyBorder="1" applyAlignment="1">
      <alignment horizontal="center"/>
    </xf>
    <xf numFmtId="0" fontId="24" fillId="0" borderId="10" xfId="0" applyFont="1" applyBorder="1" applyAlignment="1">
      <alignment horizontal="center"/>
    </xf>
    <xf numFmtId="0" fontId="24" fillId="0" borderId="3" xfId="0" applyFont="1" applyBorder="1" applyAlignment="1">
      <alignment horizontal="center"/>
    </xf>
    <xf numFmtId="0" fontId="24" fillId="0" borderId="9" xfId="0" applyFont="1" applyBorder="1" applyAlignment="1">
      <alignment horizontal="center"/>
    </xf>
    <xf numFmtId="5" fontId="22" fillId="0" borderId="1" xfId="0" applyNumberFormat="1" applyFont="1" applyBorder="1" applyAlignment="1">
      <alignment horizontal="center"/>
    </xf>
    <xf numFmtId="5" fontId="22" fillId="0" borderId="13" xfId="0" applyNumberFormat="1" applyFont="1" applyBorder="1" applyAlignment="1">
      <alignment horizontal="center"/>
    </xf>
    <xf numFmtId="0" fontId="22" fillId="0" borderId="63" xfId="0" applyFont="1" applyBorder="1" applyAlignment="1">
      <alignment horizontal="left" wrapText="1"/>
    </xf>
    <xf numFmtId="0" fontId="22" fillId="0" borderId="64" xfId="0" applyFont="1" applyBorder="1" applyAlignment="1">
      <alignment horizontal="left" wrapText="1"/>
    </xf>
    <xf numFmtId="0" fontId="22" fillId="0" borderId="0" xfId="0" applyFont="1" applyFill="1" applyBorder="1" applyAlignment="1">
      <alignment horizontal="left" wrapText="1"/>
    </xf>
    <xf numFmtId="0" fontId="22" fillId="0" borderId="0" xfId="0" applyFont="1" applyAlignment="1">
      <alignment wrapText="1"/>
    </xf>
    <xf numFmtId="0" fontId="0" fillId="0" borderId="0" xfId="0" applyAlignment="1">
      <alignment wrapText="1"/>
    </xf>
    <xf numFmtId="5" fontId="22" fillId="0" borderId="27" xfId="0" applyNumberFormat="1" applyFont="1" applyBorder="1" applyAlignment="1">
      <alignment horizontal="center"/>
    </xf>
    <xf numFmtId="5" fontId="22" fillId="0" borderId="41" xfId="0" applyNumberFormat="1" applyFont="1" applyBorder="1" applyAlignment="1">
      <alignment horizontal="center"/>
    </xf>
    <xf numFmtId="0" fontId="22" fillId="0" borderId="3" xfId="0" applyFont="1" applyBorder="1" applyAlignment="1">
      <alignment horizontal="left" wrapText="1"/>
    </xf>
    <xf numFmtId="0" fontId="22" fillId="0" borderId="6" xfId="0" applyFont="1" applyBorder="1" applyAlignment="1">
      <alignment horizontal="left" wrapText="1"/>
    </xf>
    <xf numFmtId="0" fontId="18" fillId="0" borderId="0" xfId="0" applyFont="1" applyAlignment="1">
      <alignment horizontal="left" wrapText="1"/>
    </xf>
    <xf numFmtId="3" fontId="10" fillId="0" borderId="1" xfId="0" applyNumberFormat="1" applyFont="1" applyBorder="1" applyAlignment="1">
      <alignment horizontal="center"/>
    </xf>
    <xf numFmtId="0" fontId="10" fillId="0" borderId="27" xfId="0" applyFont="1" applyBorder="1" applyAlignment="1">
      <alignment horizontal="center"/>
    </xf>
    <xf numFmtId="0" fontId="10" fillId="0" borderId="2" xfId="0" applyFont="1" applyBorder="1" applyAlignment="1">
      <alignment horizontal="center"/>
    </xf>
    <xf numFmtId="0" fontId="10" fillId="0" borderId="41" xfId="0" applyFont="1" applyBorder="1" applyAlignment="1">
      <alignment horizontal="center"/>
    </xf>
    <xf numFmtId="0" fontId="10" fillId="0" borderId="1" xfId="0" applyFont="1" applyBorder="1" applyAlignment="1">
      <alignment horizontal="center"/>
    </xf>
    <xf numFmtId="0" fontId="11"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7" xfId="0" applyFont="1" applyBorder="1" applyAlignment="1">
      <alignment horizontal="center" vertical="center"/>
    </xf>
    <xf numFmtId="3" fontId="10" fillId="0" borderId="47" xfId="0" applyNumberFormat="1" applyFont="1" applyBorder="1" applyAlignment="1">
      <alignment horizontal="right" vertical="center"/>
    </xf>
    <xf numFmtId="9" fontId="10" fillId="0" borderId="48" xfId="0" applyNumberFormat="1" applyFont="1" applyBorder="1" applyAlignment="1">
      <alignment horizontal="right" vertical="center"/>
    </xf>
    <xf numFmtId="0" fontId="10" fillId="0" borderId="48" xfId="0" applyFont="1" applyBorder="1" applyAlignment="1">
      <alignment horizontal="right" vertical="center"/>
    </xf>
    <xf numFmtId="0" fontId="10" fillId="0" borderId="48" xfId="0" applyFont="1" applyBorder="1" applyAlignment="1">
      <alignment horizontal="left" vertical="center"/>
    </xf>
    <xf numFmtId="9" fontId="10" fillId="0" borderId="47" xfId="0" applyNumberFormat="1" applyFont="1" applyBorder="1" applyAlignment="1">
      <alignment horizontal="right" vertical="center"/>
    </xf>
    <xf numFmtId="0" fontId="10" fillId="0" borderId="47" xfId="0" applyFont="1" applyBorder="1" applyAlignment="1">
      <alignment horizontal="right" vertical="center"/>
    </xf>
    <xf numFmtId="3" fontId="10" fillId="0" borderId="47" xfId="0" applyNumberFormat="1" applyFont="1" applyBorder="1" applyAlignment="1">
      <alignment horizontal="center" vertical="center"/>
    </xf>
    <xf numFmtId="3" fontId="10" fillId="0" borderId="47" xfId="0" applyNumberFormat="1" applyFont="1" applyBorder="1" applyAlignment="1">
      <alignment vertical="center"/>
    </xf>
    <xf numFmtId="0" fontId="22" fillId="0" borderId="39" xfId="0" applyFont="1" applyBorder="1" applyAlignment="1">
      <alignment horizontal="center"/>
    </xf>
    <xf numFmtId="0" fontId="22" fillId="0" borderId="14" xfId="0" applyFont="1" applyBorder="1" applyAlignment="1">
      <alignment horizontal="center"/>
    </xf>
    <xf numFmtId="0" fontId="22" fillId="0" borderId="42" xfId="0" applyFont="1" applyBorder="1" applyAlignment="1">
      <alignment horizontal="center"/>
    </xf>
    <xf numFmtId="0" fontId="22" fillId="0" borderId="43" xfId="0" applyFont="1" applyBorder="1" applyAlignment="1">
      <alignment horizontal="center"/>
    </xf>
    <xf numFmtId="39" fontId="22" fillId="0" borderId="15" xfId="0" applyNumberFormat="1" applyFont="1" applyFill="1" applyBorder="1" applyAlignment="1">
      <alignment horizontal="right" vertical="center"/>
    </xf>
    <xf numFmtId="39" fontId="22" fillId="0" borderId="20" xfId="0" applyNumberFormat="1" applyFont="1" applyFill="1" applyBorder="1" applyAlignment="1">
      <alignment horizontal="right" vertical="center"/>
    </xf>
    <xf numFmtId="0" fontId="22" fillId="0" borderId="0" xfId="0" applyNumberFormat="1" applyFont="1" applyBorder="1" applyAlignment="1">
      <alignment horizontal="center" wrapText="1"/>
    </xf>
    <xf numFmtId="0" fontId="22" fillId="0" borderId="0" xfId="0" applyFont="1" applyAlignment="1">
      <alignment horizontal="left" wrapText="1"/>
    </xf>
    <xf numFmtId="39" fontId="22" fillId="0" borderId="39" xfId="0" applyNumberFormat="1" applyFont="1" applyFill="1" applyBorder="1" applyAlignment="1">
      <alignment horizontal="right" vertical="center"/>
    </xf>
    <xf numFmtId="39" fontId="22" fillId="0" borderId="14" xfId="0" applyNumberFormat="1" applyFont="1" applyFill="1" applyBorder="1" applyAlignment="1">
      <alignment horizontal="right" vertical="center"/>
    </xf>
    <xf numFmtId="0" fontId="22" fillId="0" borderId="38" xfId="0" applyFont="1" applyBorder="1" applyAlignment="1">
      <alignment horizontal="center"/>
    </xf>
    <xf numFmtId="0" fontId="22" fillId="0" borderId="32" xfId="0" applyFont="1" applyBorder="1" applyAlignment="1">
      <alignment horizontal="center"/>
    </xf>
    <xf numFmtId="0" fontId="22" fillId="0" borderId="14" xfId="0" applyFont="1" applyBorder="1" applyAlignment="1">
      <alignment horizontal="left" vertical="center" wrapText="1"/>
    </xf>
    <xf numFmtId="0" fontId="13" fillId="0" borderId="27" xfId="0" applyFont="1" applyBorder="1" applyAlignment="1" applyProtection="1">
      <alignment horizontal="center"/>
      <protection locked="0"/>
    </xf>
    <xf numFmtId="0" fontId="13" fillId="0" borderId="28" xfId="0" applyFont="1" applyBorder="1" applyAlignment="1" applyProtection="1">
      <alignment horizontal="center"/>
      <protection locked="0"/>
    </xf>
    <xf numFmtId="0" fontId="13" fillId="0" borderId="41" xfId="0" applyFont="1" applyBorder="1" applyAlignment="1" applyProtection="1">
      <alignment horizontal="center"/>
      <protection locked="0"/>
    </xf>
    <xf numFmtId="0" fontId="13" fillId="0" borderId="27" xfId="0" applyFont="1" applyBorder="1" applyAlignment="1">
      <alignment horizontal="center"/>
    </xf>
    <xf numFmtId="0" fontId="13" fillId="0" borderId="28" xfId="0" applyFont="1" applyBorder="1" applyAlignment="1">
      <alignment horizontal="center"/>
    </xf>
    <xf numFmtId="0" fontId="13" fillId="0" borderId="41" xfId="0" applyFont="1" applyBorder="1" applyAlignment="1">
      <alignment horizontal="center"/>
    </xf>
    <xf numFmtId="0" fontId="7" fillId="0" borderId="31" xfId="15" applyFont="1" applyFill="1" applyBorder="1" applyAlignment="1">
      <alignment horizontal="center" vertical="center" wrapText="1"/>
    </xf>
    <xf numFmtId="0" fontId="7" fillId="0" borderId="33" xfId="15" applyFont="1" applyFill="1" applyBorder="1" applyAlignment="1">
      <alignment horizontal="center" vertical="center" wrapText="1"/>
    </xf>
    <xf numFmtId="0" fontId="7" fillId="0" borderId="30" xfId="15" applyFont="1" applyFill="1" applyBorder="1" applyAlignment="1">
      <alignment horizontal="center" vertical="center" wrapText="1"/>
    </xf>
    <xf numFmtId="166" fontId="7" fillId="0" borderId="31" xfId="12" applyNumberFormat="1" applyFont="1" applyFill="1" applyBorder="1" applyAlignment="1">
      <alignment horizontal="center" vertical="center" wrapText="1"/>
    </xf>
    <xf numFmtId="166" fontId="7" fillId="0" borderId="30" xfId="12" applyNumberFormat="1" applyFont="1" applyFill="1" applyBorder="1" applyAlignment="1">
      <alignment horizontal="center" vertical="center" wrapText="1"/>
    </xf>
    <xf numFmtId="166" fontId="7" fillId="0" borderId="31" xfId="13" applyNumberFormat="1" applyFont="1" applyFill="1" applyBorder="1" applyAlignment="1">
      <alignment horizontal="center" vertical="center" wrapText="1"/>
    </xf>
    <xf numFmtId="166" fontId="7" fillId="0" borderId="30" xfId="13" applyNumberFormat="1" applyFont="1" applyFill="1" applyBorder="1" applyAlignment="1">
      <alignment horizontal="center" vertical="center" wrapText="1"/>
    </xf>
    <xf numFmtId="166" fontId="7" fillId="0" borderId="31" xfId="14" applyNumberFormat="1" applyFont="1" applyFill="1" applyBorder="1" applyAlignment="1">
      <alignment horizontal="center" vertical="center" wrapText="1"/>
    </xf>
    <xf numFmtId="166" fontId="7" fillId="0" borderId="30" xfId="14" applyNumberFormat="1" applyFont="1" applyFill="1" applyBorder="1" applyAlignment="1">
      <alignment horizontal="center" vertical="center" wrapText="1"/>
    </xf>
  </cellXfs>
  <cellStyles count="18">
    <cellStyle name="Comma" xfId="1" builtinId="3"/>
    <cellStyle name="Comma 2" xfId="2"/>
    <cellStyle name="Comma 3" xfId="3"/>
    <cellStyle name="Comma 4" xfId="4"/>
    <cellStyle name="Comma 5" xfId="5"/>
    <cellStyle name="Comma 6" xfId="6"/>
    <cellStyle name="Comma 7" xfId="7"/>
    <cellStyle name="Currency" xfId="8" builtinId="4"/>
    <cellStyle name="Currency 2" xfId="9"/>
    <cellStyle name="Currency 3" xfId="10"/>
    <cellStyle name="Currency 4" xfId="11"/>
    <cellStyle name="Currency 5" xfId="12"/>
    <cellStyle name="Currency 6" xfId="13"/>
    <cellStyle name="Currency 7" xfId="14"/>
    <cellStyle name="Normal" xfId="0" builtinId="0"/>
    <cellStyle name="Normal 2" xfId="15"/>
    <cellStyle name="Percent" xfId="16" builtinId="5"/>
    <cellStyle name="Percent 2" xfId="1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zebrowski\Local%20Settings\Temporary%20Internet%20Files\Content.Outlook\LDOAQ1RC\Carrying%20Charges-LRAM%20%20Rate%20Rider%20Calcul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zebrowski\Local%20Settings\Temporary%20Internet%20Files\Content.Outlook\LDOAQ1RC\DRAFT_Veridian_2005%20TRC%20Details_v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zebrowski\Local%20Settings\Temporary%20Internet%20Files\Content.Outlook\LDOAQ1RC\DRAFT_Veridian_2006%20TRC%20Details_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zebrowski\Local%20Settings\Temporary%20Internet%20Files\Content.Outlook\LDOAQ1RC\DRAFT_Veridian_2007%20TRC%20Details_v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arrying Charges"/>
      <sheetName val="Rate Rider Calc"/>
    </sheetNames>
    <sheetDataSet>
      <sheetData sheetId="0">
        <row r="10">
          <cell r="E10">
            <v>27877</v>
          </cell>
        </row>
        <row r="20">
          <cell r="M20">
            <v>2804.9874517123289</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SM Supporting Tables"/>
      <sheetName val="LRAM Supporting Tables"/>
      <sheetName val="TRC Data Verification"/>
      <sheetName val="Sheet2"/>
      <sheetName val="Sheet3"/>
      <sheetName val="Sheet4"/>
    </sheetNames>
    <sheetDataSet>
      <sheetData sheetId="0">
        <row r="13">
          <cell r="U13">
            <v>14018.35</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SM Supporting Tables"/>
      <sheetName val="LRAM Supporting Tables"/>
      <sheetName val="TRC Data Verification"/>
      <sheetName val="Sheet2"/>
      <sheetName val="Sheet3"/>
      <sheetName val="Sheet4"/>
    </sheetNames>
    <sheetDataSet>
      <sheetData sheetId="0">
        <row r="17">
          <cell r="U17">
            <v>476.65000000000003</v>
          </cell>
        </row>
        <row r="18">
          <cell r="U18">
            <v>-5623.25</v>
          </cell>
        </row>
        <row r="20">
          <cell r="U20">
            <v>155293.35</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SM Supporting Tables"/>
      <sheetName val="LRAM Supporting Tables"/>
      <sheetName val="TRC Data Verification"/>
      <sheetName val="Sheet2"/>
      <sheetName val="Sheet3"/>
      <sheetName val="Sheet4"/>
    </sheetNames>
    <sheetDataSet>
      <sheetData sheetId="0">
        <row r="8">
          <cell r="U8">
            <v>48050.950000000004</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5:M20"/>
  <sheetViews>
    <sheetView view="pageBreakPreview" zoomScale="60" zoomScaleNormal="100" workbookViewId="0">
      <selection activeCell="H27" sqref="H26:H27"/>
    </sheetView>
  </sheetViews>
  <sheetFormatPr defaultRowHeight="15"/>
  <cols>
    <col min="1" max="1" width="12.42578125" style="206" customWidth="1"/>
    <col min="2" max="2" width="10.7109375" style="206" customWidth="1"/>
    <col min="3" max="3" width="14" style="206" customWidth="1"/>
    <col min="4" max="4" width="13.140625" style="206" customWidth="1"/>
    <col min="5" max="5" width="12.140625" style="206" customWidth="1"/>
    <col min="6" max="6" width="10.7109375" style="206" customWidth="1"/>
    <col min="7" max="7" width="13.28515625" style="206" customWidth="1"/>
    <col min="8" max="8" width="14.28515625" style="206" customWidth="1"/>
    <col min="9" max="9" width="12" style="206" bestFit="1" customWidth="1"/>
    <col min="10" max="10" width="17.85546875" style="206" customWidth="1"/>
    <col min="11" max="11" width="10.28515625" style="206" customWidth="1"/>
    <col min="12" max="12" width="17.140625" style="206" customWidth="1"/>
    <col min="13" max="13" width="14.7109375" style="206" customWidth="1"/>
    <col min="14" max="16384" width="9.140625" style="206"/>
  </cols>
  <sheetData>
    <row r="5" spans="1:13" s="306" customFormat="1" ht="15.75">
      <c r="A5" s="310" t="s">
        <v>154</v>
      </c>
      <c r="B5" s="310" t="s">
        <v>148</v>
      </c>
    </row>
    <row r="6" spans="1:13" s="306" customFormat="1" ht="15.75"/>
    <row r="7" spans="1:13" s="306" customFormat="1" ht="15.75"/>
    <row r="8" spans="1:13" s="306" customFormat="1" ht="15.75">
      <c r="B8" s="653" t="s">
        <v>186</v>
      </c>
      <c r="C8" s="654"/>
      <c r="D8" s="653" t="s">
        <v>188</v>
      </c>
      <c r="E8" s="654"/>
      <c r="F8" s="653" t="s">
        <v>189</v>
      </c>
      <c r="G8" s="654"/>
      <c r="H8" s="657" t="s">
        <v>26</v>
      </c>
      <c r="I8" s="657" t="s">
        <v>66</v>
      </c>
      <c r="J8" s="651" t="s">
        <v>187</v>
      </c>
      <c r="K8" s="651" t="s">
        <v>149</v>
      </c>
      <c r="L8" s="651" t="s">
        <v>150</v>
      </c>
      <c r="M8" s="651" t="s">
        <v>151</v>
      </c>
    </row>
    <row r="9" spans="1:13" s="306" customFormat="1" ht="15.75">
      <c r="B9" s="655"/>
      <c r="C9" s="656"/>
      <c r="D9" s="655"/>
      <c r="E9" s="656"/>
      <c r="F9" s="655"/>
      <c r="G9" s="656"/>
      <c r="H9" s="658"/>
      <c r="I9" s="658"/>
      <c r="J9" s="658"/>
      <c r="K9" s="652"/>
      <c r="L9" s="652"/>
      <c r="M9" s="652"/>
    </row>
    <row r="10" spans="1:13" s="306" customFormat="1" ht="15.75">
      <c r="B10" s="311" t="s">
        <v>26</v>
      </c>
      <c r="C10" s="311" t="s">
        <v>66</v>
      </c>
      <c r="D10" s="311" t="s">
        <v>26</v>
      </c>
      <c r="E10" s="311" t="s">
        <v>66</v>
      </c>
      <c r="F10" s="311" t="s">
        <v>26</v>
      </c>
      <c r="G10" s="311" t="s">
        <v>66</v>
      </c>
      <c r="H10" s="311" t="s">
        <v>32</v>
      </c>
      <c r="I10" s="311" t="s">
        <v>32</v>
      </c>
      <c r="J10" s="311"/>
    </row>
    <row r="11" spans="1:13" s="306" customFormat="1" ht="15.75"/>
    <row r="12" spans="1:13" s="306" customFormat="1" ht="15.75">
      <c r="A12" s="306" t="s">
        <v>152</v>
      </c>
      <c r="B12" s="312">
        <f>'[1]Carrying Charges'!E10+'[1]Carrying Charges'!M20</f>
        <v>30681.987451712328</v>
      </c>
      <c r="C12" s="312">
        <f>'[2]SSM Supporting Tables'!$U$13</f>
        <v>14018.35</v>
      </c>
      <c r="D12" s="313">
        <f>'Carrying Charges'!E11+'Carrying Charges'!M21</f>
        <v>226228.35523438928</v>
      </c>
      <c r="E12" s="313">
        <f>'[3]SSM Supporting Tables'!$U$20-'[3]SSM Supporting Tables'!$U$17-'[3]SSM Supporting Tables'!$U$18</f>
        <v>160439.95000000001</v>
      </c>
      <c r="F12" s="313">
        <f>'Carrying Charges'!E12+'Carrying Charges'!M22</f>
        <v>14674.85447089041</v>
      </c>
      <c r="G12" s="528">
        <f>'[4]SSM Supporting Tables'!$U$8</f>
        <v>48050.950000000004</v>
      </c>
      <c r="H12" s="314">
        <f>B12+D12+F12</f>
        <v>271585.19715699204</v>
      </c>
      <c r="I12" s="530">
        <f>C12+E12+G12</f>
        <v>222509.25000000003</v>
      </c>
      <c r="J12" s="530">
        <f>H12+I12</f>
        <v>494094.44715699204</v>
      </c>
      <c r="K12" s="315" t="s">
        <v>153</v>
      </c>
      <c r="L12" s="316">
        <f>960984164</f>
        <v>960984164</v>
      </c>
      <c r="M12" s="317">
        <f>J12/L12</f>
        <v>5.1415461946883035E-4</v>
      </c>
    </row>
    <row r="13" spans="1:13" s="306" customFormat="1" ht="15.75">
      <c r="B13" s="312"/>
      <c r="C13" s="312"/>
      <c r="D13" s="312"/>
      <c r="E13" s="312"/>
      <c r="F13" s="312"/>
      <c r="G13" s="527">
        <v>27235</v>
      </c>
      <c r="I13" s="529">
        <f>SUM(C12,E12,G13)</f>
        <v>201693.30000000002</v>
      </c>
      <c r="J13" s="529">
        <f>H12+I13</f>
        <v>473278.49715699209</v>
      </c>
    </row>
    <row r="14" spans="1:13" s="306" customFormat="1" ht="15.75">
      <c r="B14" s="312"/>
      <c r="C14" s="312"/>
      <c r="D14" s="312"/>
      <c r="E14" s="312"/>
      <c r="F14" s="312"/>
      <c r="G14" s="312"/>
      <c r="H14" s="312"/>
      <c r="I14" s="312"/>
      <c r="J14" s="318"/>
    </row>
    <row r="15" spans="1:13" s="306" customFormat="1" ht="15.75">
      <c r="B15" s="312"/>
      <c r="C15" s="312"/>
      <c r="D15" s="312"/>
      <c r="E15" s="312"/>
      <c r="F15" s="312"/>
      <c r="G15" s="312"/>
    </row>
    <row r="16" spans="1:13" s="306" customFormat="1" ht="15.75"/>
    <row r="17" spans="1:1" s="306" customFormat="1" ht="15.75">
      <c r="A17" s="319" t="s">
        <v>147</v>
      </c>
    </row>
    <row r="18" spans="1:1" s="306" customFormat="1" ht="15.75">
      <c r="A18" s="306" t="s">
        <v>182</v>
      </c>
    </row>
    <row r="19" spans="1:1" s="306" customFormat="1" ht="15.75">
      <c r="A19" s="306" t="s">
        <v>183</v>
      </c>
    </row>
    <row r="20" spans="1:1" s="306" customFormat="1" ht="15.75">
      <c r="A20" s="306" t="s">
        <v>181</v>
      </c>
    </row>
  </sheetData>
  <customSheetViews>
    <customSheetView guid="{79BD26C1-CFC5-4DF6-B35F-C5F18E7B1C41}" scale="60" showPageBreaks="1" fitToPage="1" view="pageBreakPreview">
      <selection activeCell="I12" sqref="I12"/>
      <pageMargins left="0.7" right="0.7" top="0.75" bottom="0.75" header="0.3" footer="0.3"/>
      <pageSetup scale="70" orientation="landscape" r:id="rId1"/>
    </customSheetView>
  </customSheetViews>
  <mergeCells count="9">
    <mergeCell ref="K8:K9"/>
    <mergeCell ref="L8:L9"/>
    <mergeCell ref="M8:M9"/>
    <mergeCell ref="B8:C9"/>
    <mergeCell ref="D8:E9"/>
    <mergeCell ref="F8:G9"/>
    <mergeCell ref="H8:H9"/>
    <mergeCell ref="I8:I9"/>
    <mergeCell ref="J8:J9"/>
  </mergeCells>
  <pageMargins left="0.7" right="0.7" top="0.75" bottom="0.75" header="0.3" footer="0.3"/>
  <pageSetup scale="70" orientation="landscape" r:id="rId2"/>
</worksheet>
</file>

<file path=xl/worksheets/sheet10.xml><?xml version="1.0" encoding="utf-8"?>
<worksheet xmlns="http://schemas.openxmlformats.org/spreadsheetml/2006/main" xmlns:r="http://schemas.openxmlformats.org/officeDocument/2006/relationships">
  <sheetPr>
    <tabColor rgb="FFFF0000"/>
    <pageSetUpPr fitToPage="1"/>
  </sheetPr>
  <dimension ref="A2:S44"/>
  <sheetViews>
    <sheetView view="pageBreakPreview" zoomScale="60" zoomScaleNormal="80" workbookViewId="0">
      <pane xSplit="1" ySplit="6" topLeftCell="F7" activePane="bottomRight" state="frozen"/>
      <selection activeCell="I9" sqref="I9"/>
      <selection pane="topRight" activeCell="I9" sqref="I9"/>
      <selection pane="bottomLeft" activeCell="I9" sqref="I9"/>
      <selection pane="bottomRight" activeCell="M26" sqref="M26"/>
    </sheetView>
  </sheetViews>
  <sheetFormatPr defaultColWidth="8.85546875" defaultRowHeight="12.75"/>
  <cols>
    <col min="1" max="1" width="25.85546875" style="9" customWidth="1"/>
    <col min="2" max="2" width="13.5703125" style="9" customWidth="1"/>
    <col min="3" max="3" width="12.7109375" style="9" customWidth="1"/>
    <col min="4" max="4" width="10.140625" style="9" customWidth="1"/>
    <col min="5" max="5" width="12.5703125" style="9" customWidth="1"/>
    <col min="6" max="6" width="12.85546875" style="9" customWidth="1"/>
    <col min="7" max="7" width="15.7109375" style="9" customWidth="1"/>
    <col min="8" max="9" width="17.140625" style="9" hidden="1" customWidth="1"/>
    <col min="10" max="10" width="10.5703125" style="9" customWidth="1"/>
    <col min="11" max="11" width="9.85546875" style="9" customWidth="1"/>
    <col min="12" max="13" width="9.140625" style="9" customWidth="1"/>
    <col min="14" max="14" width="14.42578125" style="9" customWidth="1"/>
    <col min="15" max="15" width="11.42578125" style="22" customWidth="1"/>
    <col min="16" max="16" width="14.140625" style="22" customWidth="1"/>
    <col min="17" max="17" width="15.28515625" style="22" customWidth="1"/>
    <col min="18" max="18" width="11.7109375" style="23" customWidth="1"/>
    <col min="19" max="19" width="10" style="9" customWidth="1"/>
    <col min="20" max="16384" width="8.85546875" style="9"/>
  </cols>
  <sheetData>
    <row r="2" spans="1:19" customFormat="1" ht="18.75" customHeight="1">
      <c r="A2" s="47" t="s">
        <v>116</v>
      </c>
      <c r="C2" s="1"/>
      <c r="D2" s="1"/>
      <c r="E2" s="1"/>
      <c r="F2" s="1"/>
      <c r="G2" s="1"/>
      <c r="H2" s="1"/>
    </row>
    <row r="3" spans="1:19" customFormat="1" ht="18.75" customHeight="1" thickBot="1">
      <c r="A3" s="46"/>
      <c r="C3" s="1"/>
      <c r="D3" s="1"/>
      <c r="E3" s="1"/>
      <c r="F3" s="1"/>
      <c r="G3" s="1"/>
      <c r="H3" s="1"/>
    </row>
    <row r="4" spans="1:19" ht="21.75" customHeight="1" thickBot="1">
      <c r="A4" s="80"/>
      <c r="B4" s="80"/>
      <c r="C4" s="80"/>
      <c r="D4" s="80"/>
      <c r="E4" s="706" t="s">
        <v>51</v>
      </c>
      <c r="F4" s="707"/>
      <c r="G4" s="708"/>
      <c r="H4" s="87"/>
      <c r="I4" s="87"/>
      <c r="J4" s="706" t="s">
        <v>52</v>
      </c>
      <c r="K4" s="707"/>
      <c r="L4" s="707"/>
      <c r="M4" s="708"/>
      <c r="N4" s="87"/>
      <c r="O4" s="706" t="s">
        <v>53</v>
      </c>
      <c r="P4" s="707"/>
      <c r="Q4" s="707"/>
      <c r="R4" s="708"/>
      <c r="S4" s="80"/>
    </row>
    <row r="5" spans="1:19" ht="43.5" customHeight="1" thickBot="1">
      <c r="A5" s="88" t="s">
        <v>0</v>
      </c>
      <c r="B5" s="86" t="s">
        <v>54</v>
      </c>
      <c r="C5" s="86" t="s">
        <v>55</v>
      </c>
      <c r="D5" s="86" t="s">
        <v>33</v>
      </c>
      <c r="E5" s="86" t="s">
        <v>112</v>
      </c>
      <c r="F5" s="86" t="s">
        <v>165</v>
      </c>
      <c r="G5" s="89" t="s">
        <v>56</v>
      </c>
      <c r="H5" s="90" t="s">
        <v>57</v>
      </c>
      <c r="I5" s="90" t="s">
        <v>58</v>
      </c>
      <c r="J5" s="709" t="s">
        <v>59</v>
      </c>
      <c r="K5" s="710"/>
      <c r="L5" s="709" t="s">
        <v>60</v>
      </c>
      <c r="M5" s="710"/>
      <c r="N5" s="91" t="s">
        <v>61</v>
      </c>
      <c r="O5" s="89" t="s">
        <v>62</v>
      </c>
      <c r="P5" s="89" t="s">
        <v>63</v>
      </c>
      <c r="Q5" s="89" t="s">
        <v>64</v>
      </c>
      <c r="R5" s="92" t="s">
        <v>65</v>
      </c>
      <c r="S5" s="92" t="s">
        <v>66</v>
      </c>
    </row>
    <row r="6" spans="1:19" ht="33" customHeight="1">
      <c r="A6" s="393"/>
      <c r="B6" s="394"/>
      <c r="C6" s="394"/>
      <c r="D6" s="394"/>
      <c r="E6" s="394"/>
      <c r="F6" s="394"/>
      <c r="G6" s="395"/>
      <c r="H6" s="395"/>
      <c r="I6" s="395"/>
      <c r="J6" s="396" t="s">
        <v>39</v>
      </c>
      <c r="K6" s="396" t="s">
        <v>43</v>
      </c>
      <c r="L6" s="396" t="s">
        <v>39</v>
      </c>
      <c r="M6" s="396" t="s">
        <v>43</v>
      </c>
      <c r="N6" s="395"/>
      <c r="O6" s="396"/>
      <c r="P6" s="396"/>
      <c r="Q6" s="396"/>
      <c r="R6" s="397"/>
      <c r="S6" s="397"/>
    </row>
    <row r="7" spans="1:19" s="11" customFormat="1" ht="15">
      <c r="A7" s="398" t="s">
        <v>67</v>
      </c>
      <c r="B7" s="399"/>
      <c r="C7" s="399"/>
      <c r="D7" s="400" t="s">
        <v>34</v>
      </c>
      <c r="E7" s="401" t="s">
        <v>68</v>
      </c>
      <c r="F7" s="402" t="s">
        <v>68</v>
      </c>
      <c r="G7" s="403">
        <v>34411</v>
      </c>
      <c r="H7" s="404"/>
      <c r="I7" s="404"/>
      <c r="J7" s="636">
        <v>171984.38400000002</v>
      </c>
      <c r="K7" s="405">
        <v>827578.44</v>
      </c>
      <c r="L7" s="522">
        <v>48.81</v>
      </c>
      <c r="M7" s="406">
        <v>43.93</v>
      </c>
      <c r="N7" s="407">
        <v>36569</v>
      </c>
      <c r="O7" s="407">
        <v>70980</v>
      </c>
      <c r="P7" s="407">
        <v>351347</v>
      </c>
      <c r="Q7" s="407">
        <v>280367</v>
      </c>
      <c r="R7" s="408">
        <v>4.9499436460974922</v>
      </c>
      <c r="S7" s="407">
        <v>14018.35</v>
      </c>
    </row>
    <row r="8" spans="1:19" s="11" customFormat="1" ht="15">
      <c r="A8" s="398"/>
      <c r="B8" s="399"/>
      <c r="C8" s="399"/>
      <c r="D8" s="400"/>
      <c r="E8" s="401"/>
      <c r="F8" s="402"/>
      <c r="G8" s="403"/>
      <c r="H8" s="404"/>
      <c r="I8" s="404"/>
      <c r="J8" s="637">
        <f>SUM(J9:J10)</f>
        <v>915124.38400000008</v>
      </c>
      <c r="K8" s="405"/>
      <c r="L8" s="522"/>
      <c r="M8" s="406"/>
      <c r="N8" s="407"/>
      <c r="O8" s="407"/>
      <c r="P8" s="407"/>
      <c r="Q8" s="407"/>
      <c r="R8" s="408"/>
      <c r="S8" s="407"/>
    </row>
    <row r="9" spans="1:19" s="11" customFormat="1" ht="15">
      <c r="A9" s="409" t="s">
        <v>8</v>
      </c>
      <c r="B9" s="410">
        <v>38618</v>
      </c>
      <c r="C9" s="410" t="s">
        <v>69</v>
      </c>
      <c r="D9" s="400" t="s">
        <v>34</v>
      </c>
      <c r="E9" s="411">
        <v>6695</v>
      </c>
      <c r="F9" s="402" t="s">
        <v>37</v>
      </c>
      <c r="G9" s="403">
        <v>7170</v>
      </c>
      <c r="H9" s="404"/>
      <c r="I9" s="404"/>
      <c r="J9" s="521">
        <v>743140</v>
      </c>
      <c r="K9" s="405">
        <v>671229</v>
      </c>
      <c r="L9" s="523">
        <v>48.81</v>
      </c>
      <c r="M9" s="406">
        <v>43.93</v>
      </c>
      <c r="N9" s="407">
        <v>36569</v>
      </c>
      <c r="O9" s="407">
        <v>43739</v>
      </c>
      <c r="P9" s="407">
        <v>311171</v>
      </c>
      <c r="Q9" s="407">
        <v>267432</v>
      </c>
      <c r="R9" s="408">
        <v>7.1142687304236496</v>
      </c>
      <c r="S9" s="407">
        <v>13371.6</v>
      </c>
    </row>
    <row r="10" spans="1:19" s="11" customFormat="1" ht="15">
      <c r="A10" s="409" t="s">
        <v>9</v>
      </c>
      <c r="B10" s="412">
        <v>38353</v>
      </c>
      <c r="C10" s="413" t="s">
        <v>70</v>
      </c>
      <c r="D10" s="400" t="s">
        <v>34</v>
      </c>
      <c r="E10" s="401">
        <v>1664</v>
      </c>
      <c r="F10" s="402">
        <v>0.1</v>
      </c>
      <c r="G10" s="403">
        <v>27241</v>
      </c>
      <c r="H10" s="404"/>
      <c r="I10" s="404"/>
      <c r="J10" s="405">
        <v>171984.38400000002</v>
      </c>
      <c r="K10" s="405">
        <v>156349.44</v>
      </c>
      <c r="L10" s="406">
        <v>0</v>
      </c>
      <c r="M10" s="406">
        <v>0</v>
      </c>
      <c r="N10" s="407">
        <v>0</v>
      </c>
      <c r="O10" s="407">
        <v>27241</v>
      </c>
      <c r="P10" s="407">
        <v>40176</v>
      </c>
      <c r="Q10" s="407">
        <v>12935</v>
      </c>
      <c r="R10" s="408">
        <v>1.4748357255607356</v>
      </c>
      <c r="S10" s="407">
        <v>646.75</v>
      </c>
    </row>
    <row r="11" spans="1:19" s="11" customFormat="1" ht="15">
      <c r="A11" s="409" t="s">
        <v>71</v>
      </c>
      <c r="B11" s="412">
        <v>38626</v>
      </c>
      <c r="C11" s="413" t="s">
        <v>72</v>
      </c>
      <c r="D11" s="400" t="s">
        <v>34</v>
      </c>
      <c r="E11" s="401">
        <v>0</v>
      </c>
      <c r="F11" s="402">
        <v>0</v>
      </c>
      <c r="G11" s="403">
        <v>0</v>
      </c>
      <c r="H11" s="404"/>
      <c r="I11" s="404"/>
      <c r="J11" s="405">
        <v>0</v>
      </c>
      <c r="K11" s="405">
        <v>0</v>
      </c>
      <c r="L11" s="406">
        <v>0</v>
      </c>
      <c r="M11" s="406">
        <v>0</v>
      </c>
      <c r="N11" s="407">
        <v>0</v>
      </c>
      <c r="O11" s="407">
        <v>0</v>
      </c>
      <c r="P11" s="407">
        <v>0</v>
      </c>
      <c r="Q11" s="407">
        <v>0</v>
      </c>
      <c r="R11" s="414">
        <v>0</v>
      </c>
      <c r="S11" s="407">
        <v>0</v>
      </c>
    </row>
    <row r="12" spans="1:19" ht="15">
      <c r="A12" s="404" t="s">
        <v>73</v>
      </c>
      <c r="B12" s="415"/>
      <c r="C12" s="415"/>
      <c r="D12" s="400"/>
      <c r="E12" s="416"/>
      <c r="F12" s="417"/>
      <c r="G12" s="418"/>
      <c r="H12" s="404"/>
      <c r="I12" s="404"/>
      <c r="J12" s="416"/>
      <c r="K12" s="416"/>
      <c r="L12" s="419"/>
      <c r="M12" s="419"/>
      <c r="N12" s="420"/>
      <c r="O12" s="420"/>
      <c r="P12" s="420"/>
      <c r="Q12" s="420"/>
      <c r="R12" s="404"/>
      <c r="S12" s="421"/>
    </row>
    <row r="13" spans="1:19" s="11" customFormat="1" ht="15.75" thickBot="1">
      <c r="A13" s="422" t="s">
        <v>74</v>
      </c>
      <c r="B13" s="423"/>
      <c r="C13" s="423"/>
      <c r="D13" s="424"/>
      <c r="E13" s="425"/>
      <c r="F13" s="426"/>
      <c r="G13" s="427"/>
      <c r="H13" s="422"/>
      <c r="I13" s="422"/>
      <c r="J13" s="425"/>
      <c r="K13" s="425"/>
      <c r="L13" s="428"/>
      <c r="M13" s="428"/>
      <c r="N13" s="427"/>
      <c r="O13" s="429"/>
      <c r="P13" s="429"/>
      <c r="Q13" s="429"/>
      <c r="R13" s="422"/>
      <c r="S13" s="430">
        <v>14018.35</v>
      </c>
    </row>
    <row r="14" spans="1:19">
      <c r="O14" s="9"/>
      <c r="P14" s="9"/>
      <c r="Q14" s="9"/>
      <c r="R14" s="9"/>
    </row>
    <row r="15" spans="1:19" ht="15">
      <c r="A15" s="240" t="s">
        <v>175</v>
      </c>
      <c r="O15" s="9"/>
      <c r="P15" s="9"/>
      <c r="Q15" s="9"/>
      <c r="R15" s="9"/>
    </row>
    <row r="16" spans="1:19">
      <c r="A16" s="9" t="s">
        <v>176</v>
      </c>
      <c r="O16" s="9"/>
      <c r="P16" s="9"/>
      <c r="Q16" s="9"/>
      <c r="R16" s="9"/>
    </row>
    <row r="17" spans="15:18">
      <c r="O17" s="9"/>
      <c r="P17" s="9"/>
      <c r="Q17" s="9"/>
      <c r="R17" s="9"/>
    </row>
    <row r="18" spans="15:18">
      <c r="O18" s="9"/>
      <c r="P18" s="9"/>
      <c r="Q18" s="9"/>
      <c r="R18" s="9"/>
    </row>
    <row r="19" spans="15:18">
      <c r="O19" s="9"/>
      <c r="P19" s="9"/>
      <c r="Q19" s="9"/>
      <c r="R19" s="9"/>
    </row>
    <row r="20" spans="15:18">
      <c r="O20" s="9"/>
      <c r="P20" s="9"/>
      <c r="Q20" s="9"/>
      <c r="R20" s="9"/>
    </row>
    <row r="21" spans="15:18">
      <c r="O21" s="9"/>
      <c r="P21" s="9"/>
      <c r="Q21" s="9"/>
      <c r="R21" s="9"/>
    </row>
    <row r="22" spans="15:18">
      <c r="O22" s="9"/>
      <c r="P22" s="9"/>
      <c r="Q22" s="9"/>
      <c r="R22" s="9"/>
    </row>
    <row r="23" spans="15:18">
      <c r="O23" s="9"/>
      <c r="P23" s="9"/>
      <c r="Q23" s="9"/>
      <c r="R23" s="9"/>
    </row>
    <row r="24" spans="15:18">
      <c r="O24" s="9"/>
      <c r="P24" s="9"/>
      <c r="Q24" s="9"/>
      <c r="R24" s="9"/>
    </row>
    <row r="25" spans="15:18">
      <c r="O25" s="9"/>
      <c r="P25" s="9"/>
      <c r="Q25" s="9"/>
      <c r="R25" s="9"/>
    </row>
    <row r="26" spans="15:18">
      <c r="O26" s="9"/>
      <c r="P26" s="9"/>
      <c r="Q26" s="9"/>
      <c r="R26" s="9"/>
    </row>
    <row r="27" spans="15:18">
      <c r="O27" s="9"/>
      <c r="P27" s="9"/>
      <c r="Q27" s="9"/>
      <c r="R27" s="9"/>
    </row>
    <row r="28" spans="15:18">
      <c r="O28" s="9"/>
      <c r="P28" s="9"/>
      <c r="Q28" s="9"/>
      <c r="R28" s="9"/>
    </row>
    <row r="29" spans="15:18">
      <c r="O29" s="9"/>
      <c r="P29" s="9"/>
      <c r="Q29" s="9"/>
      <c r="R29" s="9"/>
    </row>
    <row r="30" spans="15:18" ht="13.5" customHeight="1">
      <c r="O30" s="9"/>
      <c r="P30" s="9"/>
      <c r="Q30" s="9"/>
      <c r="R30" s="9"/>
    </row>
    <row r="31" spans="15:18">
      <c r="O31" s="9"/>
      <c r="P31" s="9"/>
      <c r="Q31" s="9"/>
      <c r="R31" s="9"/>
    </row>
    <row r="32" spans="15:18">
      <c r="O32" s="9"/>
      <c r="P32" s="9"/>
      <c r="Q32" s="9"/>
      <c r="R32" s="9"/>
    </row>
    <row r="33" spans="15:18">
      <c r="O33" s="9"/>
      <c r="P33" s="9"/>
      <c r="Q33" s="9"/>
      <c r="R33" s="9"/>
    </row>
    <row r="34" spans="15:18">
      <c r="O34" s="9"/>
      <c r="P34" s="9"/>
      <c r="Q34" s="9"/>
      <c r="R34" s="9"/>
    </row>
    <row r="35" spans="15:18">
      <c r="O35" s="9"/>
      <c r="P35" s="9"/>
      <c r="Q35" s="9"/>
      <c r="R35" s="9"/>
    </row>
    <row r="36" spans="15:18">
      <c r="O36" s="9"/>
      <c r="P36" s="9"/>
      <c r="Q36" s="9"/>
      <c r="R36" s="9"/>
    </row>
    <row r="37" spans="15:18">
      <c r="O37" s="9"/>
      <c r="P37" s="9"/>
      <c r="Q37" s="9"/>
      <c r="R37" s="9"/>
    </row>
    <row r="38" spans="15:18">
      <c r="O38" s="9"/>
      <c r="P38" s="9"/>
      <c r="Q38" s="9"/>
      <c r="R38" s="9"/>
    </row>
    <row r="39" spans="15:18">
      <c r="O39" s="9"/>
      <c r="P39" s="9"/>
      <c r="Q39" s="9"/>
      <c r="R39" s="9"/>
    </row>
    <row r="40" spans="15:18">
      <c r="O40" s="9"/>
      <c r="P40" s="9"/>
      <c r="Q40" s="9"/>
      <c r="R40" s="9"/>
    </row>
    <row r="41" spans="15:18">
      <c r="O41" s="9"/>
      <c r="P41" s="9"/>
      <c r="Q41" s="9"/>
      <c r="R41" s="9"/>
    </row>
    <row r="42" spans="15:18">
      <c r="O42" s="9"/>
      <c r="P42" s="9"/>
      <c r="Q42" s="9"/>
      <c r="R42" s="9"/>
    </row>
    <row r="43" spans="15:18">
      <c r="O43" s="9"/>
      <c r="P43" s="9"/>
      <c r="Q43" s="9"/>
      <c r="R43" s="9"/>
    </row>
    <row r="44" spans="15:18">
      <c r="O44" s="9"/>
      <c r="P44" s="9"/>
      <c r="Q44" s="9"/>
      <c r="R44" s="9"/>
    </row>
  </sheetData>
  <customSheetViews>
    <customSheetView guid="{79BD26C1-CFC5-4DF6-B35F-C5F18E7B1C41}" scale="80" fitToPage="1" hiddenColumns="1">
      <pane xSplit="1" ySplit="6" topLeftCell="F7" activePane="bottomRight" state="frozen"/>
      <selection pane="bottomRight" activeCell="A7" sqref="A7"/>
      <pageMargins left="0.196850393700787" right="0.196850393700787" top="0.196850393700787" bottom="0.196850393700787" header="0.511811023622047" footer="0.511811023622047"/>
      <pageSetup scale="61" orientation="landscape" r:id="rId1"/>
      <headerFooter alignWithMargins="0"/>
    </customSheetView>
  </customSheetViews>
  <mergeCells count="5">
    <mergeCell ref="E4:G4"/>
    <mergeCell ref="J4:M4"/>
    <mergeCell ref="O4:R4"/>
    <mergeCell ref="J5:K5"/>
    <mergeCell ref="L5:M5"/>
  </mergeCells>
  <pageMargins left="0.196850393700787" right="0.196850393700787" top="0.196850393700787" bottom="0.196850393700787" header="0.511811023622047" footer="0.511811023622047"/>
  <pageSetup scale="61" orientation="landscape" r:id="rId2"/>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2:Q50"/>
  <sheetViews>
    <sheetView zoomScale="80" zoomScaleNormal="80" workbookViewId="0">
      <pane xSplit="1" ySplit="6" topLeftCell="C7" activePane="bottomRight" state="frozen"/>
      <selection activeCell="I9" sqref="I9"/>
      <selection pane="topRight" activeCell="I9" sqref="I9"/>
      <selection pane="bottomLeft" activeCell="I9" sqref="I9"/>
      <selection pane="bottomRight" activeCell="C7" sqref="C7"/>
    </sheetView>
  </sheetViews>
  <sheetFormatPr defaultColWidth="15.42578125" defaultRowHeight="12.75"/>
  <cols>
    <col min="1" max="1" width="21.5703125" style="42" customWidth="1"/>
    <col min="2" max="3" width="15.42578125" style="9" customWidth="1"/>
    <col min="4" max="4" width="15.42578125" style="42" customWidth="1"/>
    <col min="5" max="12" width="15.42578125" style="9" customWidth="1"/>
    <col min="13" max="15" width="15.42578125" style="28" customWidth="1"/>
    <col min="16" max="16" width="15.42578125" style="23" customWidth="1"/>
    <col min="17" max="16384" width="15.42578125" style="9"/>
  </cols>
  <sheetData>
    <row r="2" spans="1:17" customFormat="1" ht="18.75" customHeight="1">
      <c r="A2" s="47" t="s">
        <v>117</v>
      </c>
      <c r="C2" s="1"/>
      <c r="D2" s="1"/>
      <c r="E2" s="1"/>
      <c r="F2" s="1"/>
      <c r="G2" s="1"/>
      <c r="H2" s="1"/>
    </row>
    <row r="3" spans="1:17" customFormat="1" ht="18.75" customHeight="1" thickBot="1">
      <c r="A3" s="46"/>
      <c r="C3" s="1"/>
      <c r="D3" s="1"/>
      <c r="E3" s="1"/>
      <c r="F3" s="1"/>
      <c r="G3" s="1"/>
      <c r="H3" s="1"/>
    </row>
    <row r="4" spans="1:17" ht="21.75" customHeight="1" thickBot="1">
      <c r="A4" s="138"/>
      <c r="B4" s="80"/>
      <c r="C4" s="80"/>
      <c r="D4" s="138"/>
      <c r="E4" s="706" t="s">
        <v>51</v>
      </c>
      <c r="F4" s="707"/>
      <c r="G4" s="708"/>
      <c r="H4" s="706" t="s">
        <v>52</v>
      </c>
      <c r="I4" s="707"/>
      <c r="J4" s="707"/>
      <c r="K4" s="708"/>
      <c r="L4" s="87"/>
      <c r="M4" s="706" t="s">
        <v>53</v>
      </c>
      <c r="N4" s="707"/>
      <c r="O4" s="707"/>
      <c r="P4" s="708"/>
      <c r="Q4" s="80"/>
    </row>
    <row r="5" spans="1:17" ht="48" customHeight="1" thickBot="1">
      <c r="A5" s="92" t="s">
        <v>0</v>
      </c>
      <c r="B5" s="86" t="s">
        <v>54</v>
      </c>
      <c r="C5" s="86" t="s">
        <v>84</v>
      </c>
      <c r="D5" s="86" t="s">
        <v>33</v>
      </c>
      <c r="E5" s="86" t="s">
        <v>112</v>
      </c>
      <c r="F5" s="86" t="s">
        <v>165</v>
      </c>
      <c r="G5" s="146" t="s">
        <v>56</v>
      </c>
      <c r="H5" s="711" t="s">
        <v>59</v>
      </c>
      <c r="I5" s="712"/>
      <c r="J5" s="711" t="s">
        <v>60</v>
      </c>
      <c r="K5" s="712"/>
      <c r="L5" s="147" t="s">
        <v>61</v>
      </c>
      <c r="M5" s="146" t="s">
        <v>62</v>
      </c>
      <c r="N5" s="146" t="s">
        <v>63</v>
      </c>
      <c r="O5" s="146" t="s">
        <v>64</v>
      </c>
      <c r="P5" s="92" t="s">
        <v>65</v>
      </c>
      <c r="Q5" s="92" t="s">
        <v>66</v>
      </c>
    </row>
    <row r="6" spans="1:17" ht="33" customHeight="1" thickBot="1">
      <c r="A6" s="94"/>
      <c r="B6" s="93"/>
      <c r="C6" s="93"/>
      <c r="D6" s="93"/>
      <c r="E6" s="93"/>
      <c r="F6" s="93"/>
      <c r="G6" s="148"/>
      <c r="H6" s="149" t="s">
        <v>39</v>
      </c>
      <c r="I6" s="149" t="s">
        <v>43</v>
      </c>
      <c r="J6" s="149" t="s">
        <v>39</v>
      </c>
      <c r="K6" s="149" t="s">
        <v>43</v>
      </c>
      <c r="L6" s="148"/>
      <c r="M6" s="149"/>
      <c r="N6" s="149"/>
      <c r="O6" s="149"/>
      <c r="P6" s="94"/>
      <c r="Q6" s="94"/>
    </row>
    <row r="7" spans="1:17" s="11" customFormat="1" ht="30">
      <c r="A7" s="150" t="s">
        <v>67</v>
      </c>
      <c r="B7" s="63"/>
      <c r="C7" s="63"/>
      <c r="D7" s="140" t="s">
        <v>34</v>
      </c>
      <c r="E7" s="83">
        <v>114917</v>
      </c>
      <c r="F7" s="82" t="s">
        <v>68</v>
      </c>
      <c r="G7" s="151">
        <v>239985</v>
      </c>
      <c r="H7" s="152">
        <v>12411778</v>
      </c>
      <c r="I7" s="152">
        <v>10809378.629999999</v>
      </c>
      <c r="J7" s="153">
        <v>470.77080000000001</v>
      </c>
      <c r="K7" s="153">
        <v>426.49</v>
      </c>
      <c r="L7" s="151">
        <v>381521</v>
      </c>
      <c r="M7" s="151">
        <v>621506</v>
      </c>
      <c r="N7" s="151">
        <v>3830305</v>
      </c>
      <c r="O7" s="151">
        <v>3208799</v>
      </c>
      <c r="P7" s="52">
        <v>6.1629413070831172</v>
      </c>
      <c r="Q7" s="151">
        <v>160439.95000000001</v>
      </c>
    </row>
    <row r="8" spans="1:17" ht="18.75" customHeight="1">
      <c r="A8" s="234" t="s">
        <v>9</v>
      </c>
      <c r="B8" s="51">
        <v>38718</v>
      </c>
      <c r="C8" s="51" t="s">
        <v>70</v>
      </c>
      <c r="D8" s="140" t="s">
        <v>34</v>
      </c>
      <c r="E8" s="29">
        <v>22169</v>
      </c>
      <c r="F8" s="25">
        <v>0.1</v>
      </c>
      <c r="G8" s="30">
        <v>0</v>
      </c>
      <c r="H8" s="31">
        <v>2314444</v>
      </c>
      <c r="I8" s="31">
        <v>2082999</v>
      </c>
      <c r="J8" s="32">
        <v>0</v>
      </c>
      <c r="K8" s="32">
        <v>0</v>
      </c>
      <c r="L8" s="30">
        <v>0</v>
      </c>
      <c r="M8" s="30">
        <v>0</v>
      </c>
      <c r="N8" s="30">
        <v>530600</v>
      </c>
      <c r="O8" s="30">
        <v>530600</v>
      </c>
      <c r="P8" s="141" t="s">
        <v>50</v>
      </c>
      <c r="Q8" s="84">
        <v>26530</v>
      </c>
    </row>
    <row r="9" spans="1:17" ht="29.1" customHeight="1">
      <c r="A9" s="234" t="s">
        <v>12</v>
      </c>
      <c r="B9" s="51">
        <v>38869</v>
      </c>
      <c r="C9" s="51" t="s">
        <v>85</v>
      </c>
      <c r="D9" s="140" t="s">
        <v>34</v>
      </c>
      <c r="E9" s="29">
        <v>534</v>
      </c>
      <c r="F9" s="25">
        <v>0.1</v>
      </c>
      <c r="G9" s="30">
        <v>0</v>
      </c>
      <c r="H9" s="31">
        <v>283028</v>
      </c>
      <c r="I9" s="31">
        <v>254725</v>
      </c>
      <c r="J9" s="32">
        <v>189.78</v>
      </c>
      <c r="K9" s="32">
        <v>170.8</v>
      </c>
      <c r="L9" s="30">
        <v>5778</v>
      </c>
      <c r="M9" s="30">
        <v>5778</v>
      </c>
      <c r="N9" s="30">
        <v>153982</v>
      </c>
      <c r="O9" s="30">
        <v>148204</v>
      </c>
      <c r="P9" s="52">
        <v>26.649705780546903</v>
      </c>
      <c r="Q9" s="84">
        <v>7410.2000000000007</v>
      </c>
    </row>
    <row r="10" spans="1:17" ht="33" customHeight="1">
      <c r="A10" s="234" t="s">
        <v>86</v>
      </c>
      <c r="B10" s="51" t="s">
        <v>87</v>
      </c>
      <c r="C10" s="51" t="s">
        <v>88</v>
      </c>
      <c r="D10" s="142" t="s">
        <v>34</v>
      </c>
      <c r="E10" s="31">
        <v>36117</v>
      </c>
      <c r="F10" s="33">
        <v>0.1</v>
      </c>
      <c r="G10" s="30">
        <v>0</v>
      </c>
      <c r="H10" s="29">
        <v>3898513</v>
      </c>
      <c r="I10" s="29">
        <v>3508661.63</v>
      </c>
      <c r="J10" s="34">
        <v>28</v>
      </c>
      <c r="K10" s="34">
        <v>24.94</v>
      </c>
      <c r="L10" s="30">
        <v>155434</v>
      </c>
      <c r="M10" s="30">
        <v>155434</v>
      </c>
      <c r="N10" s="30">
        <v>1116243</v>
      </c>
      <c r="O10" s="30">
        <v>960809</v>
      </c>
      <c r="P10" s="143">
        <v>7.1814596549017589</v>
      </c>
      <c r="Q10" s="84">
        <v>48040.450000000004</v>
      </c>
    </row>
    <row r="11" spans="1:17" ht="42.75" customHeight="1">
      <c r="A11" s="234" t="s">
        <v>89</v>
      </c>
      <c r="B11" s="51" t="s">
        <v>90</v>
      </c>
      <c r="C11" s="51" t="s">
        <v>69</v>
      </c>
      <c r="D11" s="142" t="s">
        <v>34</v>
      </c>
      <c r="E11" s="31">
        <v>48572</v>
      </c>
      <c r="F11" s="33" t="s">
        <v>37</v>
      </c>
      <c r="G11" s="30">
        <v>0</v>
      </c>
      <c r="H11" s="29">
        <v>4031471</v>
      </c>
      <c r="I11" s="29">
        <v>3626122</v>
      </c>
      <c r="J11" s="34">
        <v>101</v>
      </c>
      <c r="K11" s="34">
        <v>90.95</v>
      </c>
      <c r="L11" s="30">
        <v>197263</v>
      </c>
      <c r="M11" s="30">
        <v>197263</v>
      </c>
      <c r="N11" s="30">
        <v>1512596</v>
      </c>
      <c r="O11" s="30">
        <v>1315333</v>
      </c>
      <c r="P11" s="143">
        <v>7.6679154225577024</v>
      </c>
      <c r="Q11" s="84">
        <v>65766.650000000009</v>
      </c>
    </row>
    <row r="12" spans="1:17" ht="38.1" customHeight="1">
      <c r="A12" s="234" t="s">
        <v>14</v>
      </c>
      <c r="B12" s="51" t="s">
        <v>91</v>
      </c>
      <c r="C12" s="51" t="s">
        <v>69</v>
      </c>
      <c r="D12" s="140" t="s">
        <v>34</v>
      </c>
      <c r="E12" s="29">
        <v>2752</v>
      </c>
      <c r="F12" s="33" t="s">
        <v>37</v>
      </c>
      <c r="G12" s="30">
        <v>0</v>
      </c>
      <c r="H12" s="29">
        <v>379592</v>
      </c>
      <c r="I12" s="29">
        <v>146107</v>
      </c>
      <c r="J12" s="34">
        <v>3.1</v>
      </c>
      <c r="K12" s="34">
        <v>2.79</v>
      </c>
      <c r="L12" s="30">
        <v>9501</v>
      </c>
      <c r="M12" s="30">
        <v>9501</v>
      </c>
      <c r="N12" s="30">
        <v>98519</v>
      </c>
      <c r="O12" s="30">
        <v>89018</v>
      </c>
      <c r="P12" s="143">
        <v>10.369329544258498</v>
      </c>
      <c r="Q12" s="84">
        <v>4450.9000000000005</v>
      </c>
    </row>
    <row r="13" spans="1:17" ht="33" customHeight="1">
      <c r="A13" s="234" t="s">
        <v>92</v>
      </c>
      <c r="B13" s="51" t="s">
        <v>93</v>
      </c>
      <c r="C13" s="51" t="s">
        <v>94</v>
      </c>
      <c r="D13" s="140" t="s">
        <v>34</v>
      </c>
      <c r="E13" s="29">
        <v>2802</v>
      </c>
      <c r="F13" s="33" t="s">
        <v>37</v>
      </c>
      <c r="G13" s="30">
        <v>0</v>
      </c>
      <c r="H13" s="29">
        <v>379592</v>
      </c>
      <c r="I13" s="29">
        <v>346911</v>
      </c>
      <c r="J13" s="34">
        <v>28.821999999999999</v>
      </c>
      <c r="K13" s="34">
        <v>26.33</v>
      </c>
      <c r="L13" s="44">
        <v>0</v>
      </c>
      <c r="M13" s="44">
        <v>0</v>
      </c>
      <c r="N13" s="44">
        <v>306571</v>
      </c>
      <c r="O13" s="44">
        <v>306571</v>
      </c>
      <c r="P13" s="144" t="s">
        <v>50</v>
      </c>
      <c r="Q13" s="85">
        <v>15328.550000000001</v>
      </c>
    </row>
    <row r="14" spans="1:17" ht="33" customHeight="1">
      <c r="A14" s="234" t="s">
        <v>16</v>
      </c>
      <c r="B14" s="51">
        <v>38718</v>
      </c>
      <c r="C14" s="51" t="s">
        <v>69</v>
      </c>
      <c r="D14" s="140" t="s">
        <v>34</v>
      </c>
      <c r="E14" s="29">
        <v>1806</v>
      </c>
      <c r="F14" s="33">
        <v>0.25</v>
      </c>
      <c r="G14" s="30">
        <v>0</v>
      </c>
      <c r="H14" s="29">
        <v>1125138</v>
      </c>
      <c r="I14" s="29">
        <v>843853</v>
      </c>
      <c r="J14" s="34">
        <v>37.568800000000003</v>
      </c>
      <c r="K14" s="34">
        <v>28.18</v>
      </c>
      <c r="L14" s="44">
        <v>13545</v>
      </c>
      <c r="M14" s="44">
        <v>13545</v>
      </c>
      <c r="N14" s="44">
        <v>55233</v>
      </c>
      <c r="O14" s="44">
        <v>41688</v>
      </c>
      <c r="P14" s="143">
        <v>4.0777408637873753</v>
      </c>
      <c r="Q14" s="85">
        <v>2084.4</v>
      </c>
    </row>
    <row r="15" spans="1:17" ht="18.75" customHeight="1">
      <c r="A15" s="234" t="s">
        <v>17</v>
      </c>
      <c r="B15" s="51" t="s">
        <v>95</v>
      </c>
      <c r="C15" s="51" t="s">
        <v>69</v>
      </c>
      <c r="D15" s="140" t="s">
        <v>34</v>
      </c>
      <c r="E15" s="29">
        <v>165</v>
      </c>
      <c r="F15" s="25">
        <v>0</v>
      </c>
      <c r="G15" s="30">
        <v>0</v>
      </c>
      <c r="H15" s="29">
        <v>0</v>
      </c>
      <c r="I15" s="29">
        <v>0</v>
      </c>
      <c r="J15" s="34">
        <v>82.5</v>
      </c>
      <c r="K15" s="34">
        <v>82.5</v>
      </c>
      <c r="L15" s="44">
        <v>0</v>
      </c>
      <c r="M15" s="44">
        <v>0</v>
      </c>
      <c r="N15" s="44">
        <v>56561</v>
      </c>
      <c r="O15" s="44">
        <v>56561</v>
      </c>
      <c r="P15" s="144" t="s">
        <v>50</v>
      </c>
      <c r="Q15" s="85">
        <v>2828.05</v>
      </c>
    </row>
    <row r="16" spans="1:17" s="11" customFormat="1" ht="46.5" customHeight="1">
      <c r="A16" s="154" t="s">
        <v>96</v>
      </c>
      <c r="B16" s="51">
        <v>38718</v>
      </c>
      <c r="C16" s="51" t="s">
        <v>70</v>
      </c>
      <c r="D16" s="155" t="s">
        <v>83</v>
      </c>
      <c r="E16" s="156">
        <v>721</v>
      </c>
      <c r="F16" s="157">
        <v>0.1</v>
      </c>
      <c r="G16" s="158">
        <v>0</v>
      </c>
      <c r="H16" s="156">
        <v>73546</v>
      </c>
      <c r="I16" s="156">
        <v>66191.520000000004</v>
      </c>
      <c r="J16" s="159">
        <v>15.96</v>
      </c>
      <c r="K16" s="159">
        <v>14.36</v>
      </c>
      <c r="L16" s="160">
        <v>26065</v>
      </c>
      <c r="M16" s="160">
        <v>26065</v>
      </c>
      <c r="N16" s="160">
        <v>35598</v>
      </c>
      <c r="O16" s="161">
        <v>9533</v>
      </c>
      <c r="P16" s="162">
        <v>1.3657394974103203</v>
      </c>
      <c r="Q16" s="161">
        <v>476.65000000000003</v>
      </c>
    </row>
    <row r="17" spans="1:17" s="11" customFormat="1" ht="42" customHeight="1">
      <c r="A17" s="139" t="s">
        <v>21</v>
      </c>
      <c r="B17" s="81">
        <v>38718</v>
      </c>
      <c r="C17" s="81" t="s">
        <v>70</v>
      </c>
      <c r="D17" s="142" t="s">
        <v>83</v>
      </c>
      <c r="E17" s="163">
        <v>1</v>
      </c>
      <c r="F17" s="164">
        <v>0.3</v>
      </c>
      <c r="G17" s="165">
        <v>106075</v>
      </c>
      <c r="H17" s="163">
        <v>8000</v>
      </c>
      <c r="I17" s="163">
        <v>5600</v>
      </c>
      <c r="J17" s="166">
        <v>40</v>
      </c>
      <c r="K17" s="166">
        <v>28</v>
      </c>
      <c r="L17" s="167">
        <v>37360</v>
      </c>
      <c r="M17" s="168">
        <v>143435</v>
      </c>
      <c r="N17" s="169">
        <v>30970</v>
      </c>
      <c r="O17" s="167">
        <v>-112465</v>
      </c>
      <c r="P17" s="170">
        <v>0.21591661728308989</v>
      </c>
      <c r="Q17" s="145">
        <v>-5623.25</v>
      </c>
    </row>
    <row r="18" spans="1:17" ht="30">
      <c r="A18" s="113" t="s">
        <v>73</v>
      </c>
      <c r="B18" s="51"/>
      <c r="C18" s="51"/>
      <c r="D18" s="140"/>
      <c r="E18" s="29"/>
      <c r="F18" s="25"/>
      <c r="G18" s="30"/>
      <c r="H18" s="29"/>
      <c r="I18" s="29"/>
      <c r="J18" s="34"/>
      <c r="K18" s="34"/>
      <c r="L18" s="44"/>
      <c r="M18" s="44"/>
      <c r="N18" s="44"/>
      <c r="O18" s="45"/>
      <c r="P18" s="95"/>
      <c r="Q18" s="145"/>
    </row>
    <row r="19" spans="1:17" s="11" customFormat="1" ht="15.75" thickBot="1">
      <c r="A19" s="115" t="s">
        <v>74</v>
      </c>
      <c r="B19" s="96"/>
      <c r="C19" s="96"/>
      <c r="D19" s="171"/>
      <c r="E19" s="172"/>
      <c r="F19" s="97"/>
      <c r="G19" s="173"/>
      <c r="H19" s="172"/>
      <c r="I19" s="172"/>
      <c r="J19" s="174"/>
      <c r="K19" s="174"/>
      <c r="L19" s="175"/>
      <c r="M19" s="175">
        <v>791006</v>
      </c>
      <c r="N19" s="175">
        <v>3896873</v>
      </c>
      <c r="O19" s="176">
        <v>3105867</v>
      </c>
      <c r="P19" s="177">
        <v>4.926477169578992</v>
      </c>
      <c r="Q19" s="98">
        <v>155293.35</v>
      </c>
    </row>
    <row r="20" spans="1:17" s="11" customFormat="1" ht="30.75" thickBot="1">
      <c r="A20" s="77" t="s">
        <v>119</v>
      </c>
      <c r="B20" s="99"/>
      <c r="C20" s="99"/>
      <c r="D20" s="200"/>
      <c r="E20" s="99"/>
      <c r="F20" s="99"/>
      <c r="G20" s="99"/>
      <c r="H20" s="99"/>
      <c r="I20" s="99"/>
      <c r="J20" s="99"/>
      <c r="K20" s="99"/>
      <c r="L20" s="99"/>
      <c r="M20" s="99"/>
      <c r="N20" s="99"/>
      <c r="O20" s="201"/>
      <c r="P20" s="201"/>
      <c r="Q20" s="202">
        <f>Q7</f>
        <v>160439.95000000001</v>
      </c>
    </row>
    <row r="21" spans="1:17">
      <c r="M21" s="9"/>
      <c r="N21" s="9"/>
      <c r="O21" s="9"/>
      <c r="P21" s="9"/>
    </row>
    <row r="22" spans="1:17" ht="15">
      <c r="A22" s="240" t="s">
        <v>175</v>
      </c>
      <c r="D22" s="9"/>
      <c r="M22" s="9"/>
      <c r="N22" s="9"/>
      <c r="O22" s="9"/>
      <c r="P22" s="9"/>
    </row>
    <row r="23" spans="1:17">
      <c r="A23" s="9" t="s">
        <v>176</v>
      </c>
      <c r="D23" s="9"/>
      <c r="M23" s="9"/>
      <c r="N23" s="9"/>
      <c r="O23" s="9"/>
      <c r="P23" s="9"/>
    </row>
    <row r="24" spans="1:17">
      <c r="M24" s="9"/>
      <c r="N24" s="9"/>
      <c r="O24" s="9"/>
      <c r="P24" s="9"/>
    </row>
    <row r="25" spans="1:17">
      <c r="M25" s="9"/>
      <c r="N25" s="9"/>
      <c r="O25" s="9"/>
      <c r="P25" s="9"/>
    </row>
    <row r="26" spans="1:17">
      <c r="M26" s="9"/>
      <c r="N26" s="9"/>
      <c r="O26" s="9"/>
      <c r="P26" s="9"/>
    </row>
    <row r="27" spans="1:17">
      <c r="M27" s="9"/>
      <c r="N27" s="9"/>
      <c r="O27" s="9"/>
      <c r="P27" s="9"/>
    </row>
    <row r="28" spans="1:17">
      <c r="M28" s="9"/>
      <c r="N28" s="9"/>
      <c r="O28" s="9"/>
      <c r="P28" s="9"/>
    </row>
    <row r="29" spans="1:17">
      <c r="M29" s="9"/>
      <c r="N29" s="9"/>
      <c r="O29" s="9"/>
      <c r="P29" s="9"/>
    </row>
    <row r="30" spans="1:17">
      <c r="M30" s="9"/>
      <c r="N30" s="9"/>
      <c r="O30" s="9"/>
      <c r="P30" s="9"/>
    </row>
    <row r="31" spans="1:17">
      <c r="M31" s="9"/>
      <c r="N31" s="9"/>
      <c r="O31" s="9"/>
      <c r="P31" s="9"/>
    </row>
    <row r="32" spans="1:17">
      <c r="M32" s="9"/>
      <c r="N32" s="9"/>
      <c r="O32" s="9"/>
      <c r="P32" s="9"/>
    </row>
    <row r="33" spans="13:16">
      <c r="M33" s="9"/>
      <c r="N33" s="9"/>
      <c r="O33" s="9"/>
      <c r="P33" s="9"/>
    </row>
    <row r="34" spans="13:16">
      <c r="M34" s="9"/>
      <c r="N34" s="9"/>
      <c r="O34" s="9"/>
      <c r="P34" s="9"/>
    </row>
    <row r="35" spans="13:16">
      <c r="M35" s="9"/>
      <c r="N35" s="9"/>
      <c r="O35" s="9"/>
      <c r="P35" s="9"/>
    </row>
    <row r="36" spans="13:16" ht="13.5" customHeight="1">
      <c r="M36" s="9"/>
      <c r="N36" s="9"/>
      <c r="O36" s="9"/>
      <c r="P36" s="9"/>
    </row>
    <row r="37" spans="13:16">
      <c r="M37" s="9"/>
      <c r="N37" s="9"/>
      <c r="O37" s="9"/>
      <c r="P37" s="9"/>
    </row>
    <row r="38" spans="13:16">
      <c r="M38" s="9"/>
      <c r="N38" s="9"/>
      <c r="O38" s="9"/>
      <c r="P38" s="9"/>
    </row>
    <row r="39" spans="13:16">
      <c r="M39" s="9"/>
      <c r="N39" s="9"/>
      <c r="O39" s="9"/>
      <c r="P39" s="9"/>
    </row>
    <row r="40" spans="13:16">
      <c r="M40" s="9"/>
      <c r="N40" s="9"/>
      <c r="O40" s="9"/>
      <c r="P40" s="9"/>
    </row>
    <row r="41" spans="13:16">
      <c r="M41" s="9"/>
      <c r="N41" s="9"/>
      <c r="O41" s="9"/>
      <c r="P41" s="9"/>
    </row>
    <row r="42" spans="13:16">
      <c r="M42" s="9"/>
      <c r="N42" s="9"/>
      <c r="O42" s="9"/>
      <c r="P42" s="9"/>
    </row>
    <row r="43" spans="13:16">
      <c r="M43" s="9"/>
      <c r="N43" s="9"/>
      <c r="O43" s="9"/>
      <c r="P43" s="9"/>
    </row>
    <row r="44" spans="13:16">
      <c r="M44" s="9"/>
      <c r="N44" s="9"/>
      <c r="O44" s="9"/>
      <c r="P44" s="9"/>
    </row>
    <row r="45" spans="13:16">
      <c r="M45" s="9"/>
      <c r="N45" s="9"/>
      <c r="O45" s="9"/>
      <c r="P45" s="9"/>
    </row>
    <row r="46" spans="13:16">
      <c r="M46" s="9"/>
      <c r="N46" s="9"/>
      <c r="O46" s="9"/>
      <c r="P46" s="9"/>
    </row>
    <row r="47" spans="13:16">
      <c r="M47" s="9"/>
      <c r="N47" s="9"/>
      <c r="O47" s="9"/>
      <c r="P47" s="9"/>
    </row>
    <row r="48" spans="13:16">
      <c r="M48" s="9"/>
      <c r="N48" s="9"/>
      <c r="O48" s="9"/>
      <c r="P48" s="9"/>
    </row>
    <row r="49" spans="13:16">
      <c r="M49" s="9"/>
      <c r="N49" s="9"/>
      <c r="O49" s="9"/>
      <c r="P49" s="9"/>
    </row>
    <row r="50" spans="13:16">
      <c r="M50" s="9"/>
      <c r="N50" s="9"/>
      <c r="O50" s="9"/>
      <c r="P50" s="9"/>
    </row>
  </sheetData>
  <customSheetViews>
    <customSheetView guid="{79BD26C1-CFC5-4DF6-B35F-C5F18E7B1C41}" scale="80" fitToPage="1">
      <pane xSplit="1" ySplit="6" topLeftCell="H13" activePane="bottomRight" state="frozen"/>
      <selection pane="bottomRight" activeCell="H8" sqref="H8"/>
      <pageMargins left="0.196850393700787" right="0.196850393700787" top="0.196850393700787" bottom="0.196850393700787" header="0.511811023622047" footer="0.511811023622047"/>
      <pageSetup scale="50" orientation="landscape" r:id="rId1"/>
      <headerFooter alignWithMargins="0"/>
    </customSheetView>
  </customSheetViews>
  <mergeCells count="5">
    <mergeCell ref="E4:G4"/>
    <mergeCell ref="H4:K4"/>
    <mergeCell ref="M4:P4"/>
    <mergeCell ref="H5:I5"/>
    <mergeCell ref="J5:K5"/>
  </mergeCells>
  <pageMargins left="0.196850393700787" right="0.196850393700787" top="0.196850393700787" bottom="0.196850393700787" header="0.511811023622047" footer="0.511811023622047"/>
  <pageSetup scale="50" orientation="landscape" r:id="rId2"/>
  <headerFooter alignWithMargins="0"/>
</worksheet>
</file>

<file path=xl/worksheets/sheet12.xml><?xml version="1.0" encoding="utf-8"?>
<worksheet xmlns="http://schemas.openxmlformats.org/spreadsheetml/2006/main" xmlns:r="http://schemas.openxmlformats.org/officeDocument/2006/relationships">
  <sheetPr>
    <tabColor rgb="FFFF0000"/>
    <pageSetUpPr fitToPage="1"/>
  </sheetPr>
  <dimension ref="A2:S59"/>
  <sheetViews>
    <sheetView view="pageBreakPreview" zoomScale="60" zoomScaleNormal="80" workbookViewId="0">
      <pane xSplit="1" ySplit="6" topLeftCell="D7" activePane="bottomRight" state="frozen"/>
      <selection activeCell="I9" sqref="I9"/>
      <selection pane="topRight" activeCell="I9" sqref="I9"/>
      <selection pane="bottomLeft" activeCell="I9" sqref="I9"/>
      <selection pane="bottomRight" activeCell="D2" sqref="D2"/>
    </sheetView>
  </sheetViews>
  <sheetFormatPr defaultColWidth="8.85546875" defaultRowHeight="12.75"/>
  <cols>
    <col min="1" max="1" width="32.140625" style="42" customWidth="1"/>
    <col min="2" max="2" width="11.85546875" style="9" customWidth="1"/>
    <col min="3" max="3" width="13.5703125" style="9" customWidth="1"/>
    <col min="4" max="4" width="21.140625" style="9" customWidth="1"/>
    <col min="5" max="5" width="12.5703125" style="9" customWidth="1"/>
    <col min="6" max="6" width="12.28515625" style="9" customWidth="1"/>
    <col min="7" max="7" width="17.140625" style="9" customWidth="1"/>
    <col min="8" max="9" width="17.140625" style="9" hidden="1" customWidth="1"/>
    <col min="10" max="10" width="11.42578125" style="9" customWidth="1"/>
    <col min="11" max="11" width="10.85546875" style="9" customWidth="1"/>
    <col min="12" max="13" width="11.28515625" style="9" customWidth="1"/>
    <col min="14" max="14" width="14.5703125" style="9" customWidth="1"/>
    <col min="15" max="15" width="13.28515625" style="38" customWidth="1"/>
    <col min="16" max="16" width="15" style="38" customWidth="1"/>
    <col min="17" max="17" width="12.85546875" style="38" customWidth="1"/>
    <col min="18" max="18" width="11.85546875" style="23" customWidth="1"/>
    <col min="19" max="19" width="13.42578125" style="9" customWidth="1"/>
    <col min="20" max="16384" width="8.85546875" style="9"/>
  </cols>
  <sheetData>
    <row r="2" spans="1:19" customFormat="1" ht="18.75" customHeight="1">
      <c r="A2" s="46" t="s">
        <v>118</v>
      </c>
      <c r="C2" s="1"/>
      <c r="D2" s="1"/>
      <c r="E2" s="1"/>
      <c r="F2" s="1"/>
      <c r="G2" s="1"/>
      <c r="H2" s="1"/>
    </row>
    <row r="3" spans="1:19" s="48" customFormat="1" ht="18.75" customHeight="1" thickBot="1">
      <c r="A3" s="47"/>
      <c r="C3" s="49"/>
      <c r="D3" s="49"/>
      <c r="E3" s="49"/>
      <c r="F3" s="49"/>
      <c r="G3" s="49"/>
      <c r="H3" s="49"/>
    </row>
    <row r="4" spans="1:19" ht="21.75" customHeight="1" thickBot="1">
      <c r="A4" s="138"/>
      <c r="B4" s="80"/>
      <c r="C4" s="80"/>
      <c r="D4" s="80"/>
      <c r="E4" s="706" t="s">
        <v>51</v>
      </c>
      <c r="F4" s="707"/>
      <c r="G4" s="708"/>
      <c r="H4" s="87"/>
      <c r="I4" s="87"/>
      <c r="J4" s="706" t="s">
        <v>52</v>
      </c>
      <c r="K4" s="707"/>
      <c r="L4" s="707"/>
      <c r="M4" s="708"/>
      <c r="N4" s="87"/>
      <c r="O4" s="706" t="s">
        <v>53</v>
      </c>
      <c r="P4" s="707"/>
      <c r="Q4" s="707"/>
      <c r="R4" s="708"/>
      <c r="S4" s="80"/>
    </row>
    <row r="5" spans="1:19" ht="43.5" customHeight="1" thickBot="1">
      <c r="A5" s="92" t="s">
        <v>0</v>
      </c>
      <c r="B5" s="86" t="s">
        <v>54</v>
      </c>
      <c r="C5" s="86" t="s">
        <v>97</v>
      </c>
      <c r="D5" s="86" t="s">
        <v>33</v>
      </c>
      <c r="E5" s="86" t="s">
        <v>112</v>
      </c>
      <c r="F5" s="86" t="s">
        <v>165</v>
      </c>
      <c r="G5" s="185" t="s">
        <v>56</v>
      </c>
      <c r="H5" s="186" t="s">
        <v>57</v>
      </c>
      <c r="I5" s="186" t="s">
        <v>58</v>
      </c>
      <c r="J5" s="713" t="s">
        <v>59</v>
      </c>
      <c r="K5" s="714"/>
      <c r="L5" s="713" t="s">
        <v>60</v>
      </c>
      <c r="M5" s="714"/>
      <c r="N5" s="187" t="s">
        <v>61</v>
      </c>
      <c r="O5" s="185" t="s">
        <v>62</v>
      </c>
      <c r="P5" s="185" t="s">
        <v>63</v>
      </c>
      <c r="Q5" s="185" t="s">
        <v>64</v>
      </c>
      <c r="R5" s="92" t="s">
        <v>65</v>
      </c>
      <c r="S5" s="92" t="s">
        <v>66</v>
      </c>
    </row>
    <row r="6" spans="1:19" ht="33" customHeight="1" thickBot="1">
      <c r="A6" s="94"/>
      <c r="B6" s="93"/>
      <c r="C6" s="93"/>
      <c r="D6" s="93"/>
      <c r="E6" s="93"/>
      <c r="F6" s="93"/>
      <c r="G6" s="188"/>
      <c r="H6" s="188"/>
      <c r="I6" s="188"/>
      <c r="J6" s="189" t="s">
        <v>39</v>
      </c>
      <c r="K6" s="189" t="s">
        <v>43</v>
      </c>
      <c r="L6" s="189" t="s">
        <v>39</v>
      </c>
      <c r="M6" s="189" t="s">
        <v>43</v>
      </c>
      <c r="N6" s="188"/>
      <c r="O6" s="189"/>
      <c r="P6" s="189"/>
      <c r="Q6" s="190"/>
      <c r="R6" s="94"/>
      <c r="S6" s="191"/>
    </row>
    <row r="7" spans="1:19" s="11" customFormat="1" ht="15">
      <c r="A7" s="470" t="s">
        <v>67</v>
      </c>
      <c r="B7" s="64"/>
      <c r="C7" s="64"/>
      <c r="D7" s="74" t="s">
        <v>34</v>
      </c>
      <c r="E7" s="465">
        <v>8057</v>
      </c>
      <c r="F7" s="466" t="s">
        <v>68</v>
      </c>
      <c r="G7" s="467">
        <v>163462</v>
      </c>
      <c r="H7" s="64"/>
      <c r="I7" s="64"/>
      <c r="J7" s="468">
        <v>1250781.132</v>
      </c>
      <c r="K7" s="468">
        <v>1131618.45</v>
      </c>
      <c r="L7" s="642">
        <v>119.2487</v>
      </c>
      <c r="M7" s="469">
        <v>144.05000000000001</v>
      </c>
      <c r="N7" s="467">
        <v>8155</v>
      </c>
      <c r="O7" s="467">
        <v>171617</v>
      </c>
      <c r="P7" s="438">
        <v>1132636</v>
      </c>
      <c r="Q7" s="478">
        <v>961019</v>
      </c>
      <c r="R7" s="484">
        <v>6.59978906518585</v>
      </c>
      <c r="S7" s="488">
        <v>48050.950000000004</v>
      </c>
    </row>
    <row r="8" spans="1:19" s="11" customFormat="1" ht="15">
      <c r="A8" s="471"/>
      <c r="B8" s="447"/>
      <c r="C8" s="447"/>
      <c r="D8" s="443"/>
      <c r="E8" s="472"/>
      <c r="F8" s="473"/>
      <c r="G8" s="474"/>
      <c r="H8" s="447"/>
      <c r="I8" s="447"/>
      <c r="J8" s="475"/>
      <c r="K8" s="475"/>
      <c r="L8" s="643">
        <f>SUM(L11+L13+L14)</f>
        <v>161.65869999999998</v>
      </c>
      <c r="M8" s="476"/>
      <c r="N8" s="474"/>
      <c r="O8" s="474"/>
      <c r="P8" s="450">
        <v>716324</v>
      </c>
      <c r="Q8" s="477">
        <v>544707</v>
      </c>
      <c r="R8" s="483">
        <v>4.17</v>
      </c>
      <c r="S8" s="477">
        <v>27235</v>
      </c>
    </row>
    <row r="9" spans="1:19" ht="18.75" customHeight="1">
      <c r="A9" s="431" t="s">
        <v>9</v>
      </c>
      <c r="B9" s="432">
        <v>39083</v>
      </c>
      <c r="C9" s="432" t="s">
        <v>98</v>
      </c>
      <c r="D9" s="74" t="s">
        <v>34</v>
      </c>
      <c r="E9" s="433">
        <v>4769</v>
      </c>
      <c r="F9" s="434">
        <v>0.1</v>
      </c>
      <c r="G9" s="435">
        <v>0</v>
      </c>
      <c r="H9" s="64"/>
      <c r="I9" s="64"/>
      <c r="J9" s="436">
        <v>497884</v>
      </c>
      <c r="K9" s="436">
        <v>448095.24</v>
      </c>
      <c r="L9" s="437">
        <v>0</v>
      </c>
      <c r="M9" s="437">
        <v>0</v>
      </c>
      <c r="N9" s="435">
        <v>0</v>
      </c>
      <c r="O9" s="435">
        <v>0</v>
      </c>
      <c r="P9" s="438">
        <v>530600</v>
      </c>
      <c r="Q9" s="439">
        <v>114289</v>
      </c>
      <c r="R9" s="451" t="s">
        <v>50</v>
      </c>
      <c r="S9" s="440">
        <v>5714.4500000000007</v>
      </c>
    </row>
    <row r="10" spans="1:19" s="463" customFormat="1" ht="18.75" customHeight="1">
      <c r="A10" s="452"/>
      <c r="B10" s="453"/>
      <c r="C10" s="453"/>
      <c r="D10" s="454"/>
      <c r="E10" s="455"/>
      <c r="F10" s="456"/>
      <c r="G10" s="457"/>
      <c r="H10" s="270"/>
      <c r="I10" s="270"/>
      <c r="J10" s="458"/>
      <c r="K10" s="458"/>
      <c r="L10" s="459"/>
      <c r="M10" s="459"/>
      <c r="N10" s="457"/>
      <c r="O10" s="457"/>
      <c r="P10" s="464">
        <v>114289</v>
      </c>
      <c r="Q10" s="460"/>
      <c r="R10" s="461"/>
      <c r="S10" s="462"/>
    </row>
    <row r="11" spans="1:19" ht="30" customHeight="1">
      <c r="A11" s="431" t="s">
        <v>12</v>
      </c>
      <c r="B11" s="432">
        <v>39234</v>
      </c>
      <c r="C11" s="432" t="s">
        <v>99</v>
      </c>
      <c r="D11" s="74" t="s">
        <v>34</v>
      </c>
      <c r="E11" s="433">
        <v>468</v>
      </c>
      <c r="F11" s="434">
        <v>0.1</v>
      </c>
      <c r="G11" s="435">
        <v>0</v>
      </c>
      <c r="H11" s="64"/>
      <c r="I11" s="64"/>
      <c r="J11" s="436">
        <v>180975</v>
      </c>
      <c r="K11" s="436">
        <v>159884</v>
      </c>
      <c r="L11" s="437">
        <v>107.35</v>
      </c>
      <c r="M11" s="437">
        <v>96.62</v>
      </c>
      <c r="N11" s="438">
        <v>8155</v>
      </c>
      <c r="O11" s="438">
        <v>8155</v>
      </c>
      <c r="P11" s="435">
        <v>101213</v>
      </c>
      <c r="Q11" s="478">
        <v>93058</v>
      </c>
      <c r="R11" s="484">
        <v>12.411158798283262</v>
      </c>
      <c r="S11" s="487">
        <v>4652.9000000000005</v>
      </c>
    </row>
    <row r="12" spans="1:19" ht="20.25" customHeight="1">
      <c r="A12" s="441"/>
      <c r="B12" s="442"/>
      <c r="C12" s="442"/>
      <c r="D12" s="443"/>
      <c r="E12" s="444"/>
      <c r="F12" s="445"/>
      <c r="G12" s="446"/>
      <c r="H12" s="447"/>
      <c r="I12" s="447"/>
      <c r="J12" s="448"/>
      <c r="K12" s="448"/>
      <c r="L12" s="449"/>
      <c r="M12" s="449"/>
      <c r="N12" s="450">
        <v>4213</v>
      </c>
      <c r="O12" s="450">
        <v>4213</v>
      </c>
      <c r="P12" s="446"/>
      <c r="Q12" s="477">
        <v>97000</v>
      </c>
      <c r="R12" s="483">
        <v>24.02</v>
      </c>
      <c r="S12" s="486">
        <v>4850</v>
      </c>
    </row>
    <row r="13" spans="1:19" ht="33" customHeight="1">
      <c r="A13" s="234" t="s">
        <v>92</v>
      </c>
      <c r="B13" s="81">
        <v>39083</v>
      </c>
      <c r="C13" s="81" t="s">
        <v>100</v>
      </c>
      <c r="D13" s="60" t="s">
        <v>34</v>
      </c>
      <c r="E13" s="39">
        <v>2629</v>
      </c>
      <c r="F13" s="33" t="s">
        <v>37</v>
      </c>
      <c r="G13" s="40">
        <v>0</v>
      </c>
      <c r="H13" s="63"/>
      <c r="I13" s="63"/>
      <c r="J13" s="39">
        <v>560309</v>
      </c>
      <c r="K13" s="39">
        <v>513187.39</v>
      </c>
      <c r="L13" s="524">
        <v>42.41</v>
      </c>
      <c r="M13" s="41">
        <v>36.72</v>
      </c>
      <c r="N13" s="40">
        <v>0</v>
      </c>
      <c r="O13" s="40">
        <v>0</v>
      </c>
      <c r="P13" s="40">
        <v>438950</v>
      </c>
      <c r="Q13" s="43">
        <v>438950</v>
      </c>
      <c r="R13" s="178" t="s">
        <v>50</v>
      </c>
      <c r="S13" s="85">
        <v>21947.5</v>
      </c>
    </row>
    <row r="14" spans="1:19" ht="18.75" customHeight="1">
      <c r="A14" s="431" t="s">
        <v>17</v>
      </c>
      <c r="B14" s="432">
        <v>39083</v>
      </c>
      <c r="C14" s="432" t="s">
        <v>88</v>
      </c>
      <c r="D14" s="74" t="s">
        <v>34</v>
      </c>
      <c r="E14" s="433">
        <v>191</v>
      </c>
      <c r="F14" s="526">
        <v>0</v>
      </c>
      <c r="G14" s="435">
        <v>0</v>
      </c>
      <c r="H14" s="64"/>
      <c r="I14" s="64"/>
      <c r="J14" s="433">
        <v>11613.132000000001</v>
      </c>
      <c r="K14" s="433">
        <v>10451.82</v>
      </c>
      <c r="L14" s="479">
        <v>11.8987</v>
      </c>
      <c r="M14" s="479">
        <v>10.71</v>
      </c>
      <c r="N14" s="480">
        <v>3942</v>
      </c>
      <c r="O14" s="480">
        <v>3942</v>
      </c>
      <c r="P14" s="435">
        <v>61873</v>
      </c>
      <c r="Q14" s="478">
        <v>61873</v>
      </c>
      <c r="R14" s="485">
        <v>15.7</v>
      </c>
      <c r="S14" s="487">
        <v>3093.65</v>
      </c>
    </row>
    <row r="15" spans="1:19" ht="18.75" customHeight="1">
      <c r="A15" s="441"/>
      <c r="B15" s="442"/>
      <c r="C15" s="442"/>
      <c r="D15" s="443"/>
      <c r="E15" s="444"/>
      <c r="F15" s="525">
        <v>0.1</v>
      </c>
      <c r="G15" s="446"/>
      <c r="H15" s="447"/>
      <c r="I15" s="447"/>
      <c r="J15" s="444"/>
      <c r="K15" s="444"/>
      <c r="L15" s="481"/>
      <c r="M15" s="481"/>
      <c r="N15" s="450"/>
      <c r="O15" s="446"/>
      <c r="P15" s="446"/>
      <c r="Q15" s="477">
        <v>57930</v>
      </c>
      <c r="R15" s="482"/>
      <c r="S15" s="486">
        <v>2897</v>
      </c>
    </row>
    <row r="16" spans="1:19" s="11" customFormat="1" ht="45" customHeight="1">
      <c r="A16" s="154" t="s">
        <v>96</v>
      </c>
      <c r="B16" s="81">
        <v>39234</v>
      </c>
      <c r="C16" s="81" t="s">
        <v>70</v>
      </c>
      <c r="D16" s="192" t="s">
        <v>83</v>
      </c>
      <c r="E16" s="193">
        <v>1551</v>
      </c>
      <c r="F16" s="157">
        <v>0.1</v>
      </c>
      <c r="G16" s="194">
        <v>24831</v>
      </c>
      <c r="H16" s="195"/>
      <c r="I16" s="195"/>
      <c r="J16" s="193">
        <v>481948</v>
      </c>
      <c r="K16" s="193">
        <v>433753.31</v>
      </c>
      <c r="L16" s="196">
        <v>102.244</v>
      </c>
      <c r="M16" s="196">
        <v>92.02</v>
      </c>
      <c r="N16" s="194">
        <v>79949</v>
      </c>
      <c r="O16" s="194">
        <v>104780</v>
      </c>
      <c r="P16" s="194">
        <v>196557</v>
      </c>
      <c r="Q16" s="197">
        <v>91777</v>
      </c>
      <c r="R16" s="198">
        <v>1.8759018896736019</v>
      </c>
      <c r="S16" s="197">
        <v>4588.8500000000004</v>
      </c>
    </row>
    <row r="17" spans="1:19" s="11" customFormat="1" ht="15.75" customHeight="1">
      <c r="A17" s="154" t="s">
        <v>22</v>
      </c>
      <c r="B17" s="81">
        <v>39083</v>
      </c>
      <c r="C17" s="81" t="s">
        <v>70</v>
      </c>
      <c r="D17" s="69" t="s">
        <v>83</v>
      </c>
      <c r="E17" s="179">
        <v>6</v>
      </c>
      <c r="F17" s="164">
        <v>0.3</v>
      </c>
      <c r="G17" s="181">
        <v>16265</v>
      </c>
      <c r="H17" s="95"/>
      <c r="I17" s="95"/>
      <c r="J17" s="179">
        <v>0</v>
      </c>
      <c r="K17" s="179">
        <v>0</v>
      </c>
      <c r="L17" s="180"/>
      <c r="M17" s="180">
        <v>333.78000000000003</v>
      </c>
      <c r="N17" s="181">
        <v>85630</v>
      </c>
      <c r="O17" s="182">
        <v>101895</v>
      </c>
      <c r="P17" s="183">
        <v>149505.72888259683</v>
      </c>
      <c r="Q17" s="184">
        <v>47610.728882596828</v>
      </c>
      <c r="R17" s="52">
        <v>1.4672528473683382</v>
      </c>
      <c r="S17" s="85">
        <v>2380.5364441298416</v>
      </c>
    </row>
    <row r="18" spans="1:19" s="11" customFormat="1" ht="15.75" customHeight="1">
      <c r="A18" s="234" t="s">
        <v>101</v>
      </c>
      <c r="B18" s="81">
        <v>39083</v>
      </c>
      <c r="C18" s="81" t="s">
        <v>70</v>
      </c>
      <c r="D18" s="69" t="s">
        <v>83</v>
      </c>
      <c r="E18" s="179">
        <v>1</v>
      </c>
      <c r="F18" s="164">
        <v>0.3</v>
      </c>
      <c r="G18" s="181"/>
      <c r="H18" s="95"/>
      <c r="I18" s="95"/>
      <c r="J18" s="179">
        <v>0</v>
      </c>
      <c r="K18" s="179">
        <v>0</v>
      </c>
      <c r="L18" s="180">
        <v>50</v>
      </c>
      <c r="M18" s="180">
        <v>35</v>
      </c>
      <c r="N18" s="181">
        <v>13300</v>
      </c>
      <c r="O18" s="182">
        <v>13300</v>
      </c>
      <c r="P18" s="183">
        <v>15677.094226409281</v>
      </c>
      <c r="Q18" s="184">
        <v>2377.094226409281</v>
      </c>
      <c r="R18" s="52">
        <v>1.1787288892037053</v>
      </c>
      <c r="S18" s="85">
        <v>118.85471132046405</v>
      </c>
    </row>
    <row r="19" spans="1:19" s="11" customFormat="1" ht="15.75" customHeight="1">
      <c r="A19" s="234" t="s">
        <v>102</v>
      </c>
      <c r="B19" s="81">
        <v>39083</v>
      </c>
      <c r="C19" s="81" t="s">
        <v>70</v>
      </c>
      <c r="D19" s="69" t="s">
        <v>83</v>
      </c>
      <c r="E19" s="179">
        <v>1</v>
      </c>
      <c r="F19" s="164">
        <v>0.3</v>
      </c>
      <c r="G19" s="181"/>
      <c r="H19" s="95"/>
      <c r="I19" s="95"/>
      <c r="J19" s="179">
        <v>0</v>
      </c>
      <c r="K19" s="179">
        <v>0</v>
      </c>
      <c r="L19" s="180">
        <v>54</v>
      </c>
      <c r="M19" s="180">
        <v>52.38</v>
      </c>
      <c r="N19" s="181">
        <v>18430</v>
      </c>
      <c r="O19" s="182">
        <v>18430</v>
      </c>
      <c r="P19" s="183">
        <v>23461.891302266227</v>
      </c>
      <c r="Q19" s="184">
        <v>5031.8913022662273</v>
      </c>
      <c r="R19" s="52">
        <v>1.2730272003400014</v>
      </c>
      <c r="S19" s="85">
        <v>251.59456511331138</v>
      </c>
    </row>
    <row r="20" spans="1:19" s="11" customFormat="1" ht="15.75" customHeight="1">
      <c r="A20" s="234" t="s">
        <v>103</v>
      </c>
      <c r="B20" s="81">
        <v>39083</v>
      </c>
      <c r="C20" s="81" t="s">
        <v>70</v>
      </c>
      <c r="D20" s="69" t="s">
        <v>83</v>
      </c>
      <c r="E20" s="179">
        <v>1</v>
      </c>
      <c r="F20" s="164">
        <v>0.3</v>
      </c>
      <c r="G20" s="181"/>
      <c r="H20" s="95"/>
      <c r="I20" s="95"/>
      <c r="J20" s="179">
        <v>0</v>
      </c>
      <c r="K20" s="179">
        <v>0</v>
      </c>
      <c r="L20" s="180">
        <v>45</v>
      </c>
      <c r="M20" s="180">
        <v>31.5</v>
      </c>
      <c r="N20" s="181">
        <v>13300</v>
      </c>
      <c r="O20" s="182">
        <v>13300</v>
      </c>
      <c r="P20" s="183">
        <v>14109.384803768351</v>
      </c>
      <c r="Q20" s="184">
        <v>809.38480376835105</v>
      </c>
      <c r="R20" s="52">
        <v>1.0608560002833347</v>
      </c>
      <c r="S20" s="85">
        <v>40.469240188417558</v>
      </c>
    </row>
    <row r="21" spans="1:19" s="11" customFormat="1" ht="15.75" customHeight="1">
      <c r="A21" s="234" t="s">
        <v>104</v>
      </c>
      <c r="B21" s="81">
        <v>39083</v>
      </c>
      <c r="C21" s="81" t="s">
        <v>70</v>
      </c>
      <c r="D21" s="69" t="s">
        <v>83</v>
      </c>
      <c r="E21" s="179">
        <v>1</v>
      </c>
      <c r="F21" s="164">
        <v>0.3</v>
      </c>
      <c r="G21" s="181"/>
      <c r="H21" s="95"/>
      <c r="I21" s="95"/>
      <c r="J21" s="179">
        <v>0</v>
      </c>
      <c r="K21" s="179">
        <v>0</v>
      </c>
      <c r="L21" s="180">
        <v>200</v>
      </c>
      <c r="M21" s="180">
        <v>140</v>
      </c>
      <c r="N21" s="181">
        <v>14000</v>
      </c>
      <c r="O21" s="182">
        <v>14000</v>
      </c>
      <c r="P21" s="183">
        <v>62708.376905637124</v>
      </c>
      <c r="Q21" s="184">
        <v>48708.376905637124</v>
      </c>
      <c r="R21" s="52">
        <v>4.4791697789740805</v>
      </c>
      <c r="S21" s="85">
        <v>2435.4188452818562</v>
      </c>
    </row>
    <row r="22" spans="1:19" s="11" customFormat="1" ht="15.75" customHeight="1">
      <c r="A22" s="234" t="s">
        <v>105</v>
      </c>
      <c r="B22" s="81">
        <v>39083</v>
      </c>
      <c r="C22" s="81" t="s">
        <v>70</v>
      </c>
      <c r="D22" s="69" t="s">
        <v>83</v>
      </c>
      <c r="E22" s="179">
        <v>1</v>
      </c>
      <c r="F22" s="164">
        <v>0.3</v>
      </c>
      <c r="G22" s="181"/>
      <c r="H22" s="95"/>
      <c r="I22" s="95"/>
      <c r="J22" s="179">
        <v>0</v>
      </c>
      <c r="K22" s="179">
        <v>0</v>
      </c>
      <c r="L22" s="180">
        <v>54</v>
      </c>
      <c r="M22" s="180">
        <v>37.799999999999997</v>
      </c>
      <c r="N22" s="181">
        <v>13300</v>
      </c>
      <c r="O22" s="182">
        <v>13300</v>
      </c>
      <c r="P22" s="183">
        <v>16931.26176452202</v>
      </c>
      <c r="Q22" s="184">
        <v>3631.2617645220198</v>
      </c>
      <c r="R22" s="52">
        <v>1.2730272003400014</v>
      </c>
      <c r="S22" s="85">
        <v>181.563088226101</v>
      </c>
    </row>
    <row r="23" spans="1:19" s="11" customFormat="1" ht="15.75" customHeight="1">
      <c r="A23" s="234" t="s">
        <v>106</v>
      </c>
      <c r="B23" s="81">
        <v>39083</v>
      </c>
      <c r="C23" s="81" t="s">
        <v>70</v>
      </c>
      <c r="D23" s="69" t="s">
        <v>83</v>
      </c>
      <c r="E23" s="179">
        <v>1</v>
      </c>
      <c r="F23" s="164">
        <v>0.3</v>
      </c>
      <c r="G23" s="181"/>
      <c r="H23" s="95"/>
      <c r="I23" s="95"/>
      <c r="J23" s="179">
        <v>0</v>
      </c>
      <c r="K23" s="179">
        <v>0</v>
      </c>
      <c r="L23" s="180">
        <v>53</v>
      </c>
      <c r="M23" s="180">
        <v>37.1</v>
      </c>
      <c r="N23" s="181">
        <v>13300</v>
      </c>
      <c r="O23" s="182">
        <v>13300</v>
      </c>
      <c r="P23" s="183">
        <v>16617.719879993834</v>
      </c>
      <c r="Q23" s="184">
        <v>3317.7198799938342</v>
      </c>
      <c r="R23" s="52">
        <v>1.2494526225559275</v>
      </c>
      <c r="S23" s="85">
        <v>165.88599399969172</v>
      </c>
    </row>
    <row r="24" spans="1:19" s="11" customFormat="1" ht="15.75" customHeight="1">
      <c r="A24" s="139" t="s">
        <v>21</v>
      </c>
      <c r="B24" s="81">
        <v>39083</v>
      </c>
      <c r="C24" s="81" t="s">
        <v>70</v>
      </c>
      <c r="D24" s="69" t="s">
        <v>83</v>
      </c>
      <c r="E24" s="179">
        <v>1</v>
      </c>
      <c r="F24" s="164">
        <v>0.3</v>
      </c>
      <c r="G24" s="181">
        <v>25042</v>
      </c>
      <c r="H24" s="95"/>
      <c r="I24" s="95"/>
      <c r="J24" s="179">
        <v>14000</v>
      </c>
      <c r="K24" s="179">
        <v>9800</v>
      </c>
      <c r="L24" s="180">
        <v>0.7</v>
      </c>
      <c r="M24" s="180">
        <v>0.49</v>
      </c>
      <c r="N24" s="181">
        <v>17413</v>
      </c>
      <c r="O24" s="182">
        <v>31413</v>
      </c>
      <c r="P24" s="183">
        <v>16549</v>
      </c>
      <c r="Q24" s="184">
        <v>-14864</v>
      </c>
      <c r="R24" s="52">
        <v>0.52682010632540666</v>
      </c>
      <c r="S24" s="85">
        <v>-743.2</v>
      </c>
    </row>
    <row r="25" spans="1:19" ht="15">
      <c r="A25" s="113" t="s">
        <v>73</v>
      </c>
      <c r="B25" s="51"/>
      <c r="C25" s="51"/>
      <c r="D25" s="60"/>
      <c r="E25" s="39"/>
      <c r="F25" s="25"/>
      <c r="G25" s="40"/>
      <c r="H25" s="63"/>
      <c r="I25" s="63"/>
      <c r="J25" s="39"/>
      <c r="K25" s="39"/>
      <c r="L25" s="41"/>
      <c r="M25" s="41"/>
      <c r="N25" s="40"/>
      <c r="O25" s="40"/>
      <c r="P25" s="40"/>
      <c r="Q25" s="43"/>
      <c r="R25" s="63"/>
      <c r="S25" s="85"/>
    </row>
    <row r="26" spans="1:19" s="11" customFormat="1" ht="15">
      <c r="A26" s="114" t="s">
        <v>74</v>
      </c>
      <c r="B26" s="497"/>
      <c r="C26" s="497"/>
      <c r="D26" s="74"/>
      <c r="E26" s="468"/>
      <c r="F26" s="498"/>
      <c r="G26" s="467"/>
      <c r="H26" s="64"/>
      <c r="I26" s="64"/>
      <c r="J26" s="468"/>
      <c r="K26" s="468"/>
      <c r="L26" s="469"/>
      <c r="M26" s="469"/>
      <c r="N26" s="467"/>
      <c r="O26" s="467">
        <v>409705</v>
      </c>
      <c r="P26" s="438">
        <v>1495247.7288825968</v>
      </c>
      <c r="Q26" s="478">
        <v>1085542.7288825968</v>
      </c>
      <c r="R26" s="503"/>
      <c r="S26" s="504">
        <v>54277.13644412985</v>
      </c>
    </row>
    <row r="27" spans="1:19" s="11" customFormat="1" ht="15.75" thickBot="1">
      <c r="A27" s="489"/>
      <c r="B27" s="490"/>
      <c r="C27" s="490"/>
      <c r="D27" s="491"/>
      <c r="E27" s="492"/>
      <c r="F27" s="493"/>
      <c r="G27" s="494"/>
      <c r="H27" s="495"/>
      <c r="I27" s="495"/>
      <c r="J27" s="492"/>
      <c r="K27" s="492"/>
      <c r="L27" s="496"/>
      <c r="M27" s="496"/>
      <c r="N27" s="494"/>
      <c r="O27" s="494"/>
      <c r="P27" s="499">
        <v>1078936</v>
      </c>
      <c r="Q27" s="500">
        <v>669230.73</v>
      </c>
      <c r="R27" s="501"/>
      <c r="S27" s="502">
        <v>33462</v>
      </c>
    </row>
    <row r="28" spans="1:19" s="11" customFormat="1" ht="15">
      <c r="A28" s="509" t="s">
        <v>119</v>
      </c>
      <c r="B28" s="514"/>
      <c r="C28" s="511"/>
      <c r="D28" s="510"/>
      <c r="E28" s="511"/>
      <c r="F28" s="511"/>
      <c r="G28" s="511"/>
      <c r="H28" s="511"/>
      <c r="I28" s="511"/>
      <c r="J28" s="511"/>
      <c r="K28" s="511"/>
      <c r="L28" s="511"/>
      <c r="M28" s="511"/>
      <c r="N28" s="511"/>
      <c r="O28" s="512"/>
      <c r="P28" s="512"/>
      <c r="Q28" s="513"/>
      <c r="R28" s="513"/>
      <c r="S28" s="518">
        <f>S7</f>
        <v>48050.950000000004</v>
      </c>
    </row>
    <row r="29" spans="1:19" s="11" customFormat="1" ht="15.75" thickBot="1">
      <c r="A29" s="516"/>
      <c r="B29" s="515"/>
      <c r="C29" s="505"/>
      <c r="D29" s="506"/>
      <c r="E29" s="505"/>
      <c r="F29" s="505"/>
      <c r="G29" s="505"/>
      <c r="H29" s="505"/>
      <c r="I29" s="505"/>
      <c r="J29" s="505"/>
      <c r="K29" s="505"/>
      <c r="L29" s="505"/>
      <c r="M29" s="505"/>
      <c r="N29" s="505"/>
      <c r="O29" s="507"/>
      <c r="P29" s="507"/>
      <c r="Q29" s="508"/>
      <c r="R29" s="508"/>
      <c r="S29" s="517">
        <v>27235</v>
      </c>
    </row>
    <row r="30" spans="1:19">
      <c r="O30" s="9"/>
      <c r="P30" s="9"/>
      <c r="Q30" s="9"/>
      <c r="R30" s="9"/>
      <c r="S30" s="203"/>
    </row>
    <row r="31" spans="1:19" ht="15">
      <c r="A31" s="240" t="s">
        <v>175</v>
      </c>
      <c r="O31" s="9"/>
      <c r="P31" s="9"/>
      <c r="Q31" s="9"/>
      <c r="R31" s="9"/>
    </row>
    <row r="32" spans="1:19">
      <c r="A32" s="9" t="s">
        <v>176</v>
      </c>
      <c r="O32" s="9"/>
      <c r="P32" s="9"/>
      <c r="Q32" s="9"/>
      <c r="R32" s="9"/>
    </row>
    <row r="33" spans="15:18">
      <c r="O33" s="9"/>
      <c r="P33" s="9"/>
      <c r="Q33" s="9"/>
      <c r="R33" s="9"/>
    </row>
    <row r="34" spans="15:18">
      <c r="O34" s="9"/>
      <c r="P34" s="9"/>
      <c r="Q34" s="9"/>
      <c r="R34" s="9"/>
    </row>
    <row r="35" spans="15:18">
      <c r="O35" s="9"/>
      <c r="P35" s="9"/>
      <c r="Q35" s="9"/>
      <c r="R35" s="9"/>
    </row>
    <row r="36" spans="15:18">
      <c r="O36" s="9"/>
      <c r="P36" s="9"/>
      <c r="Q36" s="9"/>
      <c r="R36" s="9"/>
    </row>
    <row r="37" spans="15:18">
      <c r="O37" s="9"/>
      <c r="P37" s="9"/>
      <c r="Q37" s="9"/>
      <c r="R37" s="9"/>
    </row>
    <row r="38" spans="15:18">
      <c r="O38" s="9"/>
      <c r="P38" s="9"/>
      <c r="Q38" s="9"/>
      <c r="R38" s="9"/>
    </row>
    <row r="39" spans="15:18">
      <c r="O39" s="9"/>
      <c r="P39" s="9"/>
      <c r="Q39" s="9"/>
      <c r="R39" s="9"/>
    </row>
    <row r="40" spans="15:18">
      <c r="O40" s="9"/>
      <c r="P40" s="9"/>
      <c r="Q40" s="9"/>
      <c r="R40" s="9"/>
    </row>
    <row r="41" spans="15:18">
      <c r="O41" s="9"/>
      <c r="P41" s="9"/>
      <c r="Q41" s="9"/>
      <c r="R41" s="9"/>
    </row>
    <row r="42" spans="15:18">
      <c r="O42" s="9"/>
      <c r="P42" s="9"/>
      <c r="Q42" s="9"/>
      <c r="R42" s="9"/>
    </row>
    <row r="43" spans="15:18">
      <c r="O43" s="9"/>
      <c r="P43" s="9"/>
      <c r="Q43" s="9"/>
      <c r="R43" s="9"/>
    </row>
    <row r="44" spans="15:18">
      <c r="O44" s="9"/>
      <c r="P44" s="9"/>
      <c r="Q44" s="9"/>
      <c r="R44" s="9"/>
    </row>
    <row r="45" spans="15:18" ht="13.5" customHeight="1">
      <c r="O45" s="9"/>
      <c r="P45" s="9"/>
      <c r="Q45" s="9"/>
      <c r="R45" s="9"/>
    </row>
    <row r="46" spans="15:18">
      <c r="O46" s="9"/>
      <c r="P46" s="9"/>
      <c r="Q46" s="9"/>
      <c r="R46" s="9"/>
    </row>
    <row r="47" spans="15:18">
      <c r="O47" s="9"/>
      <c r="P47" s="9"/>
      <c r="Q47" s="9"/>
      <c r="R47" s="9"/>
    </row>
    <row r="48" spans="15:18">
      <c r="O48" s="9"/>
      <c r="P48" s="9"/>
      <c r="Q48" s="9"/>
      <c r="R48" s="9"/>
    </row>
    <row r="49" spans="15:18">
      <c r="O49" s="9"/>
      <c r="P49" s="9"/>
      <c r="Q49" s="9"/>
      <c r="R49" s="9"/>
    </row>
    <row r="50" spans="15:18">
      <c r="O50" s="9"/>
      <c r="P50" s="9"/>
      <c r="Q50" s="9"/>
      <c r="R50" s="9"/>
    </row>
    <row r="51" spans="15:18">
      <c r="O51" s="9"/>
      <c r="P51" s="9"/>
      <c r="Q51" s="9"/>
      <c r="R51" s="9"/>
    </row>
    <row r="52" spans="15:18">
      <c r="O52" s="9"/>
      <c r="P52" s="9"/>
      <c r="Q52" s="9"/>
      <c r="R52" s="9"/>
    </row>
    <row r="53" spans="15:18">
      <c r="O53" s="9"/>
      <c r="P53" s="9"/>
      <c r="Q53" s="9"/>
      <c r="R53" s="9"/>
    </row>
    <row r="54" spans="15:18">
      <c r="O54" s="9"/>
      <c r="P54" s="9"/>
      <c r="Q54" s="9"/>
      <c r="R54" s="9"/>
    </row>
    <row r="55" spans="15:18">
      <c r="O55" s="9"/>
      <c r="P55" s="9"/>
      <c r="Q55" s="9"/>
      <c r="R55" s="9"/>
    </row>
    <row r="56" spans="15:18">
      <c r="O56" s="9"/>
      <c r="P56" s="9"/>
      <c r="Q56" s="9"/>
      <c r="R56" s="9"/>
    </row>
    <row r="57" spans="15:18">
      <c r="O57" s="9"/>
      <c r="P57" s="9"/>
      <c r="Q57" s="9"/>
      <c r="R57" s="9"/>
    </row>
    <row r="58" spans="15:18">
      <c r="O58" s="9"/>
      <c r="P58" s="9"/>
      <c r="Q58" s="9"/>
      <c r="R58" s="9"/>
    </row>
    <row r="59" spans="15:18">
      <c r="O59" s="9"/>
      <c r="P59" s="9"/>
      <c r="Q59" s="9"/>
      <c r="R59" s="9"/>
    </row>
  </sheetData>
  <customSheetViews>
    <customSheetView guid="{79BD26C1-CFC5-4DF6-B35F-C5F18E7B1C41}" scale="60" showPageBreaks="1" fitToPage="1" printArea="1" hiddenColumns="1" view="pageBreakPreview">
      <pane xSplit="1" ySplit="6" topLeftCell="C7" activePane="bottomRight" state="frozen"/>
      <selection pane="bottomRight" activeCell="A10" sqref="A10"/>
      <pageMargins left="0.196850393700787" right="0.196850393700787" top="0.196850393700787" bottom="0.196850393700787" header="0.511811023622047" footer="0.511811023622047"/>
      <pageSetup scale="55" orientation="landscape" r:id="rId1"/>
      <headerFooter alignWithMargins="0"/>
    </customSheetView>
  </customSheetViews>
  <mergeCells count="5">
    <mergeCell ref="E4:G4"/>
    <mergeCell ref="J4:M4"/>
    <mergeCell ref="O4:R4"/>
    <mergeCell ref="J5:K5"/>
    <mergeCell ref="L5:M5"/>
  </mergeCells>
  <pageMargins left="0.196850393700787" right="0.196850393700787" top="0.196850393700787" bottom="0.196850393700787" header="0.511811023622047" footer="0.511811023622047"/>
  <pageSetup scale="54" orientation="landscape" r:id="rId2"/>
  <headerFooter alignWithMargins="0"/>
</worksheet>
</file>

<file path=xl/worksheets/sheet2.xml><?xml version="1.0" encoding="utf-8"?>
<worksheet xmlns="http://schemas.openxmlformats.org/spreadsheetml/2006/main" xmlns:r="http://schemas.openxmlformats.org/officeDocument/2006/relationships">
  <sheetPr>
    <tabColor rgb="FFFF0000"/>
    <pageSetUpPr fitToPage="1"/>
  </sheetPr>
  <dimension ref="A1:H37"/>
  <sheetViews>
    <sheetView tabSelected="1" view="pageBreakPreview" topLeftCell="A4" zoomScale="80" zoomScaleNormal="100" zoomScaleSheetLayoutView="80" workbookViewId="0">
      <selection activeCell="G26" sqref="G26"/>
    </sheetView>
  </sheetViews>
  <sheetFormatPr defaultRowHeight="11.1" customHeight="1"/>
  <cols>
    <col min="1" max="1" width="32" customWidth="1"/>
    <col min="2" max="2" width="9.140625" customWidth="1"/>
    <col min="3" max="3" width="13.85546875" style="1" customWidth="1"/>
    <col min="4" max="4" width="13" style="1" bestFit="1" customWidth="1"/>
    <col min="5" max="5" width="12.28515625" style="1" customWidth="1"/>
    <col min="6" max="6" width="9.42578125" style="1" bestFit="1" customWidth="1"/>
    <col min="7" max="7" width="14.85546875" style="1" bestFit="1" customWidth="1"/>
    <col min="8" max="8" width="13" style="1" bestFit="1" customWidth="1"/>
  </cols>
  <sheetData>
    <row r="1" spans="1:8" ht="18.75" customHeight="1">
      <c r="A1" s="545" t="s">
        <v>108</v>
      </c>
      <c r="B1" s="546"/>
      <c r="C1" s="547"/>
      <c r="D1" s="547"/>
      <c r="E1" s="547"/>
      <c r="F1" s="547"/>
      <c r="G1" s="547"/>
      <c r="H1" s="548"/>
    </row>
    <row r="2" spans="1:8" s="273" customFormat="1" ht="15.75">
      <c r="A2" s="549"/>
      <c r="B2" s="272"/>
      <c r="C2" s="659" t="s">
        <v>2</v>
      </c>
      <c r="D2" s="659"/>
      <c r="E2" s="659" t="s">
        <v>5</v>
      </c>
      <c r="F2" s="659"/>
      <c r="G2" s="659" t="s">
        <v>6</v>
      </c>
      <c r="H2" s="660"/>
    </row>
    <row r="3" spans="1:8" s="273" customFormat="1" ht="31.5">
      <c r="A3" s="550" t="s">
        <v>0</v>
      </c>
      <c r="B3" s="274" t="s">
        <v>1</v>
      </c>
      <c r="C3" s="275" t="s">
        <v>3</v>
      </c>
      <c r="D3" s="275" t="s">
        <v>4</v>
      </c>
      <c r="E3" s="275" t="s">
        <v>3</v>
      </c>
      <c r="F3" s="275" t="s">
        <v>4</v>
      </c>
      <c r="G3" s="275" t="s">
        <v>3</v>
      </c>
      <c r="H3" s="551" t="s">
        <v>4</v>
      </c>
    </row>
    <row r="4" spans="1:8" s="273" customFormat="1" ht="15.75">
      <c r="A4" s="552" t="s">
        <v>67</v>
      </c>
      <c r="B4" s="277">
        <v>2005</v>
      </c>
      <c r="C4" s="278">
        <f>'SSM 2005'!Q7</f>
        <v>280367</v>
      </c>
      <c r="D4" s="279">
        <f>'SSM 2005'!S13</f>
        <v>14018.35</v>
      </c>
      <c r="E4" s="280"/>
      <c r="F4" s="279"/>
      <c r="G4" s="281">
        <f>SUM(C4,E4)</f>
        <v>280367</v>
      </c>
      <c r="H4" s="553">
        <f>SUM(D4,F4)</f>
        <v>14018.35</v>
      </c>
    </row>
    <row r="5" spans="1:8" s="273" customFormat="1" ht="15.75">
      <c r="A5" s="554"/>
      <c r="B5" s="283">
        <v>2006</v>
      </c>
      <c r="C5" s="284">
        <f>'SSM 2006'!O7</f>
        <v>3208799</v>
      </c>
      <c r="D5" s="285">
        <f>'SSM 2006'!Q7</f>
        <v>160439.95000000001</v>
      </c>
      <c r="E5" s="286"/>
      <c r="F5" s="286"/>
      <c r="G5" s="285">
        <f t="shared" ref="G5:H8" si="0">SUM(C5,E5)</f>
        <v>3208799</v>
      </c>
      <c r="H5" s="555">
        <f t="shared" si="0"/>
        <v>160439.95000000001</v>
      </c>
    </row>
    <row r="6" spans="1:8" s="273" customFormat="1" ht="15.75">
      <c r="A6" s="554"/>
      <c r="B6" s="283">
        <v>2007</v>
      </c>
      <c r="C6" s="645">
        <f>'SSM 2007'!Q7</f>
        <v>961019</v>
      </c>
      <c r="D6" s="531">
        <f>'SSM 2007'!S7</f>
        <v>48050.950000000004</v>
      </c>
      <c r="E6" s="286"/>
      <c r="F6" s="286"/>
      <c r="G6" s="531">
        <f t="shared" si="0"/>
        <v>961019</v>
      </c>
      <c r="H6" s="556">
        <f t="shared" si="0"/>
        <v>48050.950000000004</v>
      </c>
    </row>
    <row r="7" spans="1:8" s="273" customFormat="1" ht="15.75">
      <c r="A7" s="554"/>
      <c r="B7" s="283"/>
      <c r="C7" s="532">
        <f>'SSM 2007'!Q8</f>
        <v>544707</v>
      </c>
      <c r="D7" s="532">
        <v>27235</v>
      </c>
      <c r="E7" s="286"/>
      <c r="F7" s="286"/>
      <c r="G7" s="532">
        <f>C7</f>
        <v>544707</v>
      </c>
      <c r="H7" s="557">
        <v>27235</v>
      </c>
    </row>
    <row r="8" spans="1:8" s="273" customFormat="1" ht="15.75">
      <c r="A8" s="554" t="s">
        <v>7</v>
      </c>
      <c r="B8" s="283"/>
      <c r="C8" s="645">
        <f>SUM(C4:C6)</f>
        <v>4450185</v>
      </c>
      <c r="D8" s="531">
        <f>SUM(D4:D6)</f>
        <v>222509.25000000003</v>
      </c>
      <c r="E8" s="286"/>
      <c r="F8" s="285"/>
      <c r="G8" s="646">
        <f t="shared" si="0"/>
        <v>4450185</v>
      </c>
      <c r="H8" s="558">
        <f t="shared" si="0"/>
        <v>222509.25000000003</v>
      </c>
    </row>
    <row r="9" spans="1:8" s="273" customFormat="1" ht="15.75">
      <c r="A9" s="554"/>
      <c r="B9" s="289"/>
      <c r="C9" s="644">
        <f>SUM(C4:C5,C7)</f>
        <v>4033873</v>
      </c>
      <c r="D9" s="540">
        <f>SUM(D4,D5,D7)</f>
        <v>201693.30000000002</v>
      </c>
      <c r="E9" s="286"/>
      <c r="F9" s="286"/>
      <c r="G9" s="532">
        <f>C9</f>
        <v>4033873</v>
      </c>
      <c r="H9" s="559">
        <f>D9</f>
        <v>201693.30000000002</v>
      </c>
    </row>
    <row r="10" spans="1:8" s="273" customFormat="1" ht="15.75">
      <c r="A10" s="661" t="s">
        <v>20</v>
      </c>
      <c r="B10" s="283">
        <v>2005</v>
      </c>
      <c r="C10" s="290"/>
      <c r="D10" s="280"/>
      <c r="E10" s="280"/>
      <c r="F10" s="280"/>
      <c r="G10" s="279">
        <f t="shared" ref="G10:G26" si="1">SUM(C10,E10)</f>
        <v>0</v>
      </c>
      <c r="H10" s="553">
        <f t="shared" ref="H10:H26" si="2">SUM(D10,F10)</f>
        <v>0</v>
      </c>
    </row>
    <row r="11" spans="1:8" s="273" customFormat="1" ht="15.75">
      <c r="A11" s="662"/>
      <c r="B11" s="283">
        <v>2006</v>
      </c>
      <c r="C11" s="291"/>
      <c r="D11" s="286"/>
      <c r="E11" s="286">
        <v>9533</v>
      </c>
      <c r="F11" s="286">
        <v>477</v>
      </c>
      <c r="G11" s="285">
        <f t="shared" si="1"/>
        <v>9533</v>
      </c>
      <c r="H11" s="555">
        <f t="shared" si="2"/>
        <v>477</v>
      </c>
    </row>
    <row r="12" spans="1:8" s="273" customFormat="1" ht="15.75">
      <c r="A12" s="662"/>
      <c r="B12" s="283">
        <v>2007</v>
      </c>
      <c r="C12" s="291"/>
      <c r="D12" s="286"/>
      <c r="E12" s="287">
        <v>91777</v>
      </c>
      <c r="F12" s="287">
        <v>4589</v>
      </c>
      <c r="G12" s="288">
        <f t="shared" si="1"/>
        <v>91777</v>
      </c>
      <c r="H12" s="560">
        <f t="shared" si="2"/>
        <v>4589</v>
      </c>
    </row>
    <row r="13" spans="1:8" s="273" customFormat="1" ht="15.75">
      <c r="A13" s="554" t="s">
        <v>7</v>
      </c>
      <c r="B13" s="283"/>
      <c r="C13" s="292"/>
      <c r="D13" s="287"/>
      <c r="E13" s="288">
        <f>SUM(E10:E12)</f>
        <v>101310</v>
      </c>
      <c r="F13" s="287">
        <f>SUM(F10:F12)</f>
        <v>5066</v>
      </c>
      <c r="G13" s="285">
        <f t="shared" si="1"/>
        <v>101310</v>
      </c>
      <c r="H13" s="561">
        <f t="shared" si="2"/>
        <v>5066</v>
      </c>
    </row>
    <row r="14" spans="1:8" s="273" customFormat="1" ht="15.75">
      <c r="A14" s="552" t="s">
        <v>21</v>
      </c>
      <c r="B14" s="276">
        <v>2005</v>
      </c>
      <c r="C14" s="290"/>
      <c r="D14" s="280"/>
      <c r="E14" s="290"/>
      <c r="F14" s="280"/>
      <c r="G14" s="279">
        <f t="shared" si="1"/>
        <v>0</v>
      </c>
      <c r="H14" s="553">
        <f t="shared" si="2"/>
        <v>0</v>
      </c>
    </row>
    <row r="15" spans="1:8" s="273" customFormat="1" ht="15.75">
      <c r="A15" s="554"/>
      <c r="B15" s="282">
        <v>2006</v>
      </c>
      <c r="C15" s="291"/>
      <c r="D15" s="286"/>
      <c r="E15" s="286">
        <v>-112465</v>
      </c>
      <c r="F15" s="286">
        <v>-5623</v>
      </c>
      <c r="G15" s="285">
        <f t="shared" si="1"/>
        <v>-112465</v>
      </c>
      <c r="H15" s="555">
        <f t="shared" si="2"/>
        <v>-5623</v>
      </c>
    </row>
    <row r="16" spans="1:8" s="273" customFormat="1" ht="15.75">
      <c r="A16" s="554"/>
      <c r="B16" s="282">
        <v>2007</v>
      </c>
      <c r="C16" s="291"/>
      <c r="D16" s="286"/>
      <c r="E16" s="287">
        <v>-14864</v>
      </c>
      <c r="F16" s="287">
        <v>-743</v>
      </c>
      <c r="G16" s="288">
        <f t="shared" si="1"/>
        <v>-14864</v>
      </c>
      <c r="H16" s="560">
        <f t="shared" si="2"/>
        <v>-743</v>
      </c>
    </row>
    <row r="17" spans="1:8" s="273" customFormat="1" ht="15.75">
      <c r="A17" s="373" t="s">
        <v>7</v>
      </c>
      <c r="B17" s="293"/>
      <c r="C17" s="292"/>
      <c r="D17" s="287"/>
      <c r="E17" s="286">
        <f>SUM(E14:E16)</f>
        <v>-127329</v>
      </c>
      <c r="F17" s="287">
        <f>SUM(F14:F16)</f>
        <v>-6366</v>
      </c>
      <c r="G17" s="285">
        <f t="shared" si="1"/>
        <v>-127329</v>
      </c>
      <c r="H17" s="561">
        <f t="shared" si="2"/>
        <v>-6366</v>
      </c>
    </row>
    <row r="18" spans="1:8" s="273" customFormat="1" ht="15.75">
      <c r="A18" s="554" t="s">
        <v>22</v>
      </c>
      <c r="B18" s="283">
        <v>2005</v>
      </c>
      <c r="C18" s="280"/>
      <c r="D18" s="280"/>
      <c r="E18" s="280"/>
      <c r="F18" s="280"/>
      <c r="G18" s="279">
        <f t="shared" si="1"/>
        <v>0</v>
      </c>
      <c r="H18" s="553">
        <f t="shared" si="2"/>
        <v>0</v>
      </c>
    </row>
    <row r="19" spans="1:8" s="273" customFormat="1" ht="15.75">
      <c r="A19" s="554"/>
      <c r="B19" s="283">
        <v>2006</v>
      </c>
      <c r="C19" s="286"/>
      <c r="D19" s="286"/>
      <c r="E19" s="286"/>
      <c r="F19" s="286"/>
      <c r="G19" s="285">
        <f t="shared" si="1"/>
        <v>0</v>
      </c>
      <c r="H19" s="555">
        <f t="shared" si="2"/>
        <v>0</v>
      </c>
    </row>
    <row r="20" spans="1:8" s="273" customFormat="1" ht="15.75">
      <c r="A20" s="554"/>
      <c r="B20" s="283">
        <v>2007</v>
      </c>
      <c r="C20" s="291"/>
      <c r="D20" s="286"/>
      <c r="E20" s="287">
        <v>47611</v>
      </c>
      <c r="F20" s="287">
        <v>2381</v>
      </c>
      <c r="G20" s="288">
        <f t="shared" si="1"/>
        <v>47611</v>
      </c>
      <c r="H20" s="560">
        <f t="shared" si="2"/>
        <v>2381</v>
      </c>
    </row>
    <row r="21" spans="1:8" s="273" customFormat="1" ht="15.75">
      <c r="A21" s="554" t="s">
        <v>7</v>
      </c>
      <c r="B21" s="283"/>
      <c r="C21" s="287"/>
      <c r="D21" s="287"/>
      <c r="E21" s="287">
        <f>SUM(E18:E20)</f>
        <v>47611</v>
      </c>
      <c r="F21" s="287">
        <f>SUM(F18:F20)</f>
        <v>2381</v>
      </c>
      <c r="G21" s="285">
        <f t="shared" si="1"/>
        <v>47611</v>
      </c>
      <c r="H21" s="561">
        <f t="shared" si="2"/>
        <v>2381</v>
      </c>
    </row>
    <row r="22" spans="1:8" s="273" customFormat="1" ht="15.75">
      <c r="A22" s="562" t="s">
        <v>23</v>
      </c>
      <c r="B22" s="294">
        <v>2005</v>
      </c>
      <c r="C22" s="295">
        <f t="shared" ref="C22:D24" si="3">C4</f>
        <v>280367</v>
      </c>
      <c r="D22" s="286">
        <f t="shared" si="3"/>
        <v>14018.35</v>
      </c>
      <c r="E22" s="286">
        <f t="shared" ref="E22:F24" si="4">SUM(E10,E14,E18)</f>
        <v>0</v>
      </c>
      <c r="F22" s="286">
        <f t="shared" si="4"/>
        <v>0</v>
      </c>
      <c r="G22" s="279">
        <f t="shared" si="1"/>
        <v>280367</v>
      </c>
      <c r="H22" s="553">
        <f t="shared" si="2"/>
        <v>14018.35</v>
      </c>
    </row>
    <row r="23" spans="1:8" s="273" customFormat="1" ht="15.75">
      <c r="A23" s="563"/>
      <c r="B23" s="296">
        <v>2006</v>
      </c>
      <c r="C23" s="284">
        <f t="shared" si="3"/>
        <v>3208799</v>
      </c>
      <c r="D23" s="286">
        <f t="shared" si="3"/>
        <v>160439.95000000001</v>
      </c>
      <c r="E23" s="286">
        <f t="shared" si="4"/>
        <v>-102932</v>
      </c>
      <c r="F23" s="286">
        <f t="shared" si="4"/>
        <v>-5146</v>
      </c>
      <c r="G23" s="285">
        <f t="shared" si="1"/>
        <v>3105867</v>
      </c>
      <c r="H23" s="555">
        <f t="shared" si="2"/>
        <v>155293.95000000001</v>
      </c>
    </row>
    <row r="24" spans="1:8" s="273" customFormat="1" ht="15.75">
      <c r="A24" s="563"/>
      <c r="B24" s="296">
        <v>2007</v>
      </c>
      <c r="C24" s="539">
        <f t="shared" si="3"/>
        <v>961019</v>
      </c>
      <c r="D24" s="539">
        <f t="shared" si="3"/>
        <v>48050.950000000004</v>
      </c>
      <c r="E24" s="286">
        <f t="shared" si="4"/>
        <v>124524</v>
      </c>
      <c r="F24" s="286">
        <f t="shared" si="4"/>
        <v>6227</v>
      </c>
      <c r="G24" s="531">
        <f t="shared" si="1"/>
        <v>1085543</v>
      </c>
      <c r="H24" s="556">
        <f t="shared" si="2"/>
        <v>54277.950000000004</v>
      </c>
    </row>
    <row r="25" spans="1:8" s="273" customFormat="1" ht="15.75">
      <c r="A25" s="563"/>
      <c r="B25" s="296"/>
      <c r="C25" s="535">
        <f>C7</f>
        <v>544707</v>
      </c>
      <c r="D25" s="535">
        <f>D7</f>
        <v>27235</v>
      </c>
      <c r="E25" s="287"/>
      <c r="F25" s="287"/>
      <c r="G25" s="532">
        <f>C25+E24</f>
        <v>669231</v>
      </c>
      <c r="H25" s="564">
        <f>D25+F24</f>
        <v>33462</v>
      </c>
    </row>
    <row r="26" spans="1:8" s="273" customFormat="1" ht="15.75">
      <c r="A26" s="563" t="s">
        <v>18</v>
      </c>
      <c r="B26" s="296"/>
      <c r="C26" s="648">
        <f>SUM(C22:C24)</f>
        <v>4450185</v>
      </c>
      <c r="D26" s="538">
        <f>SUM(D22:D24)</f>
        <v>222509.25000000003</v>
      </c>
      <c r="E26" s="279">
        <f>SUM(E22:E24)</f>
        <v>21592</v>
      </c>
      <c r="F26" s="280">
        <f>SUM(F22:F24)</f>
        <v>1081</v>
      </c>
      <c r="G26" s="538">
        <f t="shared" si="1"/>
        <v>4471777</v>
      </c>
      <c r="H26" s="565">
        <f t="shared" si="2"/>
        <v>223590.25000000003</v>
      </c>
    </row>
    <row r="27" spans="1:8" s="273" customFormat="1" ht="15.75">
      <c r="A27" s="566"/>
      <c r="B27" s="541"/>
      <c r="C27" s="532">
        <f>C9</f>
        <v>4033873</v>
      </c>
      <c r="D27" s="532">
        <f>D9</f>
        <v>201693.30000000002</v>
      </c>
      <c r="E27" s="288"/>
      <c r="F27" s="287"/>
      <c r="G27" s="532">
        <f>C27+E26</f>
        <v>4055465</v>
      </c>
      <c r="H27" s="564">
        <f>SUM(H22,H23,H25)</f>
        <v>202774.30000000002</v>
      </c>
    </row>
    <row r="28" spans="1:8" s="273" customFormat="1" ht="15.75">
      <c r="A28" s="567" t="s">
        <v>23</v>
      </c>
      <c r="B28" s="301">
        <v>2005</v>
      </c>
      <c r="C28" s="302">
        <f>C22</f>
        <v>280367</v>
      </c>
      <c r="D28" s="299">
        <f>D22</f>
        <v>14018.35</v>
      </c>
      <c r="E28" s="299">
        <f>E22</f>
        <v>0</v>
      </c>
      <c r="F28" s="299">
        <f>F22</f>
        <v>0</v>
      </c>
      <c r="G28" s="299">
        <f t="shared" ref="G28:H30" si="5">G4</f>
        <v>280367</v>
      </c>
      <c r="H28" s="568">
        <f t="shared" si="5"/>
        <v>14018.35</v>
      </c>
    </row>
    <row r="29" spans="1:8" s="273" customFormat="1" ht="15.75">
      <c r="A29" s="567" t="s">
        <v>120</v>
      </c>
      <c r="B29" s="301">
        <v>2006</v>
      </c>
      <c r="C29" s="302">
        <f t="shared" ref="C29:D31" si="6">C23</f>
        <v>3208799</v>
      </c>
      <c r="D29" s="299">
        <f t="shared" si="6"/>
        <v>160439.95000000001</v>
      </c>
      <c r="E29" s="299">
        <v>0</v>
      </c>
      <c r="F29" s="299">
        <v>0</v>
      </c>
      <c r="G29" s="299">
        <f t="shared" si="5"/>
        <v>3208799</v>
      </c>
      <c r="H29" s="568">
        <f t="shared" si="5"/>
        <v>160439.95000000001</v>
      </c>
    </row>
    <row r="30" spans="1:8" s="273" customFormat="1" ht="15.75">
      <c r="A30" s="563"/>
      <c r="B30" s="301">
        <v>2007</v>
      </c>
      <c r="C30" s="649">
        <f t="shared" si="6"/>
        <v>961019</v>
      </c>
      <c r="D30" s="537">
        <f t="shared" si="6"/>
        <v>48050.950000000004</v>
      </c>
      <c r="E30" s="299">
        <v>0</v>
      </c>
      <c r="F30" s="299">
        <v>0</v>
      </c>
      <c r="G30" s="537">
        <f t="shared" si="5"/>
        <v>961019</v>
      </c>
      <c r="H30" s="569">
        <f t="shared" si="5"/>
        <v>48050.950000000004</v>
      </c>
    </row>
    <row r="31" spans="1:8" s="273" customFormat="1" ht="15.75">
      <c r="A31" s="563"/>
      <c r="B31" s="301"/>
      <c r="C31" s="647">
        <f t="shared" si="6"/>
        <v>544707</v>
      </c>
      <c r="D31" s="536">
        <f t="shared" si="6"/>
        <v>27235</v>
      </c>
      <c r="E31" s="533"/>
      <c r="F31" s="299"/>
      <c r="G31" s="536">
        <f>C31</f>
        <v>544707</v>
      </c>
      <c r="H31" s="570">
        <f>D31</f>
        <v>27235</v>
      </c>
    </row>
    <row r="32" spans="1:8" s="273" customFormat="1" ht="15.75">
      <c r="A32" s="571" t="s">
        <v>18</v>
      </c>
      <c r="B32" s="542"/>
      <c r="C32" s="650">
        <f t="shared" ref="C32:D32" si="7">C26</f>
        <v>4450185</v>
      </c>
      <c r="D32" s="543">
        <f t="shared" si="7"/>
        <v>222509.25000000003</v>
      </c>
      <c r="E32" s="544">
        <v>0</v>
      </c>
      <c r="F32" s="298">
        <v>0</v>
      </c>
      <c r="G32" s="543">
        <f t="shared" ref="G32:H32" si="8">G8</f>
        <v>4450185</v>
      </c>
      <c r="H32" s="572">
        <f t="shared" si="8"/>
        <v>222509.25000000003</v>
      </c>
    </row>
    <row r="33" spans="1:8" s="273" customFormat="1" ht="16.5" thickBot="1">
      <c r="A33" s="573"/>
      <c r="B33" s="574"/>
      <c r="C33" s="577">
        <f>C27</f>
        <v>4033873</v>
      </c>
      <c r="D33" s="577">
        <f>D27</f>
        <v>201693.30000000002</v>
      </c>
      <c r="E33" s="575"/>
      <c r="F33" s="575"/>
      <c r="G33" s="577">
        <f>C33</f>
        <v>4033873</v>
      </c>
      <c r="H33" s="576">
        <f>D33</f>
        <v>201693.30000000002</v>
      </c>
    </row>
    <row r="34" spans="1:8" s="273" customFormat="1" ht="15.75">
      <c r="C34" s="304"/>
      <c r="D34" s="304"/>
      <c r="E34" s="304"/>
      <c r="F34" s="304"/>
      <c r="G34" s="304"/>
      <c r="H34" s="304"/>
    </row>
    <row r="35" spans="1:8" s="273" customFormat="1" ht="15.75">
      <c r="A35" s="305" t="s">
        <v>147</v>
      </c>
      <c r="C35" s="304"/>
      <c r="D35" s="304"/>
      <c r="E35" s="304"/>
      <c r="F35" s="304"/>
      <c r="G35" s="304"/>
      <c r="H35" s="304"/>
    </row>
    <row r="36" spans="1:8" s="273" customFormat="1" ht="30.75" customHeight="1">
      <c r="A36" s="663" t="s">
        <v>156</v>
      </c>
      <c r="B36" s="663"/>
      <c r="C36" s="663"/>
      <c r="D36" s="663"/>
      <c r="E36" s="663"/>
      <c r="F36" s="663"/>
      <c r="G36" s="663"/>
      <c r="H36" s="663"/>
    </row>
    <row r="37" spans="1:8" s="273" customFormat="1" ht="15.75">
      <c r="A37" s="306" t="s">
        <v>166</v>
      </c>
      <c r="B37" s="306"/>
      <c r="C37" s="307"/>
      <c r="D37" s="307"/>
      <c r="E37" s="307"/>
      <c r="F37" s="307"/>
      <c r="G37" s="307"/>
    </row>
  </sheetData>
  <customSheetViews>
    <customSheetView guid="{79BD26C1-CFC5-4DF6-B35F-C5F18E7B1C41}" scale="90" showPageBreaks="1" fitToPage="1" view="pageBreakPreview">
      <selection activeCell="A14" sqref="A14"/>
      <pageMargins left="0.7" right="0.7" top="0.75" bottom="0.75" header="0.3" footer="0.3"/>
      <pageSetup scale="76" orientation="portrait" r:id="rId1"/>
    </customSheetView>
  </customSheetViews>
  <mergeCells count="5">
    <mergeCell ref="C2:D2"/>
    <mergeCell ref="E2:F2"/>
    <mergeCell ref="G2:H2"/>
    <mergeCell ref="A10:A12"/>
    <mergeCell ref="A36:H36"/>
  </mergeCells>
  <pageMargins left="0.7" right="0.7" top="0.75" bottom="0.75" header="0.3" footer="0.3"/>
  <pageSetup scale="76" orientation="portrait" r:id="rId2"/>
</worksheet>
</file>

<file path=xl/worksheets/sheet3.xml><?xml version="1.0" encoding="utf-8"?>
<worksheet xmlns="http://schemas.openxmlformats.org/spreadsheetml/2006/main" xmlns:r="http://schemas.openxmlformats.org/officeDocument/2006/relationships">
  <sheetPr>
    <tabColor rgb="FFFF0000"/>
  </sheetPr>
  <dimension ref="A1:H41"/>
  <sheetViews>
    <sheetView view="pageBreakPreview" zoomScale="80" zoomScaleNormal="100" zoomScaleSheetLayoutView="80" workbookViewId="0">
      <selection activeCell="C4" sqref="C4"/>
    </sheetView>
  </sheetViews>
  <sheetFormatPr defaultRowHeight="11.1" customHeight="1"/>
  <cols>
    <col min="1" max="1" width="29.85546875" customWidth="1"/>
    <col min="2" max="2" width="7.5703125" customWidth="1"/>
    <col min="3" max="3" width="19.28515625" style="1" customWidth="1"/>
    <col min="4" max="4" width="12" style="1" bestFit="1" customWidth="1"/>
    <col min="5" max="5" width="10.42578125" style="1" bestFit="1" customWidth="1"/>
    <col min="6" max="6" width="9.7109375" style="1" bestFit="1" customWidth="1"/>
    <col min="7" max="7" width="29.42578125" style="1" customWidth="1"/>
  </cols>
  <sheetData>
    <row r="1" spans="1:8" ht="18.75" customHeight="1">
      <c r="A1" s="309" t="s">
        <v>109</v>
      </c>
      <c r="H1" s="1"/>
    </row>
    <row r="2" spans="1:8" s="273" customFormat="1" ht="15.75">
      <c r="A2" s="272"/>
      <c r="B2" s="272"/>
      <c r="C2" s="659" t="s">
        <v>2</v>
      </c>
      <c r="D2" s="659"/>
      <c r="E2" s="666" t="s">
        <v>5</v>
      </c>
      <c r="F2" s="667"/>
      <c r="G2" s="320" t="s">
        <v>6</v>
      </c>
      <c r="H2" s="321"/>
    </row>
    <row r="3" spans="1:8" s="273" customFormat="1" ht="31.5">
      <c r="A3" s="274" t="s">
        <v>0</v>
      </c>
      <c r="B3" s="274" t="s">
        <v>1</v>
      </c>
      <c r="C3" s="275" t="s">
        <v>25</v>
      </c>
      <c r="D3" s="275" t="s">
        <v>26</v>
      </c>
      <c r="E3" s="275" t="s">
        <v>27</v>
      </c>
      <c r="F3" s="275" t="s">
        <v>26</v>
      </c>
      <c r="G3" s="275" t="s">
        <v>26</v>
      </c>
    </row>
    <row r="4" spans="1:8" s="273" customFormat="1" ht="15.75">
      <c r="A4" s="276" t="s">
        <v>67</v>
      </c>
      <c r="B4" s="277">
        <v>2005</v>
      </c>
      <c r="C4" s="322">
        <f>'LRAM 2005'!H5*2+'LRAM 2005'!J5</f>
        <v>1817235.2249999999</v>
      </c>
      <c r="D4" s="279">
        <f>'LRAM 2005'!K5</f>
        <v>27876.608036550002</v>
      </c>
      <c r="E4" s="323"/>
      <c r="F4" s="279"/>
      <c r="G4" s="281">
        <f>SUM(D4,F4)</f>
        <v>27876.608036550002</v>
      </c>
    </row>
    <row r="5" spans="1:8" s="273" customFormat="1" ht="15.75">
      <c r="A5" s="282"/>
      <c r="B5" s="283">
        <v>2006</v>
      </c>
      <c r="C5" s="635">
        <f>'LRAM 2006'!G5+'LRAM 2006'!I5</f>
        <v>13349532.631666666</v>
      </c>
      <c r="D5" s="285">
        <f>'LRAM 2006'!J5</f>
        <v>208800.01593803338</v>
      </c>
      <c r="E5" s="324"/>
      <c r="F5" s="286"/>
      <c r="G5" s="613">
        <f>SUM(D5,F5)</f>
        <v>208800.01593803338</v>
      </c>
    </row>
    <row r="6" spans="1:8" s="273" customFormat="1" ht="15.75">
      <c r="A6" s="282"/>
      <c r="B6" s="283"/>
      <c r="C6" s="611">
        <f>'LRAM 2006'!K6</f>
        <v>14193385.631666666</v>
      </c>
      <c r="D6" s="285"/>
      <c r="E6" s="324"/>
      <c r="F6" s="286"/>
      <c r="G6" s="613"/>
    </row>
    <row r="7" spans="1:8" s="273" customFormat="1" ht="15.75">
      <c r="A7" s="282"/>
      <c r="B7" s="283">
        <v>2007</v>
      </c>
      <c r="C7" s="325">
        <f>'LRAM 2007'!H5</f>
        <v>614032.73666666658</v>
      </c>
      <c r="D7" s="288">
        <f>'LRAM 2007'!I5</f>
        <v>13657.976688749999</v>
      </c>
      <c r="E7" s="324"/>
      <c r="F7" s="286"/>
      <c r="G7" s="614">
        <f>SUM(D7,F7)</f>
        <v>13657.976688749999</v>
      </c>
    </row>
    <row r="8" spans="1:8" s="273" customFormat="1" ht="15.75">
      <c r="A8" s="282" t="s">
        <v>7</v>
      </c>
      <c r="B8" s="283"/>
      <c r="C8" s="635">
        <f>SUM(C4,C5,C7)</f>
        <v>15780800.593333332</v>
      </c>
      <c r="D8" s="285">
        <f>SUM(D4:D7)</f>
        <v>250334.60066333337</v>
      </c>
      <c r="E8" s="324"/>
      <c r="F8" s="285"/>
      <c r="G8" s="615">
        <f>SUM(D8,F8)</f>
        <v>250334.60066333337</v>
      </c>
    </row>
    <row r="9" spans="1:8" s="273" customFormat="1" ht="15.75">
      <c r="A9" s="282"/>
      <c r="B9" s="289"/>
      <c r="C9" s="617">
        <f>SUM(C4,C6,C7)</f>
        <v>16624653.593333332</v>
      </c>
      <c r="D9" s="287"/>
      <c r="E9" s="325"/>
      <c r="F9" s="287"/>
      <c r="G9" s="614"/>
    </row>
    <row r="10" spans="1:8" s="273" customFormat="1" ht="15.75">
      <c r="A10" s="668" t="s">
        <v>20</v>
      </c>
      <c r="B10" s="283">
        <v>2005</v>
      </c>
      <c r="C10" s="324"/>
      <c r="D10" s="286"/>
      <c r="E10" s="324"/>
      <c r="F10" s="286"/>
      <c r="G10" s="285">
        <f t="shared" ref="G10:G26" si="0">SUM(D10,F10)</f>
        <v>0</v>
      </c>
    </row>
    <row r="11" spans="1:8" s="273" customFormat="1" ht="15.75">
      <c r="A11" s="669"/>
      <c r="B11" s="283">
        <v>2006</v>
      </c>
      <c r="C11" s="324"/>
      <c r="D11" s="286"/>
      <c r="E11" s="326">
        <f>'GrossNet kWh_kW Savings'!E11</f>
        <v>516.96</v>
      </c>
      <c r="F11" s="286">
        <v>680</v>
      </c>
      <c r="G11" s="285">
        <f t="shared" si="0"/>
        <v>680</v>
      </c>
    </row>
    <row r="12" spans="1:8" s="273" customFormat="1" ht="15.75">
      <c r="A12" s="669"/>
      <c r="B12" s="283">
        <v>2007</v>
      </c>
      <c r="C12" s="324"/>
      <c r="D12" s="286"/>
      <c r="E12" s="327">
        <f>'GrossNet kWh_kW Savings'!G11</f>
        <v>276.06</v>
      </c>
      <c r="F12" s="287">
        <v>717</v>
      </c>
      <c r="G12" s="288">
        <f t="shared" si="0"/>
        <v>717</v>
      </c>
    </row>
    <row r="13" spans="1:8" s="273" customFormat="1" ht="15.75">
      <c r="A13" s="282" t="s">
        <v>7</v>
      </c>
      <c r="B13" s="283"/>
      <c r="C13" s="325"/>
      <c r="D13" s="287"/>
      <c r="E13" s="328">
        <f>SUM(E10:E12)</f>
        <v>793.02</v>
      </c>
      <c r="F13" s="287">
        <f>SUM(F10:F12)</f>
        <v>1397</v>
      </c>
      <c r="G13" s="285">
        <f t="shared" si="0"/>
        <v>1397</v>
      </c>
    </row>
    <row r="14" spans="1:8" s="273" customFormat="1" ht="15.75">
      <c r="A14" s="276" t="s">
        <v>21</v>
      </c>
      <c r="B14" s="276">
        <v>2005</v>
      </c>
      <c r="C14" s="323"/>
      <c r="D14" s="280"/>
      <c r="E14" s="323"/>
      <c r="F14" s="280"/>
      <c r="G14" s="279">
        <f t="shared" si="0"/>
        <v>0</v>
      </c>
    </row>
    <row r="15" spans="1:8" s="273" customFormat="1" ht="15.75">
      <c r="A15" s="282"/>
      <c r="B15" s="282">
        <v>2006</v>
      </c>
      <c r="C15" s="324"/>
      <c r="D15" s="286"/>
      <c r="E15" s="326">
        <f>'GrossNet kWh_kW Savings'!E14</f>
        <v>1008</v>
      </c>
      <c r="F15" s="286">
        <v>1326</v>
      </c>
      <c r="G15" s="285">
        <f t="shared" si="0"/>
        <v>1326</v>
      </c>
    </row>
    <row r="16" spans="1:8" s="273" customFormat="1" ht="15.75">
      <c r="A16" s="282"/>
      <c r="B16" s="282">
        <v>2007</v>
      </c>
      <c r="C16" s="324"/>
      <c r="D16" s="286"/>
      <c r="E16" s="327">
        <f>'GrossNet kWh_kW Savings'!G14</f>
        <v>2.94</v>
      </c>
      <c r="F16" s="329">
        <v>8</v>
      </c>
      <c r="G16" s="288">
        <f t="shared" si="0"/>
        <v>8</v>
      </c>
    </row>
    <row r="17" spans="1:7" s="273" customFormat="1" ht="15.75">
      <c r="A17" s="293" t="s">
        <v>7</v>
      </c>
      <c r="B17" s="293"/>
      <c r="C17" s="325"/>
      <c r="D17" s="287"/>
      <c r="E17" s="326">
        <f>SUM(E14:E16)</f>
        <v>1010.94</v>
      </c>
      <c r="F17" s="287">
        <f>SUM(F14:F16)</f>
        <v>1334</v>
      </c>
      <c r="G17" s="285">
        <f t="shared" si="0"/>
        <v>1334</v>
      </c>
    </row>
    <row r="18" spans="1:7" s="273" customFormat="1" ht="15.75">
      <c r="A18" s="282" t="s">
        <v>22</v>
      </c>
      <c r="B18" s="283">
        <v>2005</v>
      </c>
      <c r="C18" s="323"/>
      <c r="D18" s="280"/>
      <c r="E18" s="323"/>
      <c r="F18" s="280"/>
      <c r="G18" s="279">
        <f t="shared" si="0"/>
        <v>0</v>
      </c>
    </row>
    <row r="19" spans="1:7" s="273" customFormat="1" ht="15.75">
      <c r="A19" s="282"/>
      <c r="B19" s="283">
        <v>2006</v>
      </c>
      <c r="C19" s="324"/>
      <c r="D19" s="286"/>
      <c r="E19" s="326"/>
      <c r="F19" s="286"/>
      <c r="G19" s="285">
        <f t="shared" si="0"/>
        <v>0</v>
      </c>
    </row>
    <row r="20" spans="1:7" s="273" customFormat="1" ht="15.75">
      <c r="A20" s="282"/>
      <c r="B20" s="283">
        <v>2007</v>
      </c>
      <c r="C20" s="324"/>
      <c r="D20" s="286"/>
      <c r="E20" s="327">
        <f>'GrossNet kWh_kW Savings'!G15</f>
        <v>2002.6800000000003</v>
      </c>
      <c r="F20" s="287">
        <v>0</v>
      </c>
      <c r="G20" s="288">
        <f t="shared" si="0"/>
        <v>0</v>
      </c>
    </row>
    <row r="21" spans="1:7" s="273" customFormat="1" ht="15.75">
      <c r="A21" s="282" t="s">
        <v>7</v>
      </c>
      <c r="B21" s="283"/>
      <c r="C21" s="325"/>
      <c r="D21" s="287"/>
      <c r="E21" s="327">
        <f>SUM(E18:E20)</f>
        <v>2002.6800000000003</v>
      </c>
      <c r="F21" s="287">
        <f>SUM(F18:F20)</f>
        <v>0</v>
      </c>
      <c r="G21" s="285">
        <f t="shared" si="0"/>
        <v>0</v>
      </c>
    </row>
    <row r="22" spans="1:7" s="273" customFormat="1" ht="15.75">
      <c r="A22" s="630" t="s">
        <v>19</v>
      </c>
      <c r="B22" s="277">
        <v>2005</v>
      </c>
      <c r="C22" s="330">
        <f>C4</f>
        <v>1817235.2249999999</v>
      </c>
      <c r="D22" s="337">
        <f>D4</f>
        <v>27876.608036550002</v>
      </c>
      <c r="E22" s="628">
        <f t="shared" ref="E22:F23" si="1">SUM(E10,E14,E18)</f>
        <v>0</v>
      </c>
      <c r="F22" s="280">
        <f t="shared" si="1"/>
        <v>0</v>
      </c>
      <c r="G22" s="279">
        <f t="shared" si="0"/>
        <v>27876.608036550002</v>
      </c>
    </row>
    <row r="23" spans="1:7" s="273" customFormat="1" ht="15.75">
      <c r="A23" s="542"/>
      <c r="B23" s="283">
        <v>2006</v>
      </c>
      <c r="C23" s="631">
        <f>C5</f>
        <v>13349532.631666666</v>
      </c>
      <c r="D23" s="331">
        <f>D5</f>
        <v>208800.01593803338</v>
      </c>
      <c r="E23" s="326">
        <f t="shared" si="1"/>
        <v>1524.96</v>
      </c>
      <c r="F23" s="286">
        <f t="shared" si="1"/>
        <v>2006</v>
      </c>
      <c r="G23" s="285">
        <f t="shared" si="0"/>
        <v>210806.01593803338</v>
      </c>
    </row>
    <row r="24" spans="1:7" s="273" customFormat="1" ht="15.75">
      <c r="A24" s="542"/>
      <c r="B24" s="283"/>
      <c r="C24" s="612">
        <f>C6</f>
        <v>14193385.631666666</v>
      </c>
      <c r="D24" s="331"/>
      <c r="E24" s="326"/>
      <c r="F24" s="286"/>
      <c r="G24" s="285"/>
    </row>
    <row r="25" spans="1:7" s="273" customFormat="1" ht="15.75">
      <c r="A25" s="542"/>
      <c r="B25" s="283">
        <v>2007</v>
      </c>
      <c r="C25" s="333">
        <f t="shared" ref="C25:D25" si="2">C7</f>
        <v>614032.73666666658</v>
      </c>
      <c r="D25" s="334">
        <f t="shared" si="2"/>
        <v>13657.976688749999</v>
      </c>
      <c r="E25" s="327">
        <f>SUM(E12,E16,E20)</f>
        <v>2281.6800000000003</v>
      </c>
      <c r="F25" s="287">
        <f>SUM(F12,F16,F20)</f>
        <v>725</v>
      </c>
      <c r="G25" s="288">
        <f t="shared" si="0"/>
        <v>14382.976688749999</v>
      </c>
    </row>
    <row r="26" spans="1:7" s="273" customFormat="1" ht="15.75">
      <c r="A26" s="542" t="s">
        <v>18</v>
      </c>
      <c r="B26" s="283"/>
      <c r="C26" s="632">
        <f>C8</f>
        <v>15780800.593333332</v>
      </c>
      <c r="D26" s="279">
        <f>SUM(D22:D25)</f>
        <v>250334.60066333337</v>
      </c>
      <c r="E26" s="624">
        <f>SUM(E22:E25)</f>
        <v>3806.6400000000003</v>
      </c>
      <c r="F26" s="279">
        <f>SUM(F22:F25)</f>
        <v>2731</v>
      </c>
      <c r="G26" s="279">
        <f t="shared" si="0"/>
        <v>253065.60066333337</v>
      </c>
    </row>
    <row r="27" spans="1:7" s="273" customFormat="1" ht="15.75">
      <c r="A27" s="303"/>
      <c r="B27" s="289"/>
      <c r="C27" s="629">
        <f>C9</f>
        <v>16624653.593333332</v>
      </c>
      <c r="D27" s="288"/>
      <c r="E27" s="328"/>
      <c r="F27" s="288"/>
      <c r="G27" s="288"/>
    </row>
    <row r="28" spans="1:7" s="273" customFormat="1" ht="15.75">
      <c r="A28" s="542"/>
      <c r="B28" s="534"/>
      <c r="C28" s="611"/>
      <c r="D28" s="284"/>
      <c r="E28" s="625"/>
      <c r="F28" s="284"/>
      <c r="G28" s="284"/>
    </row>
    <row r="29" spans="1:7" s="273" customFormat="1" ht="15.75">
      <c r="A29" s="297" t="s">
        <v>19</v>
      </c>
      <c r="B29" s="277">
        <v>2005</v>
      </c>
      <c r="C29" s="335">
        <f t="shared" ref="C29:C34" si="3">C22</f>
        <v>1817235.2249999999</v>
      </c>
      <c r="D29" s="620">
        <f>D22+'Carrying Charges'!M20</f>
        <v>30681.59548826233</v>
      </c>
      <c r="E29" s="330"/>
      <c r="F29" s="337"/>
      <c r="G29" s="336">
        <f>D29</f>
        <v>30681.59548826233</v>
      </c>
    </row>
    <row r="30" spans="1:7" s="273" customFormat="1" ht="15.75">
      <c r="A30" s="618" t="s">
        <v>24</v>
      </c>
      <c r="B30" s="283">
        <v>2006</v>
      </c>
      <c r="C30" s="633">
        <f t="shared" si="3"/>
        <v>13349532.631666666</v>
      </c>
      <c r="D30" s="621">
        <f>D23+'Carrying Charges'!M21</f>
        <v>226228.37117242266</v>
      </c>
      <c r="E30" s="332"/>
      <c r="F30" s="331"/>
      <c r="G30" s="338">
        <f>D30</f>
        <v>226228.37117242266</v>
      </c>
    </row>
    <row r="31" spans="1:7" s="273" customFormat="1" ht="15.75">
      <c r="A31" s="618"/>
      <c r="B31" s="283"/>
      <c r="C31" s="616">
        <f t="shared" si="3"/>
        <v>14193385.631666666</v>
      </c>
      <c r="D31" s="621"/>
      <c r="E31" s="332"/>
      <c r="F31" s="331"/>
      <c r="G31" s="338"/>
    </row>
    <row r="32" spans="1:7" s="273" customFormat="1" ht="15.75">
      <c r="A32" s="283"/>
      <c r="B32" s="283">
        <v>2007</v>
      </c>
      <c r="C32" s="623">
        <f t="shared" si="3"/>
        <v>614032.73666666658</v>
      </c>
      <c r="D32" s="626">
        <f>D25+'Carrying Charges'!M22</f>
        <v>14674.831159640409</v>
      </c>
      <c r="E32" s="627"/>
      <c r="F32" s="334"/>
      <c r="G32" s="339">
        <f>D32</f>
        <v>14674.831159640409</v>
      </c>
    </row>
    <row r="33" spans="1:8" s="273" customFormat="1" ht="15.75">
      <c r="A33" s="300" t="s">
        <v>18</v>
      </c>
      <c r="B33" s="283"/>
      <c r="C33" s="634">
        <f t="shared" si="3"/>
        <v>15780800.593333332</v>
      </c>
      <c r="D33" s="336">
        <f>D29+D30+D32</f>
        <v>271584.79782032542</v>
      </c>
      <c r="E33" s="335"/>
      <c r="F33" s="336"/>
      <c r="G33" s="336">
        <f>D33</f>
        <v>271584.79782032542</v>
      </c>
    </row>
    <row r="34" spans="1:8" s="273" customFormat="1" ht="15.75">
      <c r="A34" s="619"/>
      <c r="B34" s="289"/>
      <c r="C34" s="622">
        <f t="shared" si="3"/>
        <v>16624653.593333332</v>
      </c>
      <c r="D34" s="339"/>
      <c r="E34" s="623"/>
      <c r="F34" s="339"/>
      <c r="G34" s="339"/>
    </row>
    <row r="35" spans="1:8" s="273" customFormat="1" ht="15.75">
      <c r="A35" s="306"/>
      <c r="B35" s="306"/>
      <c r="C35" s="307"/>
      <c r="D35" s="307"/>
      <c r="E35" s="307"/>
      <c r="F35" s="307"/>
      <c r="G35" s="307"/>
    </row>
    <row r="36" spans="1:8" s="273" customFormat="1" ht="15.75">
      <c r="A36" s="319" t="s">
        <v>147</v>
      </c>
      <c r="B36" s="306"/>
      <c r="C36" s="307"/>
      <c r="D36" s="307"/>
      <c r="E36" s="307"/>
      <c r="F36" s="307"/>
      <c r="G36" s="307"/>
    </row>
    <row r="37" spans="1:8" s="273" customFormat="1" ht="33.75" customHeight="1">
      <c r="A37" s="664" t="s">
        <v>177</v>
      </c>
      <c r="B37" s="665"/>
      <c r="C37" s="665"/>
      <c r="D37" s="665"/>
      <c r="E37" s="665"/>
      <c r="F37" s="665"/>
      <c r="G37" s="665"/>
      <c r="H37" s="340"/>
    </row>
    <row r="38" spans="1:8" s="273" customFormat="1" ht="15.75">
      <c r="A38" s="664" t="s">
        <v>157</v>
      </c>
      <c r="B38" s="665"/>
      <c r="C38" s="665"/>
      <c r="D38" s="665"/>
      <c r="E38" s="665"/>
      <c r="F38" s="665"/>
      <c r="G38" s="665"/>
      <c r="H38" s="340"/>
    </row>
    <row r="39" spans="1:8" s="273" customFormat="1" ht="15.75">
      <c r="A39" s="664" t="s">
        <v>158</v>
      </c>
      <c r="B39" s="665"/>
      <c r="C39" s="665"/>
      <c r="D39" s="665"/>
      <c r="E39" s="665"/>
      <c r="F39" s="665"/>
      <c r="G39" s="665"/>
      <c r="H39" s="340"/>
    </row>
    <row r="40" spans="1:8" s="273" customFormat="1" ht="15.75">
      <c r="A40" s="664" t="s">
        <v>159</v>
      </c>
      <c r="B40" s="665"/>
      <c r="C40" s="665"/>
      <c r="D40" s="665"/>
      <c r="E40" s="665"/>
      <c r="F40" s="665"/>
      <c r="G40" s="665"/>
      <c r="H40" s="340"/>
    </row>
    <row r="41" spans="1:8" s="273" customFormat="1" ht="15.75">
      <c r="A41" s="664" t="s">
        <v>190</v>
      </c>
      <c r="B41" s="665"/>
      <c r="C41" s="665"/>
      <c r="D41" s="665"/>
      <c r="E41" s="665"/>
      <c r="F41" s="665"/>
      <c r="G41" s="665"/>
      <c r="H41" s="340"/>
    </row>
  </sheetData>
  <customSheetViews>
    <customSheetView guid="{79BD26C1-CFC5-4DF6-B35F-C5F18E7B1C41}" scale="80" showPageBreaks="1" printArea="1" view="pageBreakPreview">
      <selection activeCell="A8" sqref="A8:A10"/>
      <pageMargins left="0.7" right="0.7" top="0.75" bottom="0.75" header="0.3" footer="0.3"/>
      <pageSetup scale="76" orientation="portrait" r:id="rId1"/>
    </customSheetView>
  </customSheetViews>
  <mergeCells count="8">
    <mergeCell ref="A39:G39"/>
    <mergeCell ref="A40:G40"/>
    <mergeCell ref="A41:G41"/>
    <mergeCell ref="C2:D2"/>
    <mergeCell ref="E2:F2"/>
    <mergeCell ref="A10:A12"/>
    <mergeCell ref="A37:G37"/>
    <mergeCell ref="A38:G38"/>
  </mergeCells>
  <pageMargins left="0.7" right="0.7" top="0.75" bottom="0.75" header="0.3" footer="0.3"/>
  <pageSetup scale="76" orientation="portrait" r:id="rId2"/>
</worksheet>
</file>

<file path=xl/worksheets/sheet4.xml><?xml version="1.0" encoding="utf-8"?>
<worksheet xmlns="http://schemas.openxmlformats.org/spreadsheetml/2006/main" xmlns:r="http://schemas.openxmlformats.org/officeDocument/2006/relationships">
  <dimension ref="A1:H27"/>
  <sheetViews>
    <sheetView view="pageBreakPreview" zoomScaleNormal="100" zoomScaleSheetLayoutView="100" workbookViewId="0">
      <selection activeCell="I9" sqref="I9"/>
    </sheetView>
  </sheetViews>
  <sheetFormatPr defaultRowHeight="15"/>
  <cols>
    <col min="1" max="1" width="24.42578125" customWidth="1"/>
    <col min="2" max="2" width="10.140625" customWidth="1"/>
    <col min="3" max="3" width="9" customWidth="1"/>
    <col min="4" max="6" width="7.7109375" style="4" customWidth="1"/>
    <col min="7" max="7" width="8.5703125" style="4" customWidth="1"/>
    <col min="8" max="8" width="15.7109375" bestFit="1" customWidth="1"/>
  </cols>
  <sheetData>
    <row r="1" spans="1:8" ht="18.75" customHeight="1">
      <c r="A1" s="46" t="s">
        <v>110</v>
      </c>
      <c r="C1" s="1"/>
      <c r="D1" s="1"/>
      <c r="E1" s="1"/>
      <c r="F1" s="1"/>
      <c r="G1" s="1"/>
      <c r="H1" s="1"/>
    </row>
    <row r="2" spans="1:8">
      <c r="A2" s="672" t="s">
        <v>28</v>
      </c>
      <c r="B2" s="2"/>
      <c r="C2" s="674" t="s">
        <v>29</v>
      </c>
      <c r="D2" s="671" t="s">
        <v>30</v>
      </c>
      <c r="E2" s="671"/>
      <c r="F2" s="671"/>
      <c r="G2" s="671"/>
      <c r="H2" s="675" t="s">
        <v>31</v>
      </c>
    </row>
    <row r="3" spans="1:8">
      <c r="A3" s="673"/>
      <c r="B3" s="3" t="s">
        <v>33</v>
      </c>
      <c r="C3" s="674"/>
      <c r="D3" s="5">
        <v>2005</v>
      </c>
      <c r="E3" s="5">
        <v>2006</v>
      </c>
      <c r="F3" s="5">
        <v>2007</v>
      </c>
      <c r="G3" s="6" t="s">
        <v>32</v>
      </c>
      <c r="H3" s="675"/>
    </row>
    <row r="4" spans="1:8">
      <c r="A4" s="229" t="s">
        <v>67</v>
      </c>
      <c r="B4" s="7" t="s">
        <v>34</v>
      </c>
      <c r="C4" s="227"/>
      <c r="D4" s="228"/>
      <c r="E4" s="6"/>
      <c r="F4" s="228"/>
      <c r="G4" s="6"/>
      <c r="H4" s="227"/>
    </row>
    <row r="5" spans="1:8">
      <c r="A5" s="341" t="s">
        <v>8</v>
      </c>
      <c r="B5" s="342" t="s">
        <v>34</v>
      </c>
      <c r="C5" s="343">
        <v>2005</v>
      </c>
      <c r="D5" s="344">
        <v>6695</v>
      </c>
      <c r="E5" s="344"/>
      <c r="F5" s="344"/>
      <c r="G5" s="345">
        <f>SUM(D5:F5)</f>
        <v>6695</v>
      </c>
      <c r="H5" s="346" t="s">
        <v>37</v>
      </c>
    </row>
    <row r="6" spans="1:8">
      <c r="A6" s="347" t="s">
        <v>9</v>
      </c>
      <c r="B6" s="348" t="s">
        <v>34</v>
      </c>
      <c r="C6" s="349" t="s">
        <v>35</v>
      </c>
      <c r="D6" s="350">
        <v>1664</v>
      </c>
      <c r="E6" s="351">
        <v>22169</v>
      </c>
      <c r="F6" s="350">
        <v>4769</v>
      </c>
      <c r="G6" s="352">
        <f t="shared" ref="G6:G20" si="0">SUM(D6:F6)</f>
        <v>28602</v>
      </c>
      <c r="H6" s="353">
        <v>0.1</v>
      </c>
    </row>
    <row r="7" spans="1:8">
      <c r="A7" s="347" t="s">
        <v>16</v>
      </c>
      <c r="B7" s="348" t="s">
        <v>34</v>
      </c>
      <c r="C7" s="349">
        <v>2006</v>
      </c>
      <c r="D7" s="350"/>
      <c r="E7" s="351">
        <v>1806</v>
      </c>
      <c r="F7" s="350"/>
      <c r="G7" s="352">
        <f t="shared" si="0"/>
        <v>1806</v>
      </c>
      <c r="H7" s="353">
        <v>0.25</v>
      </c>
    </row>
    <row r="8" spans="1:8">
      <c r="A8" s="347" t="s">
        <v>12</v>
      </c>
      <c r="B8" s="348" t="s">
        <v>34</v>
      </c>
      <c r="C8" s="349" t="s">
        <v>36</v>
      </c>
      <c r="D8" s="350"/>
      <c r="E8" s="351">
        <v>534</v>
      </c>
      <c r="F8" s="350">
        <v>468</v>
      </c>
      <c r="G8" s="352">
        <f t="shared" si="0"/>
        <v>1002</v>
      </c>
      <c r="H8" s="353">
        <v>0.1</v>
      </c>
    </row>
    <row r="9" spans="1:8">
      <c r="A9" s="354" t="s">
        <v>10</v>
      </c>
      <c r="B9" s="682" t="s">
        <v>34</v>
      </c>
      <c r="C9" s="678">
        <v>2006</v>
      </c>
      <c r="D9" s="685"/>
      <c r="E9" s="679">
        <v>36117</v>
      </c>
      <c r="F9" s="679"/>
      <c r="G9" s="679">
        <f t="shared" si="0"/>
        <v>36117</v>
      </c>
      <c r="H9" s="683">
        <v>0.1</v>
      </c>
    </row>
    <row r="10" spans="1:8">
      <c r="A10" s="355" t="s">
        <v>13</v>
      </c>
      <c r="B10" s="682"/>
      <c r="C10" s="678"/>
      <c r="D10" s="685"/>
      <c r="E10" s="679"/>
      <c r="F10" s="679"/>
      <c r="G10" s="679"/>
      <c r="H10" s="684"/>
    </row>
    <row r="11" spans="1:8">
      <c r="A11" s="354" t="s">
        <v>10</v>
      </c>
      <c r="B11" s="682" t="s">
        <v>34</v>
      </c>
      <c r="C11" s="678">
        <v>2006</v>
      </c>
      <c r="D11" s="685"/>
      <c r="E11" s="679">
        <v>48572</v>
      </c>
      <c r="F11" s="686"/>
      <c r="G11" s="679">
        <f t="shared" si="0"/>
        <v>48572</v>
      </c>
      <c r="H11" s="684" t="s">
        <v>37</v>
      </c>
    </row>
    <row r="12" spans="1:8">
      <c r="A12" s="355" t="s">
        <v>11</v>
      </c>
      <c r="B12" s="682"/>
      <c r="C12" s="678"/>
      <c r="D12" s="685"/>
      <c r="E12" s="679"/>
      <c r="F12" s="686"/>
      <c r="G12" s="679"/>
      <c r="H12" s="684"/>
    </row>
    <row r="13" spans="1:8">
      <c r="A13" s="347" t="s">
        <v>14</v>
      </c>
      <c r="B13" s="348" t="s">
        <v>34</v>
      </c>
      <c r="C13" s="349">
        <v>2006</v>
      </c>
      <c r="D13" s="350"/>
      <c r="E13" s="351">
        <v>2752</v>
      </c>
      <c r="F13" s="350"/>
      <c r="G13" s="352">
        <f t="shared" si="0"/>
        <v>2752</v>
      </c>
      <c r="H13" s="356" t="s">
        <v>37</v>
      </c>
    </row>
    <row r="14" spans="1:8">
      <c r="A14" s="347" t="s">
        <v>15</v>
      </c>
      <c r="B14" s="348" t="s">
        <v>34</v>
      </c>
      <c r="C14" s="349" t="s">
        <v>36</v>
      </c>
      <c r="D14" s="350"/>
      <c r="E14" s="351">
        <v>2802</v>
      </c>
      <c r="F14" s="350">
        <v>2629</v>
      </c>
      <c r="G14" s="352">
        <f t="shared" si="0"/>
        <v>5431</v>
      </c>
      <c r="H14" s="356" t="s">
        <v>37</v>
      </c>
    </row>
    <row r="15" spans="1:8">
      <c r="A15" s="347" t="s">
        <v>17</v>
      </c>
      <c r="B15" s="348" t="s">
        <v>34</v>
      </c>
      <c r="C15" s="349" t="s">
        <v>36</v>
      </c>
      <c r="D15" s="350"/>
      <c r="E15" s="351">
        <v>165</v>
      </c>
      <c r="F15" s="350">
        <v>191</v>
      </c>
      <c r="G15" s="352">
        <f t="shared" si="0"/>
        <v>356</v>
      </c>
      <c r="H15" s="353">
        <v>0</v>
      </c>
    </row>
    <row r="16" spans="1:8">
      <c r="A16" s="676" t="s">
        <v>185</v>
      </c>
      <c r="B16" s="677" t="s">
        <v>5</v>
      </c>
      <c r="C16" s="678" t="s">
        <v>36</v>
      </c>
      <c r="D16" s="679"/>
      <c r="E16" s="679">
        <v>721</v>
      </c>
      <c r="F16" s="679">
        <v>1551</v>
      </c>
      <c r="G16" s="679">
        <f t="shared" si="0"/>
        <v>2272</v>
      </c>
      <c r="H16" s="680">
        <v>0.1</v>
      </c>
    </row>
    <row r="17" spans="1:8">
      <c r="A17" s="676"/>
      <c r="B17" s="677"/>
      <c r="C17" s="678"/>
      <c r="D17" s="679"/>
      <c r="E17" s="679"/>
      <c r="F17" s="679"/>
      <c r="G17" s="679"/>
      <c r="H17" s="681"/>
    </row>
    <row r="18" spans="1:8">
      <c r="A18" s="676"/>
      <c r="B18" s="677"/>
      <c r="C18" s="678"/>
      <c r="D18" s="679"/>
      <c r="E18" s="679"/>
      <c r="F18" s="679"/>
      <c r="G18" s="679"/>
      <c r="H18" s="681"/>
    </row>
    <row r="19" spans="1:8">
      <c r="A19" s="357" t="s">
        <v>21</v>
      </c>
      <c r="B19" s="358" t="s">
        <v>5</v>
      </c>
      <c r="C19" s="349" t="s">
        <v>36</v>
      </c>
      <c r="D19" s="350"/>
      <c r="E19" s="351">
        <v>1</v>
      </c>
      <c r="F19" s="350">
        <v>1</v>
      </c>
      <c r="G19" s="352">
        <f t="shared" si="0"/>
        <v>2</v>
      </c>
      <c r="H19" s="353">
        <v>0.3</v>
      </c>
    </row>
    <row r="20" spans="1:8">
      <c r="A20" s="359" t="s">
        <v>22</v>
      </c>
      <c r="B20" s="360" t="s">
        <v>5</v>
      </c>
      <c r="C20" s="361">
        <v>2007</v>
      </c>
      <c r="D20" s="362"/>
      <c r="E20" s="363"/>
      <c r="F20" s="362">
        <v>6</v>
      </c>
      <c r="G20" s="364">
        <f t="shared" si="0"/>
        <v>6</v>
      </c>
      <c r="H20" s="365">
        <v>0.3</v>
      </c>
    </row>
    <row r="21" spans="1:8">
      <c r="A21" s="206"/>
      <c r="B21" s="206"/>
      <c r="C21" s="206"/>
      <c r="D21" s="235"/>
      <c r="E21" s="235"/>
      <c r="F21" s="235"/>
      <c r="G21" s="235"/>
      <c r="H21" s="206"/>
    </row>
    <row r="22" spans="1:8">
      <c r="A22" s="239" t="s">
        <v>147</v>
      </c>
      <c r="B22" s="206"/>
      <c r="C22" s="206"/>
      <c r="D22" s="235"/>
      <c r="E22" s="235"/>
      <c r="F22" s="235"/>
      <c r="G22" s="235"/>
      <c r="H22" s="206"/>
    </row>
    <row r="23" spans="1:8" ht="22.5" customHeight="1">
      <c r="A23" s="670" t="s">
        <v>161</v>
      </c>
      <c r="B23" s="670"/>
      <c r="C23" s="670"/>
      <c r="D23" s="670"/>
      <c r="E23" s="670"/>
      <c r="F23" s="670"/>
      <c r="G23" s="670"/>
      <c r="H23" s="670"/>
    </row>
    <row r="24" spans="1:8">
      <c r="A24" s="236" t="s">
        <v>163</v>
      </c>
      <c r="B24" s="206"/>
      <c r="C24" s="206"/>
      <c r="D24" s="235"/>
      <c r="E24" s="235"/>
      <c r="F24" s="235"/>
      <c r="G24" s="235"/>
      <c r="H24" s="206"/>
    </row>
    <row r="25" spans="1:8">
      <c r="A25" s="236" t="s">
        <v>184</v>
      </c>
      <c r="B25" s="206"/>
      <c r="C25" s="206"/>
      <c r="D25" s="235"/>
      <c r="E25" s="235"/>
      <c r="F25" s="235"/>
      <c r="G25" s="235"/>
      <c r="H25" s="206"/>
    </row>
    <row r="26" spans="1:8">
      <c r="A26" s="206"/>
      <c r="B26" s="206"/>
      <c r="C26" s="206"/>
      <c r="D26" s="235"/>
      <c r="E26" s="235"/>
      <c r="F26" s="235"/>
      <c r="G26" s="235"/>
      <c r="H26" s="206"/>
    </row>
    <row r="27" spans="1:8">
      <c r="A27" s="206"/>
      <c r="B27" s="206"/>
      <c r="C27" s="206"/>
      <c r="D27" s="235"/>
      <c r="E27" s="235"/>
      <c r="F27" s="235"/>
      <c r="G27" s="235"/>
      <c r="H27" s="206"/>
    </row>
  </sheetData>
  <customSheetViews>
    <customSheetView guid="{79BD26C1-CFC5-4DF6-B35F-C5F18E7B1C41}" showPageBreaks="1" view="pageBreakPreview">
      <selection activeCell="G11" sqref="G11:G12"/>
      <pageMargins left="0.7" right="0.7" top="0.75" bottom="0.75" header="0.3" footer="0.3"/>
      <pageSetup scale="97" orientation="portrait" r:id="rId1"/>
    </customSheetView>
  </customSheetViews>
  <mergeCells count="27">
    <mergeCell ref="G9:G10"/>
    <mergeCell ref="G11:G12"/>
    <mergeCell ref="H9:H10"/>
    <mergeCell ref="H11:H12"/>
    <mergeCell ref="C11:C12"/>
    <mergeCell ref="D9:D10"/>
    <mergeCell ref="E9:E10"/>
    <mergeCell ref="F9:F10"/>
    <mergeCell ref="F11:F12"/>
    <mergeCell ref="E11:E12"/>
    <mergeCell ref="D11:D12"/>
    <mergeCell ref="A23:H23"/>
    <mergeCell ref="D2:G2"/>
    <mergeCell ref="A2:A3"/>
    <mergeCell ref="C2:C3"/>
    <mergeCell ref="H2:H3"/>
    <mergeCell ref="A16:A18"/>
    <mergeCell ref="B16:B18"/>
    <mergeCell ref="C16:C18"/>
    <mergeCell ref="D16:D18"/>
    <mergeCell ref="E16:E18"/>
    <mergeCell ref="F16:F18"/>
    <mergeCell ref="G16:G18"/>
    <mergeCell ref="H16:H18"/>
    <mergeCell ref="B9:B10"/>
    <mergeCell ref="B11:B12"/>
    <mergeCell ref="C9:C10"/>
  </mergeCells>
  <pageMargins left="0.7" right="0.7" top="0.75" bottom="0.75" header="0.3" footer="0.3"/>
  <pageSetup scale="97" orientation="portrait" r:id="rId2"/>
</worksheet>
</file>

<file path=xl/worksheets/sheet5.xml><?xml version="1.0" encoding="utf-8"?>
<worksheet xmlns="http://schemas.openxmlformats.org/spreadsheetml/2006/main" xmlns:r="http://schemas.openxmlformats.org/officeDocument/2006/relationships">
  <sheetPr>
    <tabColor rgb="FFFF0000"/>
    <pageSetUpPr fitToPage="1"/>
  </sheetPr>
  <dimension ref="A1:J22"/>
  <sheetViews>
    <sheetView view="pageBreakPreview" zoomScaleNormal="100" zoomScaleSheetLayoutView="100" workbookViewId="0">
      <selection activeCell="K4" sqref="K4"/>
    </sheetView>
  </sheetViews>
  <sheetFormatPr defaultRowHeight="12.75"/>
  <cols>
    <col min="1" max="1" width="18.28515625" style="8" customWidth="1"/>
    <col min="2" max="3" width="10.85546875" style="8" bestFit="1" customWidth="1"/>
    <col min="4" max="4" width="12" style="8" bestFit="1" customWidth="1"/>
    <col min="5" max="5" width="12.140625" style="8" bestFit="1" customWidth="1"/>
    <col min="6" max="6" width="10.140625" style="8" bestFit="1" customWidth="1"/>
    <col min="7" max="7" width="10.42578125" style="8" bestFit="1" customWidth="1"/>
    <col min="8" max="8" width="12" style="8" bestFit="1" customWidth="1"/>
    <col min="9" max="9" width="12.140625" style="8" bestFit="1" customWidth="1"/>
    <col min="10" max="16384" width="9.140625" style="8"/>
  </cols>
  <sheetData>
    <row r="1" spans="1:10" s="273" customFormat="1" ht="18.75" customHeight="1" thickBot="1">
      <c r="A1" s="308" t="s">
        <v>111</v>
      </c>
      <c r="C1" s="304"/>
      <c r="D1" s="304"/>
      <c r="E1" s="304"/>
      <c r="F1" s="304"/>
      <c r="G1" s="304"/>
      <c r="H1" s="304"/>
    </row>
    <row r="2" spans="1:10" s="306" customFormat="1" ht="15.75">
      <c r="A2" s="697" t="s">
        <v>34</v>
      </c>
      <c r="B2" s="689" t="s">
        <v>38</v>
      </c>
      <c r="C2" s="690"/>
      <c r="D2" s="689" t="s">
        <v>40</v>
      </c>
      <c r="E2" s="690"/>
      <c r="F2" s="689" t="s">
        <v>41</v>
      </c>
      <c r="G2" s="690"/>
      <c r="H2" s="689" t="s">
        <v>42</v>
      </c>
      <c r="I2" s="690"/>
      <c r="J2" s="693"/>
    </row>
    <row r="3" spans="1:10" s="306" customFormat="1" ht="15.75">
      <c r="A3" s="698"/>
      <c r="B3" s="366" t="s">
        <v>39</v>
      </c>
      <c r="C3" s="367" t="s">
        <v>43</v>
      </c>
      <c r="D3" s="366" t="s">
        <v>39</v>
      </c>
      <c r="E3" s="367" t="s">
        <v>43</v>
      </c>
      <c r="F3" s="366" t="s">
        <v>39</v>
      </c>
      <c r="G3" s="367" t="s">
        <v>43</v>
      </c>
      <c r="H3" s="366" t="s">
        <v>39</v>
      </c>
      <c r="I3" s="367" t="s">
        <v>43</v>
      </c>
      <c r="J3" s="693"/>
    </row>
    <row r="4" spans="1:10" s="306" customFormat="1" ht="34.5" customHeight="1">
      <c r="A4" s="368" t="s">
        <v>67</v>
      </c>
      <c r="B4" s="369">
        <f>C4/0.9</f>
        <v>2019150.2499999998</v>
      </c>
      <c r="C4" s="370">
        <f>'LRAM 2005'!L5</f>
        <v>1817235.2249999999</v>
      </c>
      <c r="D4" s="609">
        <f>E4/0.9</f>
        <v>14832814.035185184</v>
      </c>
      <c r="E4" s="610">
        <f>'LRAM 2006'!K5</f>
        <v>13349532.631666666</v>
      </c>
      <c r="F4" s="371">
        <f>G4/0.9</f>
        <v>682258.59629629622</v>
      </c>
      <c r="G4" s="370">
        <f>'LRAM 2007'!J5</f>
        <v>614032.73666666658</v>
      </c>
      <c r="H4" s="640">
        <f>F4+D4+B4</f>
        <v>17534222.88148148</v>
      </c>
      <c r="I4" s="641">
        <f>C4+E4+G4</f>
        <v>15780800.593333332</v>
      </c>
    </row>
    <row r="5" spans="1:10" s="306" customFormat="1" ht="21" customHeight="1">
      <c r="A5" s="596"/>
      <c r="B5" s="369"/>
      <c r="C5" s="601"/>
      <c r="D5" s="603">
        <f>E5/0.9</f>
        <v>15770428.479629628</v>
      </c>
      <c r="E5" s="604">
        <f>'LRAM 2006'!K6</f>
        <v>14193385.631666666</v>
      </c>
      <c r="F5" s="602"/>
      <c r="G5" s="601"/>
      <c r="H5" s="638">
        <f>B4+D5+F4</f>
        <v>18471837.325925924</v>
      </c>
      <c r="I5" s="639">
        <f>C4+E5+G4</f>
        <v>16624653.593333332</v>
      </c>
    </row>
    <row r="6" spans="1:10" s="306" customFormat="1" ht="15.75">
      <c r="A6" s="372" t="s">
        <v>42</v>
      </c>
      <c r="B6" s="597">
        <f>B4</f>
        <v>2019150.2499999998</v>
      </c>
      <c r="C6" s="598">
        <f>C4</f>
        <v>1817235.2249999999</v>
      </c>
      <c r="D6" s="607">
        <f>D4</f>
        <v>14832814.035185184</v>
      </c>
      <c r="E6" s="608">
        <f>SUM(E4:E4)</f>
        <v>13349532.631666666</v>
      </c>
      <c r="F6" s="597">
        <f>F4</f>
        <v>682258.59629629622</v>
      </c>
      <c r="G6" s="598">
        <f>G4</f>
        <v>614032.73666666658</v>
      </c>
      <c r="H6" s="607">
        <f>H4</f>
        <v>17534222.88148148</v>
      </c>
      <c r="I6" s="608">
        <f>C6+E6+G6</f>
        <v>15780800.593333332</v>
      </c>
    </row>
    <row r="7" spans="1:10" s="306" customFormat="1" ht="16.5" thickBot="1">
      <c r="A7" s="372"/>
      <c r="B7" s="599"/>
      <c r="C7" s="600"/>
      <c r="D7" s="605">
        <f>D5</f>
        <v>15770428.479629628</v>
      </c>
      <c r="E7" s="606">
        <f>E5</f>
        <v>14193385.631666666</v>
      </c>
      <c r="F7" s="599"/>
      <c r="G7" s="600"/>
      <c r="H7" s="605">
        <f>H5</f>
        <v>18471837.325925924</v>
      </c>
      <c r="I7" s="606">
        <f>I5</f>
        <v>16624653.593333332</v>
      </c>
    </row>
    <row r="8" spans="1:10" s="306" customFormat="1" ht="17.25" thickTop="1" thickBot="1">
      <c r="A8" s="373"/>
      <c r="B8" s="374"/>
      <c r="C8" s="375"/>
      <c r="D8" s="374"/>
      <c r="E8" s="375"/>
      <c r="F8" s="374"/>
      <c r="G8" s="375"/>
      <c r="H8" s="376"/>
      <c r="I8" s="377"/>
    </row>
    <row r="9" spans="1:10" s="306" customFormat="1" ht="15.75">
      <c r="A9" s="687" t="s">
        <v>44</v>
      </c>
      <c r="B9" s="689" t="s">
        <v>45</v>
      </c>
      <c r="C9" s="690"/>
      <c r="D9" s="689" t="s">
        <v>46</v>
      </c>
      <c r="E9" s="690"/>
      <c r="F9" s="689" t="s">
        <v>47</v>
      </c>
      <c r="G9" s="690"/>
      <c r="H9" s="689" t="s">
        <v>48</v>
      </c>
      <c r="I9" s="690"/>
    </row>
    <row r="10" spans="1:10" s="306" customFormat="1" ht="15.75">
      <c r="A10" s="688"/>
      <c r="B10" s="366" t="s">
        <v>39</v>
      </c>
      <c r="C10" s="367" t="s">
        <v>43</v>
      </c>
      <c r="D10" s="366" t="s">
        <v>39</v>
      </c>
      <c r="E10" s="367" t="s">
        <v>43</v>
      </c>
      <c r="F10" s="366" t="s">
        <v>39</v>
      </c>
      <c r="G10" s="367" t="s">
        <v>43</v>
      </c>
      <c r="H10" s="366" t="s">
        <v>39</v>
      </c>
      <c r="I10" s="367" t="s">
        <v>43</v>
      </c>
    </row>
    <row r="11" spans="1:10" s="306" customFormat="1" ht="15.75">
      <c r="A11" s="699" t="s">
        <v>20</v>
      </c>
      <c r="B11" s="378"/>
      <c r="C11" s="379"/>
      <c r="D11" s="695">
        <f>E11/0.9</f>
        <v>574.4</v>
      </c>
      <c r="E11" s="691">
        <f>'LRAM 2006'!K15</f>
        <v>516.96</v>
      </c>
      <c r="F11" s="695">
        <f>G11/0.9</f>
        <v>306.73333333333335</v>
      </c>
      <c r="G11" s="691">
        <f>'LRAM 2007'!J10</f>
        <v>276.06</v>
      </c>
      <c r="H11" s="695">
        <f>SUM(B11,D11,F11)</f>
        <v>881.13333333333333</v>
      </c>
      <c r="I11" s="691">
        <f>SUM(C11,E11,G11)</f>
        <v>793.02</v>
      </c>
    </row>
    <row r="12" spans="1:10" s="306" customFormat="1" ht="15.75">
      <c r="A12" s="699"/>
      <c r="B12" s="378"/>
      <c r="C12" s="380"/>
      <c r="D12" s="696"/>
      <c r="E12" s="692"/>
      <c r="F12" s="696"/>
      <c r="G12" s="692"/>
      <c r="H12" s="696"/>
      <c r="I12" s="692"/>
    </row>
    <row r="13" spans="1:10" s="306" customFormat="1" ht="15.75">
      <c r="A13" s="699"/>
      <c r="B13" s="378"/>
      <c r="C13" s="380"/>
      <c r="D13" s="696"/>
      <c r="E13" s="692"/>
      <c r="F13" s="696"/>
      <c r="G13" s="692"/>
      <c r="H13" s="696"/>
      <c r="I13" s="692"/>
    </row>
    <row r="14" spans="1:10" s="306" customFormat="1" ht="39.950000000000003" customHeight="1">
      <c r="A14" s="378" t="s">
        <v>21</v>
      </c>
      <c r="B14" s="378"/>
      <c r="C14" s="380"/>
      <c r="D14" s="381">
        <f>E14/0.7</f>
        <v>1440</v>
      </c>
      <c r="E14" s="382">
        <f>'LRAM 2006'!K16</f>
        <v>1008</v>
      </c>
      <c r="F14" s="383">
        <f>G14/0.7</f>
        <v>4.2</v>
      </c>
      <c r="G14" s="382">
        <f>'LRAM 2007'!J18</f>
        <v>2.94</v>
      </c>
      <c r="H14" s="384">
        <f>SUM(B14,D14,F14)</f>
        <v>1444.2</v>
      </c>
      <c r="I14" s="385">
        <f>SUM(C14,E14,G14)</f>
        <v>1010.94</v>
      </c>
    </row>
    <row r="15" spans="1:10" s="306" customFormat="1" ht="39.950000000000003" customHeight="1">
      <c r="A15" s="378" t="s">
        <v>22</v>
      </c>
      <c r="B15" s="378"/>
      <c r="C15" s="380"/>
      <c r="D15" s="381"/>
      <c r="E15" s="382"/>
      <c r="F15" s="381">
        <f>G15/0.7</f>
        <v>2860.971428571429</v>
      </c>
      <c r="G15" s="382">
        <f>'LRAM 2007'!J11</f>
        <v>2002.6800000000003</v>
      </c>
      <c r="H15" s="381">
        <f>SUM(B15,D15,F15)</f>
        <v>2860.971428571429</v>
      </c>
      <c r="I15" s="382">
        <f>SUM(C15,E15,G15)</f>
        <v>2002.6800000000003</v>
      </c>
    </row>
    <row r="16" spans="1:10" s="306" customFormat="1" ht="13.5" customHeight="1" thickBot="1">
      <c r="A16" s="386" t="s">
        <v>48</v>
      </c>
      <c r="B16" s="387">
        <f t="shared" ref="B16:I16" si="0">SUM(B11:B15)</f>
        <v>0</v>
      </c>
      <c r="C16" s="388">
        <f t="shared" si="0"/>
        <v>0</v>
      </c>
      <c r="D16" s="389">
        <f t="shared" si="0"/>
        <v>2014.4</v>
      </c>
      <c r="E16" s="390">
        <f t="shared" si="0"/>
        <v>1524.96</v>
      </c>
      <c r="F16" s="389">
        <f t="shared" si="0"/>
        <v>3171.9047619047624</v>
      </c>
      <c r="G16" s="390">
        <f t="shared" si="0"/>
        <v>2281.6800000000003</v>
      </c>
      <c r="H16" s="389">
        <f t="shared" si="0"/>
        <v>5186.3047619047629</v>
      </c>
      <c r="I16" s="390">
        <f t="shared" si="0"/>
        <v>3806.6400000000003</v>
      </c>
    </row>
    <row r="17" spans="1:9" s="306" customFormat="1" ht="17.25" thickTop="1" thickBot="1">
      <c r="A17" s="391"/>
      <c r="B17" s="391"/>
      <c r="C17" s="392"/>
      <c r="D17" s="391"/>
      <c r="E17" s="392"/>
      <c r="F17" s="391"/>
      <c r="G17" s="392"/>
      <c r="H17" s="391"/>
      <c r="I17" s="392"/>
    </row>
    <row r="18" spans="1:9" s="306" customFormat="1" ht="15.75"/>
    <row r="19" spans="1:9" s="306" customFormat="1" ht="15.75">
      <c r="A19" s="319" t="s">
        <v>147</v>
      </c>
    </row>
    <row r="20" spans="1:9" s="306" customFormat="1" ht="32.25" customHeight="1">
      <c r="A20" s="694" t="s">
        <v>160</v>
      </c>
      <c r="B20" s="694"/>
      <c r="C20" s="694"/>
      <c r="D20" s="694"/>
      <c r="E20" s="694"/>
      <c r="F20" s="694"/>
      <c r="G20" s="694"/>
      <c r="H20" s="694"/>
      <c r="I20" s="694"/>
    </row>
    <row r="21" spans="1:9" s="306" customFormat="1" ht="54" customHeight="1">
      <c r="A21" s="694" t="s">
        <v>164</v>
      </c>
      <c r="B21" s="694"/>
      <c r="C21" s="694"/>
      <c r="D21" s="694"/>
      <c r="E21" s="694"/>
      <c r="F21" s="694"/>
      <c r="G21" s="694"/>
      <c r="H21" s="694"/>
      <c r="I21" s="694"/>
    </row>
    <row r="22" spans="1:9" s="306" customFormat="1" ht="50.25" customHeight="1">
      <c r="A22" s="694" t="s">
        <v>162</v>
      </c>
      <c r="B22" s="694"/>
      <c r="C22" s="694"/>
      <c r="D22" s="694"/>
      <c r="E22" s="694"/>
      <c r="F22" s="694"/>
      <c r="G22" s="694"/>
      <c r="H22" s="694"/>
      <c r="I22" s="694"/>
    </row>
  </sheetData>
  <customSheetViews>
    <customSheetView guid="{79BD26C1-CFC5-4DF6-B35F-C5F18E7B1C41}" showPageBreaks="1" fitToPage="1" view="pageBreakPreview">
      <selection activeCell="A19" sqref="A19:I19"/>
      <pageMargins left="0.7" right="0.2" top="0.75" bottom="0.75" header="0.3" footer="0.3"/>
      <printOptions horizontalCentered="1"/>
      <pageSetup scale="81" orientation="portrait" r:id="rId1"/>
    </customSheetView>
  </customSheetViews>
  <mergeCells count="21">
    <mergeCell ref="A20:I20"/>
    <mergeCell ref="A21:I21"/>
    <mergeCell ref="A22:I22"/>
    <mergeCell ref="F2:G2"/>
    <mergeCell ref="D11:D13"/>
    <mergeCell ref="E11:E13"/>
    <mergeCell ref="F11:F13"/>
    <mergeCell ref="G11:G13"/>
    <mergeCell ref="H11:H13"/>
    <mergeCell ref="H2:I2"/>
    <mergeCell ref="A2:A3"/>
    <mergeCell ref="A11:A13"/>
    <mergeCell ref="B9:C9"/>
    <mergeCell ref="D9:E9"/>
    <mergeCell ref="F9:G9"/>
    <mergeCell ref="H9:I9"/>
    <mergeCell ref="A9:A10"/>
    <mergeCell ref="B2:C2"/>
    <mergeCell ref="D2:E2"/>
    <mergeCell ref="I11:I13"/>
    <mergeCell ref="J2:J3"/>
  </mergeCells>
  <printOptions horizontalCentered="1"/>
  <pageMargins left="0.7" right="0.2" top="0.75" bottom="0.75" header="0.3" footer="0.3"/>
  <pageSetup scale="81" orientation="portrait" r:id="rId2"/>
</worksheet>
</file>

<file path=xl/worksheets/sheet6.xml><?xml version="1.0" encoding="utf-8"?>
<worksheet xmlns="http://schemas.openxmlformats.org/spreadsheetml/2006/main" xmlns:r="http://schemas.openxmlformats.org/officeDocument/2006/relationships">
  <sheetPr>
    <pageSetUpPr fitToPage="1"/>
  </sheetPr>
  <dimension ref="A3:M47"/>
  <sheetViews>
    <sheetView view="pageBreakPreview" zoomScale="60" zoomScaleNormal="100" workbookViewId="0">
      <selection activeCell="H8" sqref="H8"/>
    </sheetView>
  </sheetViews>
  <sheetFormatPr defaultRowHeight="15"/>
  <cols>
    <col min="1" max="1" width="14.85546875" style="206" customWidth="1"/>
    <col min="2" max="2" width="11.7109375" style="206" bestFit="1" customWidth="1"/>
    <col min="3" max="3" width="13.42578125" style="206" bestFit="1" customWidth="1"/>
    <col min="4" max="4" width="14.42578125" style="206" bestFit="1" customWidth="1"/>
    <col min="5" max="6" width="12.5703125" style="206" customWidth="1"/>
    <col min="7" max="7" width="9.28515625" style="206" bestFit="1" customWidth="1"/>
    <col min="8" max="8" width="13.28515625" style="206" customWidth="1"/>
    <col min="9" max="9" width="13.7109375" style="206" customWidth="1"/>
    <col min="10" max="10" width="13.28515625" style="206" customWidth="1"/>
    <col min="11" max="11" width="13.140625" style="206" customWidth="1"/>
    <col min="12" max="12" width="13.85546875" style="206" customWidth="1"/>
    <col min="13" max="13" width="11.28515625" style="206" customWidth="1"/>
    <col min="14" max="16384" width="9.140625" style="206"/>
  </cols>
  <sheetData>
    <row r="3" spans="1:12">
      <c r="A3" s="205" t="s">
        <v>155</v>
      </c>
    </row>
    <row r="7" spans="1:12">
      <c r="A7" s="210" t="s">
        <v>121</v>
      </c>
      <c r="B7" s="700" t="s">
        <v>122</v>
      </c>
      <c r="C7" s="701"/>
      <c r="D7" s="702"/>
      <c r="H7" s="210" t="s">
        <v>121</v>
      </c>
      <c r="I7" s="703" t="s">
        <v>123</v>
      </c>
      <c r="J7" s="704"/>
      <c r="K7" s="705"/>
    </row>
    <row r="8" spans="1:12">
      <c r="A8" s="204" t="s">
        <v>124</v>
      </c>
      <c r="B8" s="207">
        <v>2005</v>
      </c>
      <c r="C8" s="207">
        <v>2006</v>
      </c>
      <c r="D8" s="207">
        <v>2007</v>
      </c>
      <c r="E8" s="207" t="s">
        <v>32</v>
      </c>
      <c r="H8" s="204" t="s">
        <v>124</v>
      </c>
      <c r="I8" s="207">
        <v>2005</v>
      </c>
      <c r="J8" s="207">
        <v>2006</v>
      </c>
      <c r="K8" s="207">
        <v>2007</v>
      </c>
      <c r="L8" s="207">
        <v>2008</v>
      </c>
    </row>
    <row r="10" spans="1:12">
      <c r="A10" s="205">
        <v>2005</v>
      </c>
      <c r="B10" s="208">
        <v>2164</v>
      </c>
      <c r="C10" s="208">
        <v>12679</v>
      </c>
      <c r="D10" s="208">
        <v>13034</v>
      </c>
      <c r="E10" s="211">
        <f>SUM(B10:D10)</f>
        <v>27877</v>
      </c>
      <c r="F10" s="208"/>
      <c r="H10" s="205">
        <v>2005</v>
      </c>
      <c r="I10" s="208">
        <f>B10</f>
        <v>2164</v>
      </c>
      <c r="J10" s="208">
        <f>I10+C10</f>
        <v>14843</v>
      </c>
      <c r="K10" s="208">
        <f>J10+D10</f>
        <v>27877</v>
      </c>
      <c r="L10" s="211">
        <f>K10</f>
        <v>27877</v>
      </c>
    </row>
    <row r="11" spans="1:12">
      <c r="A11" s="205">
        <v>2006</v>
      </c>
      <c r="B11" s="208"/>
      <c r="C11" s="208">
        <v>51843</v>
      </c>
      <c r="D11" s="208">
        <v>156957</v>
      </c>
      <c r="E11" s="211">
        <f>SUM(B11:D11)</f>
        <v>208800</v>
      </c>
      <c r="F11" s="208"/>
      <c r="H11" s="205">
        <v>2006</v>
      </c>
      <c r="I11" s="208"/>
      <c r="J11" s="208">
        <f>C11</f>
        <v>51843</v>
      </c>
      <c r="K11" s="208">
        <f>J11+D11</f>
        <v>208800</v>
      </c>
      <c r="L11" s="211">
        <f>K11</f>
        <v>208800</v>
      </c>
    </row>
    <row r="12" spans="1:12">
      <c r="A12" s="205">
        <v>2007</v>
      </c>
      <c r="B12" s="212"/>
      <c r="C12" s="212"/>
      <c r="D12" s="212">
        <v>13658</v>
      </c>
      <c r="E12" s="213">
        <f>SUM(B12:D12)</f>
        <v>13658</v>
      </c>
      <c r="F12" s="208"/>
      <c r="H12" s="205">
        <v>2007</v>
      </c>
      <c r="I12" s="212"/>
      <c r="J12" s="212"/>
      <c r="K12" s="212">
        <f>D12</f>
        <v>13658</v>
      </c>
      <c r="L12" s="213">
        <f>K12</f>
        <v>13658</v>
      </c>
    </row>
    <row r="13" spans="1:12">
      <c r="E13" s="205"/>
      <c r="L13" s="205"/>
    </row>
    <row r="14" spans="1:12" ht="15.75" thickBot="1">
      <c r="B14" s="214">
        <f>SUM(B10:B13)</f>
        <v>2164</v>
      </c>
      <c r="C14" s="214">
        <f>SUM(C10:C13)</f>
        <v>64522</v>
      </c>
      <c r="D14" s="214">
        <f>SUM(D10:D13)</f>
        <v>183649</v>
      </c>
      <c r="E14" s="214">
        <f>SUM(E10:E13)</f>
        <v>250335</v>
      </c>
      <c r="F14" s="209"/>
      <c r="I14" s="214">
        <f>SUM(I10:I13)</f>
        <v>2164</v>
      </c>
      <c r="J14" s="214">
        <f>SUM(J10:J13)</f>
        <v>66686</v>
      </c>
      <c r="K14" s="214">
        <f>SUM(K10:K13)</f>
        <v>250335</v>
      </c>
      <c r="L14" s="214">
        <f>SUM(L10:L13)</f>
        <v>250335</v>
      </c>
    </row>
    <row r="15" spans="1:12" ht="15.75" thickTop="1">
      <c r="B15" s="209"/>
      <c r="C15" s="209"/>
      <c r="D15" s="209"/>
      <c r="E15" s="209"/>
      <c r="F15" s="209"/>
      <c r="I15" s="209"/>
      <c r="J15" s="209"/>
      <c r="K15" s="209"/>
      <c r="L15" s="209"/>
    </row>
    <row r="16" spans="1:12">
      <c r="H16" s="215"/>
      <c r="I16" s="216"/>
      <c r="J16" s="217" t="s">
        <v>125</v>
      </c>
      <c r="K16" s="216"/>
      <c r="L16" s="218"/>
    </row>
    <row r="17" spans="1:13">
      <c r="A17" s="210" t="s">
        <v>121</v>
      </c>
      <c r="B17" s="703" t="s">
        <v>126</v>
      </c>
      <c r="C17" s="704"/>
      <c r="D17" s="705"/>
      <c r="H17" s="207">
        <v>2005</v>
      </c>
      <c r="I17" s="207">
        <v>2006</v>
      </c>
      <c r="J17" s="207">
        <v>2007</v>
      </c>
      <c r="K17" s="207">
        <v>2008</v>
      </c>
      <c r="L17" s="207">
        <v>2009</v>
      </c>
      <c r="M17" s="207" t="s">
        <v>32</v>
      </c>
    </row>
    <row r="18" spans="1:13">
      <c r="A18" s="204" t="s">
        <v>124</v>
      </c>
      <c r="B18" s="207">
        <v>2005</v>
      </c>
      <c r="C18" s="207">
        <v>2006</v>
      </c>
      <c r="D18" s="207">
        <v>2007</v>
      </c>
      <c r="E18" s="207">
        <v>2008</v>
      </c>
      <c r="G18" s="206" t="s">
        <v>127</v>
      </c>
      <c r="H18" s="219">
        <f>F30</f>
        <v>3.2899999999999999E-2</v>
      </c>
      <c r="I18" s="219">
        <f>F32</f>
        <v>4.3483333333333332E-2</v>
      </c>
      <c r="J18" s="220">
        <f>F34</f>
        <v>4.7275000000000005E-2</v>
      </c>
      <c r="K18" s="220">
        <f>F36</f>
        <v>3.9800000000000002E-2</v>
      </c>
      <c r="L18" s="220">
        <f>0.0335</f>
        <v>3.3500000000000002E-2</v>
      </c>
    </row>
    <row r="20" spans="1:13">
      <c r="A20" s="205">
        <v>2005</v>
      </c>
      <c r="B20" s="208">
        <f>(0+B10)/2</f>
        <v>1082</v>
      </c>
      <c r="C20" s="208">
        <f t="shared" ref="C20:E21" si="0">(I10+J10)/2</f>
        <v>8503.5</v>
      </c>
      <c r="D20" s="208">
        <f t="shared" si="0"/>
        <v>21360</v>
      </c>
      <c r="E20" s="211">
        <f t="shared" si="0"/>
        <v>27877</v>
      </c>
      <c r="F20" s="208"/>
      <c r="G20" s="205">
        <v>2005</v>
      </c>
      <c r="H20" s="209">
        <f>(B20*H18)/4</f>
        <v>8.8994499999999999</v>
      </c>
      <c r="I20" s="209">
        <f>C20*I18</f>
        <v>369.76052499999997</v>
      </c>
      <c r="J20" s="209">
        <f>D20*J18</f>
        <v>1009.7940000000001</v>
      </c>
      <c r="K20" s="209">
        <f>E20*K18</f>
        <v>1109.5046</v>
      </c>
      <c r="L20" s="209">
        <f>E20*L18*(120/365)</f>
        <v>307.02887671232872</v>
      </c>
      <c r="M20" s="221">
        <f>SUM(H20:L20)</f>
        <v>2804.9874517123289</v>
      </c>
    </row>
    <row r="21" spans="1:13">
      <c r="A21" s="205">
        <v>2006</v>
      </c>
      <c r="B21" s="208"/>
      <c r="C21" s="208">
        <f t="shared" si="0"/>
        <v>25921.5</v>
      </c>
      <c r="D21" s="208">
        <f t="shared" si="0"/>
        <v>130321.5</v>
      </c>
      <c r="E21" s="211">
        <f t="shared" si="0"/>
        <v>208800</v>
      </c>
      <c r="F21" s="208"/>
      <c r="G21" s="205">
        <v>2006</v>
      </c>
      <c r="I21" s="209">
        <f>C21*I18*(7/12)</f>
        <v>657.50604791666672</v>
      </c>
      <c r="J21" s="209">
        <f>D21*J18</f>
        <v>6160.9489125000009</v>
      </c>
      <c r="K21" s="209">
        <f>E21*K18</f>
        <v>8310.24</v>
      </c>
      <c r="L21" s="209">
        <f>E21*L18*(120/365)</f>
        <v>2299.6602739726027</v>
      </c>
      <c r="M21" s="221">
        <f>SUM(H21:L21)</f>
        <v>17428.35523438927</v>
      </c>
    </row>
    <row r="22" spans="1:13">
      <c r="A22" s="205">
        <v>2007</v>
      </c>
      <c r="B22" s="212"/>
      <c r="C22" s="212"/>
      <c r="D22" s="212">
        <f>(J12+K12)/2</f>
        <v>6829</v>
      </c>
      <c r="E22" s="213">
        <f>(K12+L12)/2</f>
        <v>13658</v>
      </c>
      <c r="F22" s="208"/>
      <c r="G22" s="205">
        <v>2007</v>
      </c>
      <c r="H22" s="222"/>
      <c r="I22" s="223"/>
      <c r="J22" s="223">
        <f>D22*J18</f>
        <v>322.84097500000001</v>
      </c>
      <c r="K22" s="223">
        <f>E22*K18</f>
        <v>543.58839999999998</v>
      </c>
      <c r="L22" s="223">
        <f>E22*L18*(120/365)</f>
        <v>150.42509589041094</v>
      </c>
      <c r="M22" s="224">
        <f>SUM(H22:L22)</f>
        <v>1016.8544708904109</v>
      </c>
    </row>
    <row r="23" spans="1:13">
      <c r="E23" s="205"/>
      <c r="I23" s="209"/>
      <c r="J23" s="209"/>
      <c r="K23" s="209"/>
      <c r="L23" s="209"/>
      <c r="M23" s="221"/>
    </row>
    <row r="24" spans="1:13" ht="15.75" thickBot="1">
      <c r="B24" s="214">
        <f>SUM(B20:B23)</f>
        <v>1082</v>
      </c>
      <c r="C24" s="214">
        <f>SUM(C20:C23)</f>
        <v>34425</v>
      </c>
      <c r="D24" s="214">
        <f>SUM(D20:D23)</f>
        <v>158510.5</v>
      </c>
      <c r="E24" s="214">
        <f>SUM(E20:E23)</f>
        <v>250335</v>
      </c>
      <c r="F24" s="209"/>
      <c r="H24" s="214">
        <f t="shared" ref="H24:M24" si="1">SUM(H20:H23)</f>
        <v>8.8994499999999999</v>
      </c>
      <c r="I24" s="214">
        <f t="shared" si="1"/>
        <v>1027.2665729166667</v>
      </c>
      <c r="J24" s="214">
        <f t="shared" si="1"/>
        <v>7493.5838875000009</v>
      </c>
      <c r="K24" s="214">
        <f t="shared" si="1"/>
        <v>9963.3330000000005</v>
      </c>
      <c r="L24" s="214">
        <f t="shared" si="1"/>
        <v>2757.1142465753423</v>
      </c>
      <c r="M24" s="214">
        <f t="shared" si="1"/>
        <v>21250.19715699201</v>
      </c>
    </row>
    <row r="25" spans="1:13" ht="15.75" thickTop="1"/>
    <row r="27" spans="1:13">
      <c r="A27" s="225" t="s">
        <v>128</v>
      </c>
    </row>
    <row r="29" spans="1:13">
      <c r="B29" s="226" t="s">
        <v>129</v>
      </c>
      <c r="C29" s="226" t="s">
        <v>130</v>
      </c>
      <c r="D29" s="226"/>
      <c r="E29" s="226"/>
      <c r="F29" s="226" t="s">
        <v>131</v>
      </c>
      <c r="M29" s="209"/>
    </row>
    <row r="30" spans="1:13">
      <c r="B30" s="219">
        <f>0.0255+0.0025</f>
        <v>2.7999999999999997E-2</v>
      </c>
      <c r="C30" s="219">
        <f>0.0353+0.0025</f>
        <v>3.78E-2</v>
      </c>
      <c r="F30" s="220">
        <f>(B30+C30)/2</f>
        <v>3.2899999999999999E-2</v>
      </c>
    </row>
    <row r="31" spans="1:13">
      <c r="B31" s="226" t="s">
        <v>132</v>
      </c>
      <c r="C31" s="226" t="s">
        <v>133</v>
      </c>
      <c r="D31" s="226" t="s">
        <v>134</v>
      </c>
      <c r="E31" s="226" t="s">
        <v>135</v>
      </c>
      <c r="F31" s="226" t="s">
        <v>136</v>
      </c>
    </row>
    <row r="32" spans="1:13">
      <c r="B32" s="219">
        <f>(0.0366+0.0383+0.0398)/3+0.0025</f>
        <v>4.0733333333333337E-2</v>
      </c>
      <c r="C32" s="219">
        <v>4.1399999999999999E-2</v>
      </c>
      <c r="D32" s="219">
        <v>4.5900000000000003E-2</v>
      </c>
      <c r="E32" s="219">
        <v>4.5900000000000003E-2</v>
      </c>
      <c r="F32" s="219">
        <f>(B32+C32+D32+E32)/4</f>
        <v>4.3483333333333332E-2</v>
      </c>
      <c r="M32" s="209"/>
    </row>
    <row r="33" spans="1:6">
      <c r="B33" s="226" t="s">
        <v>137</v>
      </c>
      <c r="C33" s="226" t="s">
        <v>138</v>
      </c>
      <c r="D33" s="226" t="s">
        <v>139</v>
      </c>
      <c r="E33" s="226" t="s">
        <v>140</v>
      </c>
      <c r="F33" s="226" t="s">
        <v>141</v>
      </c>
    </row>
    <row r="34" spans="1:6">
      <c r="B34" s="219">
        <v>4.5900000000000003E-2</v>
      </c>
      <c r="C34" s="219">
        <v>4.5900000000000003E-2</v>
      </c>
      <c r="D34" s="219">
        <v>4.5900000000000003E-2</v>
      </c>
      <c r="E34" s="219">
        <v>5.1400000000000001E-2</v>
      </c>
      <c r="F34" s="219">
        <f>(B34+C34+D34+E34)/4</f>
        <v>4.7275000000000005E-2</v>
      </c>
    </row>
    <row r="35" spans="1:6">
      <c r="B35" s="226" t="s">
        <v>142</v>
      </c>
      <c r="C35" s="226" t="s">
        <v>143</v>
      </c>
      <c r="D35" s="226" t="s">
        <v>144</v>
      </c>
      <c r="E35" s="226" t="s">
        <v>145</v>
      </c>
      <c r="F35" s="226" t="s">
        <v>146</v>
      </c>
    </row>
    <row r="36" spans="1:6">
      <c r="B36" s="219">
        <v>5.1400000000000001E-2</v>
      </c>
      <c r="C36" s="219">
        <v>4.0800000000000003E-2</v>
      </c>
      <c r="D36" s="219">
        <v>3.3500000000000002E-2</v>
      </c>
      <c r="E36" s="219">
        <v>3.3500000000000002E-2</v>
      </c>
      <c r="F36" s="219">
        <f>(B36+C36+D36+E36)/4</f>
        <v>3.9800000000000002E-2</v>
      </c>
    </row>
    <row r="39" spans="1:6">
      <c r="A39" s="238" t="s">
        <v>147</v>
      </c>
    </row>
    <row r="40" spans="1:6">
      <c r="A40" s="206" t="s">
        <v>167</v>
      </c>
    </row>
    <row r="41" spans="1:6">
      <c r="A41" s="206" t="s">
        <v>168</v>
      </c>
    </row>
    <row r="42" spans="1:6">
      <c r="A42" s="206" t="s">
        <v>169</v>
      </c>
    </row>
    <row r="43" spans="1:6">
      <c r="A43" s="206" t="s">
        <v>170</v>
      </c>
    </row>
    <row r="44" spans="1:6">
      <c r="A44" s="206" t="s">
        <v>171</v>
      </c>
    </row>
    <row r="45" spans="1:6">
      <c r="A45" s="206" t="s">
        <v>172</v>
      </c>
    </row>
    <row r="46" spans="1:6">
      <c r="A46" s="206" t="s">
        <v>173</v>
      </c>
    </row>
    <row r="47" spans="1:6">
      <c r="A47" s="206" t="s">
        <v>174</v>
      </c>
    </row>
  </sheetData>
  <customSheetViews>
    <customSheetView guid="{79BD26C1-CFC5-4DF6-B35F-C5F18E7B1C41}" scale="60" showPageBreaks="1" fitToPage="1" view="pageBreakPreview" topLeftCell="A22">
      <selection activeCell="E24" sqref="E24"/>
      <pageMargins left="0.7" right="0.45" top="0.75" bottom="0.5" header="0.3" footer="0.3"/>
      <printOptions horizontalCentered="1"/>
      <pageSetup scale="74" orientation="landscape" r:id="rId1"/>
    </customSheetView>
  </customSheetViews>
  <mergeCells count="3">
    <mergeCell ref="B7:D7"/>
    <mergeCell ref="I7:K7"/>
    <mergeCell ref="B17:D17"/>
  </mergeCells>
  <printOptions horizontalCentered="1"/>
  <pageMargins left="0.7" right="0.45" top="0.75" bottom="0.5" header="0.3" footer="0.3"/>
  <pageSetup scale="74" orientation="landscape" r:id="rId2"/>
</worksheet>
</file>

<file path=xl/worksheets/sheet7.xml><?xml version="1.0" encoding="utf-8"?>
<worksheet xmlns="http://schemas.openxmlformats.org/spreadsheetml/2006/main" xmlns:r="http://schemas.openxmlformats.org/officeDocument/2006/relationships">
  <sheetPr>
    <pageSetUpPr fitToPage="1"/>
  </sheetPr>
  <dimension ref="A1:L25"/>
  <sheetViews>
    <sheetView view="pageBreakPreview" zoomScale="60" zoomScaleNormal="80" workbookViewId="0">
      <pane xSplit="1" ySplit="4" topLeftCell="B5" activePane="bottomRight" state="frozen"/>
      <selection activeCell="I9" sqref="I9"/>
      <selection pane="topRight" activeCell="I9" sqref="I9"/>
      <selection pane="bottomLeft" activeCell="I9" sqref="I9"/>
      <selection pane="bottomRight" activeCell="L5" sqref="L5"/>
    </sheetView>
  </sheetViews>
  <sheetFormatPr defaultColWidth="8.85546875" defaultRowHeight="12.75"/>
  <cols>
    <col min="1" max="1" width="23.5703125" style="9" customWidth="1"/>
    <col min="2" max="3" width="15.28515625" style="9" customWidth="1"/>
    <col min="4" max="4" width="13" style="9" customWidth="1"/>
    <col min="5" max="5" width="12.5703125" style="9" customWidth="1"/>
    <col min="6" max="6" width="12" style="9" customWidth="1"/>
    <col min="7" max="7" width="15.42578125" style="9" customWidth="1"/>
    <col min="8" max="8" width="14.140625" style="9" customWidth="1"/>
    <col min="9" max="9" width="13.5703125" style="9" customWidth="1"/>
    <col min="10" max="10" width="16.42578125" style="9" customWidth="1"/>
    <col min="11" max="11" width="12" style="9" customWidth="1"/>
    <col min="12" max="12" width="16.42578125" style="9" customWidth="1"/>
    <col min="13" max="13" width="8.85546875" style="9" customWidth="1"/>
    <col min="14" max="14" width="11.28515625" style="9" bestFit="1" customWidth="1"/>
    <col min="15" max="15" width="12.28515625" style="9" bestFit="1" customWidth="1"/>
    <col min="16" max="16384" width="8.85546875" style="9"/>
  </cols>
  <sheetData>
    <row r="1" spans="1:12" customFormat="1" ht="18.75" customHeight="1">
      <c r="A1" s="46" t="s">
        <v>113</v>
      </c>
      <c r="C1" s="1"/>
      <c r="D1" s="1"/>
      <c r="E1" s="1"/>
      <c r="F1" s="1"/>
      <c r="G1" s="1"/>
      <c r="H1" s="1"/>
    </row>
    <row r="2" spans="1:12" customFormat="1" ht="18.75" customHeight="1" thickBot="1">
      <c r="A2" s="46"/>
      <c r="C2" s="1"/>
      <c r="D2" s="1"/>
      <c r="E2" s="1"/>
      <c r="F2" s="1"/>
      <c r="G2" s="1"/>
      <c r="H2" s="1"/>
    </row>
    <row r="3" spans="1:12" ht="43.5" customHeight="1" thickBot="1">
      <c r="A3" s="124" t="s">
        <v>0</v>
      </c>
      <c r="B3" s="125" t="s">
        <v>54</v>
      </c>
      <c r="C3" s="125" t="s">
        <v>75</v>
      </c>
      <c r="D3" s="125" t="s">
        <v>33</v>
      </c>
      <c r="E3" s="125" t="s">
        <v>76</v>
      </c>
      <c r="F3" s="125" t="s">
        <v>77</v>
      </c>
      <c r="G3" s="125" t="s">
        <v>78</v>
      </c>
      <c r="H3" s="126" t="s">
        <v>79</v>
      </c>
      <c r="I3" s="127" t="s">
        <v>80</v>
      </c>
      <c r="J3" s="128" t="s">
        <v>81</v>
      </c>
      <c r="K3" s="129" t="s">
        <v>26</v>
      </c>
      <c r="L3" s="245" t="s">
        <v>178</v>
      </c>
    </row>
    <row r="4" spans="1:12" ht="33" customHeight="1" thickBot="1">
      <c r="A4" s="124"/>
      <c r="B4" s="130"/>
      <c r="C4" s="131"/>
      <c r="D4" s="130"/>
      <c r="E4" s="130"/>
      <c r="F4" s="130"/>
      <c r="G4" s="130"/>
      <c r="H4" s="126" t="s">
        <v>43</v>
      </c>
      <c r="I4" s="126" t="s">
        <v>43</v>
      </c>
      <c r="J4" s="126"/>
      <c r="K4" s="248"/>
      <c r="L4" s="241"/>
    </row>
    <row r="5" spans="1:12" s="11" customFormat="1" ht="15.75" customHeight="1">
      <c r="A5" s="132" t="s">
        <v>67</v>
      </c>
      <c r="B5" s="132" t="s">
        <v>68</v>
      </c>
      <c r="C5" s="24" t="s">
        <v>68</v>
      </c>
      <c r="D5" s="18" t="s">
        <v>68</v>
      </c>
      <c r="E5" s="133" t="s">
        <v>68</v>
      </c>
      <c r="F5" s="134" t="s">
        <v>68</v>
      </c>
      <c r="G5" s="134" t="s">
        <v>68</v>
      </c>
      <c r="H5" s="135">
        <v>827578.44</v>
      </c>
      <c r="I5" s="136" t="s">
        <v>49</v>
      </c>
      <c r="J5" s="137">
        <v>162078.345</v>
      </c>
      <c r="K5" s="249">
        <v>27876.608036550002</v>
      </c>
      <c r="L5" s="242">
        <f>H5*2+J5</f>
        <v>1817235.2249999999</v>
      </c>
    </row>
    <row r="6" spans="1:12" s="11" customFormat="1" ht="15.75" customHeight="1">
      <c r="A6" s="230" t="s">
        <v>8</v>
      </c>
      <c r="B6" s="12">
        <v>38618</v>
      </c>
      <c r="C6" s="13">
        <v>0.125</v>
      </c>
      <c r="D6" s="14" t="s">
        <v>34</v>
      </c>
      <c r="E6" s="15">
        <v>1.3350000000000001E-2</v>
      </c>
      <c r="F6" s="16">
        <v>1.532E-2</v>
      </c>
      <c r="G6" s="16">
        <v>1.575E-2</v>
      </c>
      <c r="H6" s="17">
        <v>671229</v>
      </c>
      <c r="I6" s="18" t="s">
        <v>49</v>
      </c>
      <c r="J6" s="19">
        <v>83903.625</v>
      </c>
      <c r="K6" s="247">
        <v>21975.19842375</v>
      </c>
      <c r="L6" s="242"/>
    </row>
    <row r="7" spans="1:12" s="11" customFormat="1" ht="15.75" customHeight="1">
      <c r="A7" s="230" t="s">
        <v>9</v>
      </c>
      <c r="B7" s="20">
        <v>38353</v>
      </c>
      <c r="C7" s="13">
        <v>0.5</v>
      </c>
      <c r="D7" s="14" t="s">
        <v>34</v>
      </c>
      <c r="E7" s="15">
        <v>1.3350000000000001E-2</v>
      </c>
      <c r="F7" s="16">
        <v>1.532E-2</v>
      </c>
      <c r="G7" s="16">
        <v>1.575E-2</v>
      </c>
      <c r="H7" s="17">
        <v>156349.44</v>
      </c>
      <c r="I7" s="18" t="s">
        <v>49</v>
      </c>
      <c r="J7" s="19">
        <v>78174.720000000001</v>
      </c>
      <c r="K7" s="247">
        <v>5901.4096128000001</v>
      </c>
      <c r="L7" s="242"/>
    </row>
    <row r="8" spans="1:12" s="11" customFormat="1" ht="32.25" customHeight="1">
      <c r="A8" s="237" t="s">
        <v>71</v>
      </c>
      <c r="B8" s="20">
        <v>38626</v>
      </c>
      <c r="C8" s="13">
        <v>0.125</v>
      </c>
      <c r="D8" s="14" t="s">
        <v>34</v>
      </c>
      <c r="E8" s="15">
        <v>1.3350000000000001E-2</v>
      </c>
      <c r="F8" s="16">
        <v>1.532E-2</v>
      </c>
      <c r="G8" s="16">
        <v>1.575E-2</v>
      </c>
      <c r="H8" s="17">
        <v>0</v>
      </c>
      <c r="I8" s="18" t="s">
        <v>49</v>
      </c>
      <c r="J8" s="19">
        <v>0</v>
      </c>
      <c r="K8" s="247">
        <v>0</v>
      </c>
      <c r="L8" s="242"/>
    </row>
    <row r="9" spans="1:12" s="11" customFormat="1" ht="15.75" customHeight="1" thickBot="1">
      <c r="A9" s="21" t="s">
        <v>74</v>
      </c>
      <c r="B9" s="21"/>
      <c r="C9" s="21"/>
      <c r="D9" s="21"/>
      <c r="E9" s="199"/>
      <c r="F9" s="199"/>
      <c r="G9" s="199"/>
      <c r="H9" s="21"/>
      <c r="I9" s="21"/>
      <c r="J9" s="21"/>
      <c r="K9" s="250">
        <v>27876.608036550002</v>
      </c>
      <c r="L9" s="244"/>
    </row>
    <row r="12" spans="1:12">
      <c r="K12" s="11" t="s">
        <v>68</v>
      </c>
    </row>
    <row r="13" spans="1:12">
      <c r="K13" s="11" t="s">
        <v>68</v>
      </c>
    </row>
    <row r="14" spans="1:12">
      <c r="K14" s="9" t="s">
        <v>68</v>
      </c>
    </row>
    <row r="25" ht="13.5" customHeight="1"/>
  </sheetData>
  <customSheetViews>
    <customSheetView guid="{79BD26C1-CFC5-4DF6-B35F-C5F18E7B1C41}" scale="60" showPageBreaks="1" fitToPage="1" view="pageBreakPreview">
      <pane xSplit="1" ySplit="4" topLeftCell="B5" activePane="bottomRight" state="frozen"/>
      <selection pane="bottomRight" activeCell="G13" sqref="G13"/>
      <pageMargins left="0.75" right="0.5" top="1" bottom="1" header="0.5" footer="0.5"/>
      <pageSetup scale="69" orientation="landscape" r:id="rId1"/>
      <headerFooter alignWithMargins="0"/>
    </customSheetView>
  </customSheetViews>
  <pageMargins left="0.75" right="0.5" top="1" bottom="1" header="0.5" footer="0.5"/>
  <pageSetup scale="69" orientation="landscape" r:id="rId2"/>
  <headerFooter alignWithMargins="0"/>
</worksheet>
</file>

<file path=xl/worksheets/sheet8.xml><?xml version="1.0" encoding="utf-8"?>
<worksheet xmlns="http://schemas.openxmlformats.org/spreadsheetml/2006/main" xmlns:r="http://schemas.openxmlformats.org/officeDocument/2006/relationships">
  <sheetPr>
    <tabColor rgb="FFFF0000"/>
    <pageSetUpPr fitToPage="1"/>
  </sheetPr>
  <dimension ref="A1:K33"/>
  <sheetViews>
    <sheetView zoomScale="80" zoomScaleNormal="76" workbookViewId="0">
      <pane xSplit="1" ySplit="4" topLeftCell="C5" activePane="bottomRight" state="frozen"/>
      <selection activeCell="I9" sqref="I9"/>
      <selection pane="topRight" activeCell="I9" sqref="I9"/>
      <selection pane="bottomLeft" activeCell="I9" sqref="I9"/>
      <selection pane="bottomRight" activeCell="G6" sqref="G6"/>
    </sheetView>
  </sheetViews>
  <sheetFormatPr defaultColWidth="8.85546875" defaultRowHeight="12.75"/>
  <cols>
    <col min="1" max="1" width="32" style="42" customWidth="1"/>
    <col min="2" max="2" width="12.5703125" style="9" customWidth="1"/>
    <col min="3" max="3" width="14.28515625" style="9" customWidth="1"/>
    <col min="4" max="4" width="14.42578125" style="42" customWidth="1"/>
    <col min="5" max="5" width="16.85546875" style="9" customWidth="1"/>
    <col min="6" max="6" width="16.140625" style="9" customWidth="1"/>
    <col min="7" max="8" width="14.140625" style="9" customWidth="1"/>
    <col min="9" max="9" width="18" style="9" customWidth="1"/>
    <col min="10" max="10" width="14.42578125" style="9" customWidth="1"/>
    <col min="11" max="11" width="12.5703125" style="9" customWidth="1"/>
    <col min="12" max="12" width="8.85546875" style="9" customWidth="1"/>
    <col min="13" max="13" width="11.28515625" style="9" bestFit="1" customWidth="1"/>
    <col min="14" max="14" width="12.28515625" style="9" bestFit="1" customWidth="1"/>
    <col min="15" max="16384" width="8.85546875" style="9"/>
  </cols>
  <sheetData>
    <row r="1" spans="1:11" customFormat="1" ht="18.75" customHeight="1">
      <c r="A1" s="46" t="s">
        <v>114</v>
      </c>
      <c r="C1" s="1"/>
      <c r="D1" s="1"/>
      <c r="E1" s="1"/>
      <c r="F1" s="1"/>
      <c r="G1" s="1"/>
      <c r="H1" s="1"/>
    </row>
    <row r="2" spans="1:11" customFormat="1" ht="18.75" customHeight="1" thickBot="1">
      <c r="A2" s="46"/>
      <c r="C2" s="1"/>
      <c r="D2" s="1"/>
      <c r="E2" s="1"/>
      <c r="F2" s="1"/>
      <c r="G2" s="1"/>
      <c r="H2" s="1"/>
    </row>
    <row r="3" spans="1:11" ht="43.5" customHeight="1" thickBot="1">
      <c r="A3" s="86" t="s">
        <v>0</v>
      </c>
      <c r="B3" s="92" t="s">
        <v>54</v>
      </c>
      <c r="C3" s="92" t="s">
        <v>75</v>
      </c>
      <c r="D3" s="87" t="s">
        <v>33</v>
      </c>
      <c r="E3" s="92" t="s">
        <v>77</v>
      </c>
      <c r="F3" s="87" t="s">
        <v>78</v>
      </c>
      <c r="G3" s="116" t="s">
        <v>79</v>
      </c>
      <c r="H3" s="117" t="s">
        <v>80</v>
      </c>
      <c r="I3" s="118" t="s">
        <v>82</v>
      </c>
      <c r="J3" s="119" t="s">
        <v>26</v>
      </c>
      <c r="K3" s="246" t="s">
        <v>179</v>
      </c>
    </row>
    <row r="4" spans="1:11" ht="33" customHeight="1" thickBot="1">
      <c r="A4" s="86"/>
      <c r="B4" s="120"/>
      <c r="C4" s="121"/>
      <c r="D4" s="122"/>
      <c r="E4" s="120"/>
      <c r="F4" s="122"/>
      <c r="G4" s="116" t="s">
        <v>43</v>
      </c>
      <c r="H4" s="117" t="s">
        <v>43</v>
      </c>
      <c r="I4" s="116"/>
      <c r="J4" s="78"/>
      <c r="K4" s="242"/>
    </row>
    <row r="5" spans="1:11" s="11" customFormat="1" ht="15.75" customHeight="1">
      <c r="A5" s="582" t="s">
        <v>67</v>
      </c>
      <c r="B5" s="583" t="s">
        <v>68</v>
      </c>
      <c r="C5" s="64" t="s">
        <v>68</v>
      </c>
      <c r="D5" s="584" t="s">
        <v>34</v>
      </c>
      <c r="E5" s="585" t="s">
        <v>68</v>
      </c>
      <c r="F5" s="586" t="s">
        <v>68</v>
      </c>
      <c r="G5" s="593">
        <f>SUM(G7:G12)</f>
        <v>9965525.629999999</v>
      </c>
      <c r="H5" s="587" t="s">
        <v>49</v>
      </c>
      <c r="I5" s="267">
        <v>3384007.0016666665</v>
      </c>
      <c r="J5" s="588">
        <v>208800.01593803338</v>
      </c>
      <c r="K5" s="595">
        <f>G5+I5</f>
        <v>13349532.631666666</v>
      </c>
    </row>
    <row r="6" spans="1:11" s="11" customFormat="1" ht="15.75" customHeight="1">
      <c r="A6" s="578"/>
      <c r="B6" s="447"/>
      <c r="C6" s="447"/>
      <c r="D6" s="589"/>
      <c r="E6" s="590"/>
      <c r="F6" s="591"/>
      <c r="G6" s="592">
        <f>SUM(G7:G14)</f>
        <v>10809378.629999999</v>
      </c>
      <c r="H6" s="579"/>
      <c r="I6" s="580"/>
      <c r="J6" s="581"/>
      <c r="K6" s="594">
        <f>G6+I5</f>
        <v>14193385.631666666</v>
      </c>
    </row>
    <row r="7" spans="1:11" ht="15.75" customHeight="1">
      <c r="A7" s="231" t="s">
        <v>9</v>
      </c>
      <c r="B7" s="51">
        <v>38718</v>
      </c>
      <c r="C7" s="52">
        <v>0.5</v>
      </c>
      <c r="D7" s="53" t="s">
        <v>34</v>
      </c>
      <c r="E7" s="26">
        <v>1.532E-2</v>
      </c>
      <c r="F7" s="50">
        <v>1.575E-2</v>
      </c>
      <c r="G7" s="27">
        <v>2082999</v>
      </c>
      <c r="H7" s="54" t="s">
        <v>49</v>
      </c>
      <c r="I7" s="27">
        <v>1041499.5</v>
      </c>
      <c r="J7" s="254">
        <v>48763.006590000005</v>
      </c>
      <c r="K7" s="243"/>
    </row>
    <row r="8" spans="1:11" ht="15.75" customHeight="1">
      <c r="A8" s="231" t="s">
        <v>12</v>
      </c>
      <c r="B8" s="51">
        <v>38869</v>
      </c>
      <c r="C8" s="55">
        <v>1</v>
      </c>
      <c r="D8" s="53" t="s">
        <v>34</v>
      </c>
      <c r="E8" s="26">
        <v>1.532E-2</v>
      </c>
      <c r="F8" s="50">
        <v>1.575E-2</v>
      </c>
      <c r="G8" s="27">
        <v>254725</v>
      </c>
      <c r="H8" s="54" t="s">
        <v>49</v>
      </c>
      <c r="I8" s="27">
        <v>254725</v>
      </c>
      <c r="J8" s="254">
        <v>7914.3057499999995</v>
      </c>
      <c r="K8" s="243"/>
    </row>
    <row r="9" spans="1:11" ht="15.75" customHeight="1">
      <c r="A9" s="231" t="s">
        <v>86</v>
      </c>
      <c r="B9" s="51" t="s">
        <v>87</v>
      </c>
      <c r="C9" s="56">
        <v>0.33333333333333331</v>
      </c>
      <c r="D9" s="53" t="s">
        <v>34</v>
      </c>
      <c r="E9" s="26">
        <v>1.532E-2</v>
      </c>
      <c r="F9" s="50">
        <v>1.575E-2</v>
      </c>
      <c r="G9" s="27">
        <v>3508661.63</v>
      </c>
      <c r="H9" s="54" t="s">
        <v>49</v>
      </c>
      <c r="I9" s="27">
        <v>1169553.8766666665</v>
      </c>
      <c r="J9" s="254">
        <v>73178.986063033328</v>
      </c>
      <c r="K9" s="243"/>
    </row>
    <row r="10" spans="1:11" ht="15.75" customHeight="1">
      <c r="A10" s="231" t="s">
        <v>89</v>
      </c>
      <c r="B10" s="51" t="s">
        <v>90</v>
      </c>
      <c r="C10" s="56">
        <v>0.125</v>
      </c>
      <c r="D10" s="53" t="s">
        <v>34</v>
      </c>
      <c r="E10" s="26">
        <v>1.532E-2</v>
      </c>
      <c r="F10" s="50">
        <v>1.575E-2</v>
      </c>
      <c r="G10" s="27">
        <v>3626122</v>
      </c>
      <c r="H10" s="54" t="s">
        <v>49</v>
      </c>
      <c r="I10" s="27">
        <v>453265.25</v>
      </c>
      <c r="J10" s="254">
        <v>64055.445130000007</v>
      </c>
      <c r="K10" s="243"/>
    </row>
    <row r="11" spans="1:11" ht="15.75" customHeight="1">
      <c r="A11" s="231" t="s">
        <v>14</v>
      </c>
      <c r="B11" s="51" t="s">
        <v>91</v>
      </c>
      <c r="C11" s="56">
        <v>8.3333333333333329E-2</v>
      </c>
      <c r="D11" s="53" t="s">
        <v>34</v>
      </c>
      <c r="E11" s="26">
        <v>1.532E-2</v>
      </c>
      <c r="F11" s="50">
        <v>1.575E-2</v>
      </c>
      <c r="G11" s="27">
        <v>146107</v>
      </c>
      <c r="H11" s="54" t="s">
        <v>49</v>
      </c>
      <c r="I11" s="27">
        <v>12175.583333333332</v>
      </c>
      <c r="J11" s="254">
        <v>2487.7151866666668</v>
      </c>
      <c r="K11" s="243"/>
    </row>
    <row r="12" spans="1:11" ht="15.75" customHeight="1">
      <c r="A12" s="231" t="s">
        <v>92</v>
      </c>
      <c r="B12" s="51" t="s">
        <v>93</v>
      </c>
      <c r="C12" s="56">
        <v>0.29166666666666669</v>
      </c>
      <c r="D12" s="53" t="s">
        <v>34</v>
      </c>
      <c r="E12" s="26">
        <v>1.532E-2</v>
      </c>
      <c r="F12" s="50">
        <v>1.575E-2</v>
      </c>
      <c r="G12" s="27">
        <v>346911</v>
      </c>
      <c r="H12" s="54" t="s">
        <v>49</v>
      </c>
      <c r="I12" s="27">
        <v>101182.375</v>
      </c>
      <c r="J12" s="254">
        <v>7013.962235</v>
      </c>
      <c r="K12" s="243"/>
    </row>
    <row r="13" spans="1:11" ht="15.75" customHeight="1">
      <c r="A13" s="231" t="s">
        <v>16</v>
      </c>
      <c r="B13" s="51">
        <v>38718</v>
      </c>
      <c r="C13" s="56">
        <v>0.41666666666666669</v>
      </c>
      <c r="D13" s="53" t="s">
        <v>34</v>
      </c>
      <c r="E13" s="26">
        <v>1.532E-2</v>
      </c>
      <c r="F13" s="50">
        <v>1.575E-2</v>
      </c>
      <c r="G13" s="519">
        <v>843853</v>
      </c>
      <c r="H13" s="54" t="s">
        <v>49</v>
      </c>
      <c r="I13" s="27">
        <v>351605.41666666669</v>
      </c>
      <c r="J13" s="254">
        <v>5386.5949833333334</v>
      </c>
      <c r="K13" s="243"/>
    </row>
    <row r="14" spans="1:11" ht="15.75" customHeight="1">
      <c r="A14" s="231" t="s">
        <v>17</v>
      </c>
      <c r="B14" s="51" t="s">
        <v>95</v>
      </c>
      <c r="C14" s="52">
        <v>0</v>
      </c>
      <c r="D14" s="53" t="s">
        <v>34</v>
      </c>
      <c r="E14" s="26">
        <v>1.532E-2</v>
      </c>
      <c r="F14" s="50">
        <v>1.575E-2</v>
      </c>
      <c r="G14" s="27">
        <v>0</v>
      </c>
      <c r="H14" s="54" t="s">
        <v>49</v>
      </c>
      <c r="I14" s="27">
        <v>0</v>
      </c>
      <c r="J14" s="255">
        <v>0</v>
      </c>
      <c r="K14" s="243"/>
    </row>
    <row r="15" spans="1:11" ht="27" customHeight="1">
      <c r="A15" s="79" t="s">
        <v>96</v>
      </c>
      <c r="B15" s="51">
        <v>39605</v>
      </c>
      <c r="C15" s="52">
        <v>0.5</v>
      </c>
      <c r="D15" s="53" t="s">
        <v>83</v>
      </c>
      <c r="E15" s="57">
        <v>2.6930100000000001</v>
      </c>
      <c r="F15" s="58">
        <v>2.5986400000000001</v>
      </c>
      <c r="G15" s="59">
        <v>66191.520000000004</v>
      </c>
      <c r="H15" s="54">
        <v>14.36</v>
      </c>
      <c r="I15" s="60" t="s">
        <v>49</v>
      </c>
      <c r="J15" s="256">
        <v>679.82738640000002</v>
      </c>
      <c r="K15" s="258">
        <f>H15*36</f>
        <v>516.96</v>
      </c>
    </row>
    <row r="16" spans="1:11" ht="28.5" customHeight="1">
      <c r="A16" s="79" t="s">
        <v>21</v>
      </c>
      <c r="B16" s="61">
        <v>39605</v>
      </c>
      <c r="C16" s="52">
        <v>0.5</v>
      </c>
      <c r="D16" s="53" t="s">
        <v>83</v>
      </c>
      <c r="E16" s="57">
        <v>2.6930100000000001</v>
      </c>
      <c r="F16" s="58">
        <v>2.5986400000000001</v>
      </c>
      <c r="G16" s="59">
        <v>5600</v>
      </c>
      <c r="H16" s="62">
        <v>28</v>
      </c>
      <c r="I16" s="60" t="s">
        <v>49</v>
      </c>
      <c r="J16" s="256">
        <v>1325.56872</v>
      </c>
      <c r="K16" s="258">
        <f>H16*36</f>
        <v>1008</v>
      </c>
    </row>
    <row r="17" spans="1:11" ht="15.75" customHeight="1" thickBot="1">
      <c r="A17" s="123" t="s">
        <v>74</v>
      </c>
      <c r="B17" s="64"/>
      <c r="C17" s="64"/>
      <c r="D17" s="65"/>
      <c r="E17" s="64"/>
      <c r="F17" s="66"/>
      <c r="G17" s="64"/>
      <c r="H17" s="66"/>
      <c r="I17" s="64"/>
      <c r="J17" s="257">
        <v>210805.41204443338</v>
      </c>
      <c r="K17" s="243"/>
    </row>
    <row r="18" spans="1:11" ht="15.75" thickBot="1">
      <c r="A18" s="77" t="s">
        <v>119</v>
      </c>
      <c r="B18" s="99"/>
      <c r="C18" s="99"/>
      <c r="D18" s="100"/>
      <c r="E18" s="99"/>
      <c r="F18" s="101"/>
      <c r="G18" s="99"/>
      <c r="H18" s="101"/>
      <c r="I18" s="99"/>
      <c r="J18" s="253">
        <f>SUM(J7:J14)</f>
        <v>208800.01593803338</v>
      </c>
      <c r="K18" s="251"/>
    </row>
    <row r="20" spans="1:11">
      <c r="J20" s="11" t="s">
        <v>68</v>
      </c>
    </row>
    <row r="21" spans="1:11">
      <c r="G21" s="271"/>
      <c r="J21" s="520"/>
    </row>
    <row r="22" spans="1:11">
      <c r="G22" s="271"/>
      <c r="I22" s="271"/>
      <c r="J22" s="9" t="s">
        <v>68</v>
      </c>
    </row>
    <row r="33" ht="13.5" customHeight="1"/>
  </sheetData>
  <customSheetViews>
    <customSheetView guid="{79BD26C1-CFC5-4DF6-B35F-C5F18E7B1C41}" scale="80" fitToPage="1">
      <pane xSplit="1" ySplit="4" topLeftCell="C5" activePane="bottomRight" state="frozen"/>
      <selection pane="bottomRight" activeCell="H19" sqref="H19"/>
      <pageMargins left="0.75" right="0.75" top="1" bottom="1" header="0.5" footer="0.5"/>
      <pageSetup scale="67" orientation="landscape" r:id="rId1"/>
      <headerFooter alignWithMargins="0"/>
    </customSheetView>
  </customSheetViews>
  <pageMargins left="0.75" right="0.75" top="1" bottom="1" header="0.5" footer="0.5"/>
  <pageSetup scale="67" orientation="landscape" r:id="rId2"/>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J35"/>
  <sheetViews>
    <sheetView zoomScale="80" zoomScaleNormal="76" workbookViewId="0">
      <pane xSplit="1" ySplit="4" topLeftCell="B5" activePane="bottomRight" state="frozen"/>
      <selection activeCell="I9" sqref="I9"/>
      <selection pane="topRight" activeCell="I9" sqref="I9"/>
      <selection pane="bottomLeft" activeCell="I9" sqref="I9"/>
      <selection pane="bottomRight" activeCell="I9" sqref="I9"/>
    </sheetView>
  </sheetViews>
  <sheetFormatPr defaultColWidth="8.85546875" defaultRowHeight="12.75"/>
  <cols>
    <col min="1" max="1" width="34.85546875" style="42" customWidth="1"/>
    <col min="2" max="2" width="11.28515625" style="9" customWidth="1"/>
    <col min="3" max="3" width="14.7109375" style="9" customWidth="1"/>
    <col min="4" max="4" width="21.7109375" style="9" customWidth="1"/>
    <col min="5" max="5" width="16.85546875" style="9" customWidth="1"/>
    <col min="6" max="6" width="14.140625" style="9" customWidth="1"/>
    <col min="7" max="7" width="14.5703125" style="9" customWidth="1"/>
    <col min="8" max="8" width="16.85546875" style="9" customWidth="1"/>
    <col min="9" max="9" width="13" style="9" customWidth="1"/>
    <col min="10" max="10" width="12.42578125" style="9" customWidth="1"/>
    <col min="11" max="11" width="8.85546875" style="9" customWidth="1"/>
    <col min="12" max="12" width="11.28515625" style="9" bestFit="1" customWidth="1"/>
    <col min="13" max="13" width="12.28515625" style="9" bestFit="1" customWidth="1"/>
    <col min="14" max="16384" width="8.85546875" style="9"/>
  </cols>
  <sheetData>
    <row r="1" spans="1:10" customFormat="1" ht="18.75" customHeight="1">
      <c r="A1" s="46" t="s">
        <v>115</v>
      </c>
      <c r="C1" s="1"/>
      <c r="D1" s="1"/>
      <c r="E1" s="1"/>
      <c r="F1" s="1"/>
      <c r="G1" s="1"/>
      <c r="H1" s="1"/>
    </row>
    <row r="2" spans="1:10" customFormat="1" ht="18.75" customHeight="1" thickBot="1">
      <c r="A2" s="46"/>
      <c r="C2" s="1"/>
      <c r="D2" s="1"/>
      <c r="E2" s="1"/>
      <c r="F2" s="1"/>
      <c r="G2" s="1"/>
      <c r="H2" s="1"/>
    </row>
    <row r="3" spans="1:10" ht="43.5" customHeight="1" thickBot="1">
      <c r="A3" s="92" t="s">
        <v>0</v>
      </c>
      <c r="B3" s="86" t="s">
        <v>54</v>
      </c>
      <c r="C3" s="86" t="s">
        <v>75</v>
      </c>
      <c r="D3" s="86" t="s">
        <v>33</v>
      </c>
      <c r="E3" s="86" t="s">
        <v>78</v>
      </c>
      <c r="F3" s="102" t="s">
        <v>79</v>
      </c>
      <c r="G3" s="103" t="s">
        <v>80</v>
      </c>
      <c r="H3" s="104" t="s">
        <v>107</v>
      </c>
      <c r="I3" s="94" t="s">
        <v>26</v>
      </c>
      <c r="J3" s="245" t="s">
        <v>180</v>
      </c>
    </row>
    <row r="4" spans="1:10" ht="33" customHeight="1" thickBot="1">
      <c r="A4" s="92"/>
      <c r="B4" s="105"/>
      <c r="C4" s="106"/>
      <c r="D4" s="105"/>
      <c r="E4" s="105"/>
      <c r="F4" s="102" t="s">
        <v>43</v>
      </c>
      <c r="G4" s="102" t="s">
        <v>43</v>
      </c>
      <c r="H4" s="102"/>
      <c r="I4" s="67"/>
      <c r="J4" s="10"/>
    </row>
    <row r="5" spans="1:10" s="11" customFormat="1" ht="15.75" customHeight="1">
      <c r="A5" s="107" t="s">
        <v>67</v>
      </c>
      <c r="B5" s="108" t="s">
        <v>68</v>
      </c>
      <c r="C5" s="63" t="s">
        <v>68</v>
      </c>
      <c r="D5" s="69" t="s">
        <v>34</v>
      </c>
      <c r="E5" s="109">
        <v>1.575E-2</v>
      </c>
      <c r="F5" s="110">
        <v>1131618.45</v>
      </c>
      <c r="G5" s="111" t="s">
        <v>49</v>
      </c>
      <c r="H5" s="112">
        <v>614032.73666666658</v>
      </c>
      <c r="I5" s="260">
        <f>SUM(I6:I9)</f>
        <v>13657.976688749999</v>
      </c>
      <c r="J5" s="267">
        <f>H5</f>
        <v>614032.73666666658</v>
      </c>
    </row>
    <row r="6" spans="1:10" ht="15.75" customHeight="1">
      <c r="A6" s="232" t="s">
        <v>9</v>
      </c>
      <c r="B6" s="51">
        <v>39083</v>
      </c>
      <c r="C6" s="52">
        <f>(12-(5/2))/12</f>
        <v>0.79166666666666663</v>
      </c>
      <c r="D6" s="69" t="s">
        <v>34</v>
      </c>
      <c r="E6" s="109">
        <v>1.575E-2</v>
      </c>
      <c r="F6" s="36">
        <v>448095.24</v>
      </c>
      <c r="G6" s="60" t="s">
        <v>49</v>
      </c>
      <c r="H6" s="36">
        <f>F6*C6</f>
        <v>354742.065</v>
      </c>
      <c r="I6" s="261">
        <f>(H6*E6)</f>
        <v>5587.1875237499999</v>
      </c>
      <c r="J6" s="268"/>
    </row>
    <row r="7" spans="1:10" ht="15.75" customHeight="1">
      <c r="A7" s="232" t="s">
        <v>12</v>
      </c>
      <c r="B7" s="51">
        <v>39234</v>
      </c>
      <c r="C7" s="55">
        <v>1</v>
      </c>
      <c r="D7" s="69" t="s">
        <v>34</v>
      </c>
      <c r="E7" s="109">
        <v>1.575E-2</v>
      </c>
      <c r="F7" s="36">
        <v>159884</v>
      </c>
      <c r="G7" s="60" t="s">
        <v>49</v>
      </c>
      <c r="H7" s="36">
        <v>159884</v>
      </c>
      <c r="I7" s="262">
        <v>2518.1730000000002</v>
      </c>
      <c r="J7" s="268"/>
    </row>
    <row r="8" spans="1:10" ht="15.75" customHeight="1">
      <c r="A8" s="232" t="s">
        <v>92</v>
      </c>
      <c r="B8" s="51">
        <v>39083</v>
      </c>
      <c r="C8" s="70">
        <v>0.66666666666666663</v>
      </c>
      <c r="D8" s="69" t="s">
        <v>34</v>
      </c>
      <c r="E8" s="109">
        <v>1.575E-2</v>
      </c>
      <c r="F8" s="36">
        <v>513187.39</v>
      </c>
      <c r="G8" s="60" t="s">
        <v>49</v>
      </c>
      <c r="H8" s="36">
        <v>342124.92666666664</v>
      </c>
      <c r="I8" s="262">
        <v>5388</v>
      </c>
      <c r="J8" s="268"/>
    </row>
    <row r="9" spans="1:10" ht="15.75" customHeight="1">
      <c r="A9" s="232" t="s">
        <v>17</v>
      </c>
      <c r="B9" s="51">
        <v>39083</v>
      </c>
      <c r="C9" s="55">
        <v>1</v>
      </c>
      <c r="D9" s="69" t="s">
        <v>34</v>
      </c>
      <c r="E9" s="109">
        <v>1.575E-2</v>
      </c>
      <c r="F9" s="36">
        <v>10451.82</v>
      </c>
      <c r="G9" s="60" t="s">
        <v>49</v>
      </c>
      <c r="H9" s="36">
        <v>10451.82</v>
      </c>
      <c r="I9" s="262">
        <v>164.616165</v>
      </c>
      <c r="J9" s="268"/>
    </row>
    <row r="10" spans="1:10" ht="28.5" customHeight="1">
      <c r="A10" s="68" t="s">
        <v>96</v>
      </c>
      <c r="B10" s="51">
        <v>39234</v>
      </c>
      <c r="C10" s="52">
        <v>0.25</v>
      </c>
      <c r="D10" s="69" t="s">
        <v>83</v>
      </c>
      <c r="E10" s="109">
        <v>2.5986400000000001</v>
      </c>
      <c r="F10" s="60" t="s">
        <v>49</v>
      </c>
      <c r="G10" s="63">
        <v>92.02</v>
      </c>
      <c r="H10" s="60" t="s">
        <v>49</v>
      </c>
      <c r="I10" s="263">
        <v>717.38055839999993</v>
      </c>
      <c r="J10" s="269">
        <f>G10*12*C10</f>
        <v>276.06</v>
      </c>
    </row>
    <row r="11" spans="1:10" ht="15.75" customHeight="1">
      <c r="A11" s="113" t="s">
        <v>22</v>
      </c>
      <c r="B11" s="61">
        <v>39083</v>
      </c>
      <c r="C11" s="52">
        <v>0.5</v>
      </c>
      <c r="D11" s="69" t="s">
        <v>83</v>
      </c>
      <c r="E11" s="109">
        <v>2.5986400000000001</v>
      </c>
      <c r="F11" s="60" t="s">
        <v>49</v>
      </c>
      <c r="G11" s="63">
        <v>333.78000000000003</v>
      </c>
      <c r="H11" s="60" t="s">
        <v>49</v>
      </c>
      <c r="I11" s="263">
        <v>0</v>
      </c>
      <c r="J11" s="269">
        <f t="shared" ref="J11:J18" si="0">G11*12*C11</f>
        <v>2002.6800000000003</v>
      </c>
    </row>
    <row r="12" spans="1:10" ht="15.75" customHeight="1">
      <c r="A12" s="233" t="s">
        <v>101</v>
      </c>
      <c r="B12" s="71">
        <v>39083</v>
      </c>
      <c r="C12" s="72">
        <v>0.5</v>
      </c>
      <c r="D12" s="73" t="s">
        <v>83</v>
      </c>
      <c r="E12" s="109">
        <v>2.5986400000000001</v>
      </c>
      <c r="F12" s="74" t="s">
        <v>49</v>
      </c>
      <c r="G12" s="64">
        <v>35</v>
      </c>
      <c r="H12" s="74" t="s">
        <v>49</v>
      </c>
      <c r="I12" s="264" t="s">
        <v>49</v>
      </c>
      <c r="J12" s="269">
        <f t="shared" si="0"/>
        <v>210</v>
      </c>
    </row>
    <row r="13" spans="1:10" ht="15.75" customHeight="1">
      <c r="A13" s="233" t="s">
        <v>102</v>
      </c>
      <c r="B13" s="71">
        <v>39083</v>
      </c>
      <c r="C13" s="72">
        <v>0.5</v>
      </c>
      <c r="D13" s="73" t="s">
        <v>83</v>
      </c>
      <c r="E13" s="109">
        <v>2.5986400000000001</v>
      </c>
      <c r="F13" s="74" t="s">
        <v>49</v>
      </c>
      <c r="G13" s="64">
        <v>52.38</v>
      </c>
      <c r="H13" s="74" t="s">
        <v>49</v>
      </c>
      <c r="I13" s="264" t="s">
        <v>49</v>
      </c>
      <c r="J13" s="269">
        <f t="shared" si="0"/>
        <v>314.28000000000003</v>
      </c>
    </row>
    <row r="14" spans="1:10" ht="15.75" customHeight="1">
      <c r="A14" s="233" t="s">
        <v>103</v>
      </c>
      <c r="B14" s="71">
        <v>39083</v>
      </c>
      <c r="C14" s="72">
        <v>0.5</v>
      </c>
      <c r="D14" s="73" t="s">
        <v>83</v>
      </c>
      <c r="E14" s="109">
        <v>2.5986400000000001</v>
      </c>
      <c r="F14" s="74" t="s">
        <v>49</v>
      </c>
      <c r="G14" s="64">
        <v>31.5</v>
      </c>
      <c r="H14" s="74" t="s">
        <v>49</v>
      </c>
      <c r="I14" s="264" t="s">
        <v>49</v>
      </c>
      <c r="J14" s="269">
        <f t="shared" si="0"/>
        <v>189</v>
      </c>
    </row>
    <row r="15" spans="1:10" ht="15.75" customHeight="1">
      <c r="A15" s="233" t="s">
        <v>104</v>
      </c>
      <c r="B15" s="71">
        <v>39083</v>
      </c>
      <c r="C15" s="72">
        <v>0.5</v>
      </c>
      <c r="D15" s="73" t="s">
        <v>83</v>
      </c>
      <c r="E15" s="109">
        <v>2.5986400000000001</v>
      </c>
      <c r="F15" s="74" t="s">
        <v>49</v>
      </c>
      <c r="G15" s="64">
        <v>140</v>
      </c>
      <c r="H15" s="74" t="s">
        <v>49</v>
      </c>
      <c r="I15" s="264" t="s">
        <v>49</v>
      </c>
      <c r="J15" s="269">
        <f t="shared" si="0"/>
        <v>840</v>
      </c>
    </row>
    <row r="16" spans="1:10" ht="15.75" customHeight="1">
      <c r="A16" s="233" t="s">
        <v>105</v>
      </c>
      <c r="B16" s="71">
        <v>39083</v>
      </c>
      <c r="C16" s="72">
        <v>0.5</v>
      </c>
      <c r="D16" s="73" t="s">
        <v>83</v>
      </c>
      <c r="E16" s="109">
        <v>2.5986400000000001</v>
      </c>
      <c r="F16" s="74" t="s">
        <v>49</v>
      </c>
      <c r="G16" s="64">
        <v>37.799999999999997</v>
      </c>
      <c r="H16" s="74" t="s">
        <v>49</v>
      </c>
      <c r="I16" s="264" t="s">
        <v>49</v>
      </c>
      <c r="J16" s="269">
        <f t="shared" si="0"/>
        <v>226.79999999999998</v>
      </c>
    </row>
    <row r="17" spans="1:10" ht="15.75" customHeight="1">
      <c r="A17" s="233" t="s">
        <v>106</v>
      </c>
      <c r="B17" s="71">
        <v>39083</v>
      </c>
      <c r="C17" s="72">
        <v>0.5</v>
      </c>
      <c r="D17" s="73" t="s">
        <v>83</v>
      </c>
      <c r="E17" s="109">
        <v>2.5986400000000001</v>
      </c>
      <c r="F17" s="74" t="s">
        <v>49</v>
      </c>
      <c r="G17" s="64">
        <v>37.1</v>
      </c>
      <c r="H17" s="74" t="s">
        <v>49</v>
      </c>
      <c r="I17" s="264" t="s">
        <v>49</v>
      </c>
      <c r="J17" s="269">
        <f t="shared" si="0"/>
        <v>222.60000000000002</v>
      </c>
    </row>
    <row r="18" spans="1:10" ht="15.75" customHeight="1">
      <c r="A18" s="114" t="s">
        <v>21</v>
      </c>
      <c r="B18" s="71">
        <v>39083</v>
      </c>
      <c r="C18" s="72">
        <v>0.5</v>
      </c>
      <c r="D18" s="73" t="s">
        <v>83</v>
      </c>
      <c r="E18" s="109">
        <v>2.5986400000000001</v>
      </c>
      <c r="F18" s="74" t="s">
        <v>49</v>
      </c>
      <c r="G18" s="64">
        <v>0.49</v>
      </c>
      <c r="H18" s="74" t="s">
        <v>49</v>
      </c>
      <c r="I18" s="265">
        <v>7.6400015999999997</v>
      </c>
      <c r="J18" s="269">
        <f t="shared" si="0"/>
        <v>2.94</v>
      </c>
    </row>
    <row r="19" spans="1:10" ht="15.75" customHeight="1" thickBot="1">
      <c r="A19" s="115" t="s">
        <v>74</v>
      </c>
      <c r="B19" s="75"/>
      <c r="C19" s="75"/>
      <c r="D19" s="76"/>
      <c r="E19" s="76"/>
      <c r="F19" s="75"/>
      <c r="G19" s="75"/>
      <c r="H19" s="75"/>
      <c r="I19" s="266">
        <f>SUM(I6:I18)</f>
        <v>14382.99724875</v>
      </c>
      <c r="J19" s="270"/>
    </row>
    <row r="20" spans="1:10" s="11" customFormat="1" ht="15.75" thickBot="1">
      <c r="A20" s="77" t="s">
        <v>119</v>
      </c>
      <c r="B20" s="99"/>
      <c r="C20" s="99"/>
      <c r="D20" s="100"/>
      <c r="E20" s="99"/>
      <c r="F20" s="101"/>
      <c r="G20" s="99"/>
      <c r="H20" s="101"/>
      <c r="I20" s="259">
        <f>I5</f>
        <v>13657.976688749999</v>
      </c>
      <c r="J20" s="252"/>
    </row>
    <row r="21" spans="1:10">
      <c r="I21" s="35"/>
    </row>
    <row r="22" spans="1:10">
      <c r="I22" s="37" t="s">
        <v>68</v>
      </c>
    </row>
    <row r="23" spans="1:10">
      <c r="I23" s="11" t="s">
        <v>68</v>
      </c>
    </row>
    <row r="24" spans="1:10">
      <c r="I24" s="9" t="s">
        <v>68</v>
      </c>
    </row>
    <row r="35" ht="13.5" customHeight="1"/>
  </sheetData>
  <customSheetViews>
    <customSheetView guid="{79BD26C1-CFC5-4DF6-B35F-C5F18E7B1C41}" scale="80" fitToPage="1">
      <pane xSplit="1" ySplit="4" topLeftCell="B5" activePane="bottomRight" state="frozen"/>
      <selection pane="bottomRight" activeCell="C6" sqref="C6"/>
      <pageMargins left="0.75" right="0.75" top="1" bottom="1" header="0.5" footer="0.5"/>
      <pageSetup scale="71" orientation="landscape" r:id="rId1"/>
      <headerFooter alignWithMargins="0"/>
    </customSheetView>
  </customSheetViews>
  <pageMargins left="0.75" right="0.75" top="1" bottom="1" header="0.5" footer="0.5"/>
  <pageSetup scale="71" orientation="landscape"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Rate Rider Calc</vt:lpstr>
      <vt:lpstr>SSM Summary</vt:lpstr>
      <vt:lpstr>LRAM Summary</vt:lpstr>
      <vt:lpstr>Eligible CDM Programs</vt:lpstr>
      <vt:lpstr>GrossNet kWh_kW Savings</vt:lpstr>
      <vt:lpstr>Carrying Charges</vt:lpstr>
      <vt:lpstr>LRAM 2005</vt:lpstr>
      <vt:lpstr>LRAM 2006</vt:lpstr>
      <vt:lpstr>LRAM 2007</vt:lpstr>
      <vt:lpstr>SSM 2005</vt:lpstr>
      <vt:lpstr>SSM 2006</vt:lpstr>
      <vt:lpstr>SSM 2007</vt:lpstr>
      <vt:lpstr>'LRAM Summary'!Print_Area</vt:lpstr>
      <vt:lpstr>'SSM 2007'!Print_Area</vt:lpstr>
    </vt:vector>
  </TitlesOfParts>
  <Company>Veridian Connections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Zebrowski</dc:creator>
  <cp:lastModifiedBy>Steve Zebrowski</cp:lastModifiedBy>
  <cp:lastPrinted>2009-01-19T15:49:36Z</cp:lastPrinted>
  <dcterms:created xsi:type="dcterms:W3CDTF">2008-10-27T12:38:31Z</dcterms:created>
  <dcterms:modified xsi:type="dcterms:W3CDTF">2009-01-19T16:17:09Z</dcterms:modified>
</cp:coreProperties>
</file>