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65" windowWidth="15180" windowHeight="3990" activeTab="0"/>
  </bookViews>
  <sheets>
    <sheet name="1. Inputs" sheetId="1" r:id="rId1"/>
    <sheet name="2. Revenue Requirement 2009" sheetId="2" r:id="rId2"/>
    <sheet name="3. PILs 2009" sheetId="3" r:id="rId3"/>
    <sheet name="4. Average Assets 2009" sheetId="4" r:id="rId4"/>
  </sheets>
  <externalReferences>
    <externalReference r:id="rId7"/>
    <externalReference r:id="rId8"/>
    <externalReference r:id="rId9"/>
    <externalReference r:id="rId10"/>
  </externalReferences>
  <definedNames>
    <definedName name="contactf">#REF!</definedName>
    <definedName name="histdate">'[1]Financials'!$E$76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_xlnm.Print_Area" localSheetId="0">'1. Inputs'!$A$2:$E$42</definedName>
    <definedName name="_xlnm.Print_Area" localSheetId="1">'2. Revenue Requirement 2009'!$A$1:$D$59</definedName>
    <definedName name="_xlnm.Print_Area" localSheetId="2">'3. PILs 2009'!$A$1:$E$32</definedName>
    <definedName name="_xlnm.Print_Area" localSheetId="3">'4. Average Assets 2009'!$A:$H</definedName>
    <definedName name="print_end">#REF!</definedName>
    <definedName name="SALBENF">#REF!</definedName>
    <definedName name="salreg">#REF!</definedName>
    <definedName name="SALREGF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'[1]Financials'!$A$1</definedName>
    <definedName name="utitliy1">'[3]Financials'!$A$1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<sst xmlns="http://schemas.openxmlformats.org/spreadsheetml/2006/main" count="210" uniqueCount="137">
  <si>
    <t>Grossed up PILs</t>
  </si>
  <si>
    <t>CCA</t>
  </si>
  <si>
    <t>Opening UCC</t>
  </si>
  <si>
    <t>Closing UCC</t>
  </si>
  <si>
    <t>Smart Meter Costs</t>
  </si>
  <si>
    <t>2008 EDR Data Information</t>
  </si>
  <si>
    <r>
      <t>Deemed Equity</t>
    </r>
    <r>
      <rPr>
        <sz val="10"/>
        <rFont val="Arial"/>
        <family val="0"/>
      </rPr>
      <t xml:space="preserve"> </t>
    </r>
  </si>
  <si>
    <t>Weighted Average Cost of Capital</t>
  </si>
  <si>
    <t>2009 Tax Rate</t>
  </si>
  <si>
    <r>
      <t>Corporate Income Tax Rate</t>
    </r>
    <r>
      <rPr>
        <sz val="10"/>
        <rFont val="Arial"/>
        <family val="0"/>
      </rPr>
      <t xml:space="preserve"> </t>
    </r>
  </si>
  <si>
    <t xml:space="preserve"> to 31-Dec-07</t>
  </si>
  <si>
    <t xml:space="preserve"> to 31-Dec-08</t>
  </si>
  <si>
    <t xml:space="preserve"> to 31-Dec-09</t>
  </si>
  <si>
    <t>Smart meter including installation</t>
  </si>
  <si>
    <t>Tools and Equipment (Work force management)</t>
  </si>
  <si>
    <t>Computer Hardware Costs</t>
  </si>
  <si>
    <t>Computer Software</t>
  </si>
  <si>
    <t>Total  Capital Costs</t>
  </si>
  <si>
    <t>LDC Amortization Policy:</t>
  </si>
  <si>
    <t>Smart Meter Amortization Rate</t>
  </si>
  <si>
    <t>Years</t>
  </si>
  <si>
    <t>Computer Hardware Amortization Rate</t>
  </si>
  <si>
    <t>Computer Software Amortization Rate</t>
  </si>
  <si>
    <t>Operating Expense Data:</t>
  </si>
  <si>
    <t>Incremental OM&amp;A Expenses</t>
  </si>
  <si>
    <t>Total Incremental Operating Expense</t>
  </si>
  <si>
    <t>Smart Meter Revenue Requirement Calculation 2009</t>
  </si>
  <si>
    <t>Average Asset Values</t>
  </si>
  <si>
    <t>Net Fixed Assets Smart Meters</t>
  </si>
  <si>
    <t>Net Fixed Assets Tools and Equipment</t>
  </si>
  <si>
    <t>Net Fixed Assets Computer Hardware</t>
  </si>
  <si>
    <t>Net Fixed Assets Computer Software</t>
  </si>
  <si>
    <t>Total Net Fixed Assets</t>
  </si>
  <si>
    <t>Working Capital</t>
  </si>
  <si>
    <t>Operation Expense</t>
  </si>
  <si>
    <t>Smart Meters included in Rate Base</t>
  </si>
  <si>
    <t>Return on Rate Base</t>
  </si>
  <si>
    <t>Operating Expenses</t>
  </si>
  <si>
    <t>Incremental Operating Expenses</t>
  </si>
  <si>
    <t>Amortization Expenses</t>
  </si>
  <si>
    <t>Amortization Expenses - Tools and equirement</t>
  </si>
  <si>
    <t>Amortization Expenses - Computer Hardware</t>
  </si>
  <si>
    <t>Total Amortization Expenses</t>
  </si>
  <si>
    <t>5. PILs</t>
  </si>
  <si>
    <t>Revenue Requirement Before PILs</t>
  </si>
  <si>
    <t>Calculation of Taxable Income</t>
  </si>
  <si>
    <t>Depreciation Expenses</t>
  </si>
  <si>
    <t>Interest Expense</t>
  </si>
  <si>
    <t>Taxable Income For PILs</t>
  </si>
  <si>
    <t>Revenue Requirement for Smart Meters</t>
  </si>
  <si>
    <t>Net Revenue Requirement for 2009</t>
  </si>
  <si>
    <t>Rate Adder per month per metered customer</t>
  </si>
  <si>
    <t>PILs Calculation 2009</t>
  </si>
  <si>
    <t>INCOME TAX</t>
  </si>
  <si>
    <t>Net Income</t>
  </si>
  <si>
    <t>Amortization</t>
  </si>
  <si>
    <t>CCA - Class 47 (8%) Smart Meters</t>
  </si>
  <si>
    <t>CCA - Class 8 (20%) Tools and Equipment</t>
  </si>
  <si>
    <t>CCA - Class 45 (45%) Computers</t>
  </si>
  <si>
    <t>Change in taxable income</t>
  </si>
  <si>
    <t>Tax Rate</t>
  </si>
  <si>
    <t>Income Taxes Payable</t>
  </si>
  <si>
    <t>ONTARIO CAPITAL TAX</t>
  </si>
  <si>
    <t>Smart Meters</t>
  </si>
  <si>
    <t>Tools and Equipment</t>
  </si>
  <si>
    <t>Computer Hardware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</si>
  <si>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</si>
  <si>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</si>
  <si>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</si>
  <si>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</si>
  <si>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</si>
  <si>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</si>
  <si>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</si>
  <si>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Grossed Up PILs</t>
  </si>
  <si>
    <t>Change in Income Taxes Payable</t>
  </si>
  <si>
    <t>Change in OCT</t>
  </si>
  <si>
    <t>PIL's</t>
  </si>
  <si>
    <t>Smart Meter Average Net Fixed Assets 2009</t>
  </si>
  <si>
    <t>Net Fixed Assets - Smart Meters</t>
  </si>
  <si>
    <t>01-May-07 to 31-Dec-07</t>
  </si>
  <si>
    <t>Opening Capital Investment</t>
  </si>
  <si>
    <t>Capital Investment Year 1</t>
  </si>
  <si>
    <t>Capital Investment Year 2</t>
  </si>
  <si>
    <t>Capital Investment Subsequent Years</t>
  </si>
  <si>
    <t>Closing Capital Investment</t>
  </si>
  <si>
    <t>Opening Accumulated Amortization</t>
  </si>
  <si>
    <t>Amortization Year 1 (15 Years  Straight Line)</t>
  </si>
  <si>
    <t>Amortization Subsequent Years</t>
  </si>
  <si>
    <t>Closing Accumulated Amortization</t>
  </si>
  <si>
    <t>Opening Net Fixed Assets</t>
  </si>
  <si>
    <t>Closing Net Fixed Assets</t>
  </si>
  <si>
    <t>Average Net Fixed Assets</t>
  </si>
  <si>
    <t>Net Fixed Assets - Tools and Equipment</t>
  </si>
  <si>
    <t>Amortization Year 1 (10 Years  Straight Line)</t>
  </si>
  <si>
    <t>Amortization Year 2 (10 Years  Straight Line)</t>
  </si>
  <si>
    <t>Net Fixed Assets - Computer Hardware</t>
  </si>
  <si>
    <t>Amortization Year 1 (5 Years  Straight Line)</t>
  </si>
  <si>
    <t>Amortization Year 2 (5 Years  Straight Line)</t>
  </si>
  <si>
    <t>Net Fixed Assets - Computer Software</t>
  </si>
  <si>
    <t>Total Assets</t>
  </si>
  <si>
    <t>Total Fixed Assets</t>
  </si>
  <si>
    <t>Total Accumulated Amortization</t>
  </si>
  <si>
    <t>For PILs Calculation</t>
  </si>
  <si>
    <t>UCC - Smart Meters</t>
  </si>
  <si>
    <t>CCA Class 47 (8%)</t>
  </si>
  <si>
    <t>Capital Additions</t>
  </si>
  <si>
    <t>UCC Before Half Year Rule</t>
  </si>
  <si>
    <t>Half Year Rule (1/2 Additions - Disposals)</t>
  </si>
  <si>
    <t>Reduced UCC</t>
  </si>
  <si>
    <t>CCA Rate Class  47</t>
  </si>
  <si>
    <t>UCC - Tools and Equipment</t>
  </si>
  <si>
    <t>CCA Class 8 (20%)</t>
  </si>
  <si>
    <t>CCA Rate Class  8</t>
  </si>
  <si>
    <t>UCC - Computer Equipment</t>
  </si>
  <si>
    <t>CCA Class 45 (45%)</t>
  </si>
  <si>
    <t>Capital Additions Hardware</t>
  </si>
  <si>
    <t>Capital Additions Software</t>
  </si>
  <si>
    <r>
      <t>Capital Data:</t>
    </r>
    <r>
      <rPr>
        <i/>
        <sz val="8"/>
        <rFont val="Arial"/>
        <family val="2"/>
      </rPr>
      <t xml:space="preserve"> </t>
    </r>
  </si>
  <si>
    <r>
      <t>Amortization Expenses - Smart Meters</t>
    </r>
    <r>
      <rPr>
        <i/>
        <sz val="8"/>
        <rFont val="Arial"/>
        <family val="2"/>
      </rPr>
      <t xml:space="preserve"> </t>
    </r>
  </si>
  <si>
    <r>
      <t>Amortization Expenses - Computer Software</t>
    </r>
    <r>
      <rPr>
        <i/>
        <sz val="8"/>
        <rFont val="Arial"/>
        <family val="2"/>
      </rPr>
      <t xml:space="preserve"> </t>
    </r>
  </si>
  <si>
    <t>UCC - Computer Software</t>
  </si>
  <si>
    <t>Capital Tax Rate</t>
  </si>
  <si>
    <t>CCA Rate Class  45</t>
  </si>
  <si>
    <t>Average customer #</t>
  </si>
  <si>
    <t>CCA Class 12 (100%)</t>
  </si>
  <si>
    <t>CCA Rate Class  12</t>
  </si>
  <si>
    <t>CCA - Class 12 (100%) Computers Software</t>
  </si>
  <si>
    <t>Third-party long-term debt</t>
  </si>
  <si>
    <t>Deemed long-term debt</t>
  </si>
  <si>
    <t>Short-term debt</t>
  </si>
  <si>
    <t>Third-party long-term debt rate</t>
  </si>
  <si>
    <t>Deemed long-term debt rate</t>
  </si>
  <si>
    <t>Short-term debt rate</t>
  </si>
  <si>
    <t xml:space="preserve">Deemed Equity </t>
  </si>
  <si>
    <t>Return on Equity</t>
  </si>
  <si>
    <t>11.2 % Working Capital</t>
  </si>
  <si>
    <t>Amortization Year 1 (10 Years Straight Line)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</si>
</sst>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\ \ _);\(0\)\ \ "/>
    <numFmt numFmtId="173" formatCode="0.0\ \ _);\(0.0\)\ \ "/>
    <numFmt numFmtId="174" formatCode="0.00%\ \ "/>
    <numFmt numFmtId="175" formatCode="0.000\ \ _);\(0.000\)\ \ "/>
    <numFmt numFmtId="176" formatCode="0%\ \ "/>
    <numFmt numFmtId="177" formatCode="mmm\ d/yy"/>
    <numFmt numFmtId="178" formatCode="0.000%\ \ "/>
    <numFmt numFmtId="179" formatCode="&quot;$&quot;#,##0"/>
    <numFmt numFmtId="180" formatCode="&quot;$&quot;#,##0.00"/>
    <numFmt numFmtId="181" formatCode="&quot;$&quot;#,##0.00000"/>
    <numFmt numFmtId="182" formatCode="_(* #,##0.0_);_(* \(#,##0.0\);_(* &quot;-&quot;??_);_(@_)"/>
    <numFmt numFmtId="183" formatCode="_(* #,##0_);_(* \(#,##0\);_(* &quot;-&quot;??_);_(@_)"/>
    <numFmt numFmtId="184" formatCode="_(&quot;$&quot;* #,##0_);_(&quot;$&quot;* \(#,##0\);_(&quot;$&quot;* &quot;-&quot;??_);_(@_)"/>
    <numFmt numFmtId="185" formatCode="&quot;£ &quot;#,##0.00;[Red]\-&quot;£ &quot;#,##0.00"/>
    <numFmt numFmtId="186" formatCode="#,##0.0"/>
    <numFmt numFmtId="187" formatCode="##\-#"/>
    <numFmt numFmtId="188" formatCode="mm/dd/yyyy"/>
    <numFmt numFmtId="189" formatCode="0\-0"/>
    <numFmt numFmtId="190" formatCode="0.0%"/>
    <numFmt numFmtId="191" formatCode="&quot;$&quot;#,##0.0000"/>
    <numFmt numFmtId="192" formatCode="_(&quot;$&quot;* #,##0.0000_);_(&quot;$&quot;* \(#,##0.0000\);_(&quot;$&quot;* &quot;-&quot;??_);_(@_)"/>
    <numFmt numFmtId="193" formatCode="#,##0.0000"/>
    <numFmt numFmtId="194" formatCode="&quot;$&quot;#,##0.000"/>
    <numFmt numFmtId="195" formatCode="&quot;$&quot;#,##0.0_);\(&quot;$&quot;#,##0.0\)"/>
    <numFmt numFmtId="196" formatCode="0.00000"/>
    <numFmt numFmtId="197" formatCode="0.000000"/>
    <numFmt numFmtId="198" formatCode="_(&quot;$&quot;* #,##0.000000000_);_(&quot;$&quot;* \(#,##0.000000000\);_(&quot;$&quot;* &quot;-&quot;?????????_);_(@_)"/>
    <numFmt numFmtId="199" formatCode="0.0000"/>
    <numFmt numFmtId="200" formatCode="_(&quot;$&quot;* #,##0.0000000_);_(&quot;$&quot;* \(#,##0.0000000\);_(&quot;$&quot;* &quot;-&quot;???????_);_(@_)"/>
    <numFmt numFmtId="201" formatCode="_(&quot;$&quot;* #,##0.00000000_);_(&quot;$&quot;* \(#,##0.00000000\);_(&quot;$&quot;* &quot;-&quot;??????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_);\(#,##0.0000\)"/>
    <numFmt numFmtId="206" formatCode="_-[$$-1009]* #,##0.00_-;\-[$$-1009]* #,##0.00_-;_-[$$-1009]* &quot;-&quot;??_-;_-@_-"/>
    <numFmt numFmtId="207" formatCode="_-&quot;$&quot;* #,##0_-;\-&quot;$&quot;* #,##0_-;_-&quot;$&quot;* &quot;-&quot;??_-;_-@_-"/>
    <numFmt numFmtId="208" formatCode="_-* #,##0_-;\-* #,##0_-;_-* &quot;-&quot;??_-;_-@_-"/>
    <numFmt numFmtId="209" formatCode="[$-F800]dddd\,\ mmmm\ dd\,\ yyyy"/>
    <numFmt numFmtId="210" formatCode="0.000%"/>
    <numFmt numFmtId="211" formatCode="0.000"/>
    <numFmt numFmtId="212" formatCode="0.000_);\(0.000\)"/>
    <numFmt numFmtId="213" formatCode="0_);\(0\)"/>
    <numFmt numFmtId="214" formatCode="_(* #,##0.000_);_(* \(#,##0.000\);_(* &quot;-&quot;???_);_(@_)"/>
    <numFmt numFmtId="215" formatCode="_(* #,##0.0_);_(* \(#,##0.0\);_(* &quot;-&quot;?_);_(@_)"/>
    <numFmt numFmtId="216" formatCode="0.0%\ \ "/>
    <numFmt numFmtId="217" formatCode="&quot;$&quot;#,##0.000_);\(&quot;$&quot;#,##0.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16"/>
      <color indexed="12"/>
      <name val="Algerian"/>
      <family val="5"/>
    </font>
    <font>
      <sz val="16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i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>
      <alignment/>
      <protection/>
    </xf>
    <xf numFmtId="186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1" fillId="0" borderId="0" applyNumberFormat="0" applyFill="0" applyBorder="0" applyAlignment="0" applyProtection="0"/>
    <xf numFmtId="10" fontId="3" fillId="3" borderId="1" applyNumberFormat="0" applyBorder="0" applyAlignment="0" applyProtection="0"/>
    <xf numFmtId="187" fontId="0" fillId="0" borderId="0">
      <alignment/>
      <protection/>
    </xf>
    <xf numFmtId="183" fontId="0" fillId="0" borderId="0">
      <alignment/>
      <protection/>
    </xf>
    <xf numFmtId="185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2" applyNumberFormat="0" applyFont="0" applyBorder="0" applyAlignment="0" applyProtection="0"/>
  </cellStyleXfs>
  <cellXfs count="93">
    <xf numFmtId="0" fontId="0" fillId="0" borderId="0" xfId="0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 horizontal="left" vertical="top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>
      <alignment/>
    </xf>
    <xf numFmtId="0" fontId="9" fillId="4" borderId="0" xfId="0" applyFont="1" applyFill="1" applyAlignment="1" applyProtection="1">
      <alignment horizontal="left"/>
      <protection/>
    </xf>
    <xf numFmtId="0" fontId="3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207" fontId="0" fillId="4" borderId="0" xfId="25" applyNumberFormat="1" applyFill="1" applyAlignment="1" applyProtection="1">
      <alignment/>
      <protection/>
    </xf>
    <xf numFmtId="0" fontId="4" fillId="4" borderId="0" xfId="0" applyFont="1" applyFill="1" applyAlignment="1" applyProtection="1">
      <alignment horizontal="left" indent="1"/>
      <protection/>
    </xf>
    <xf numFmtId="0" fontId="10" fillId="4" borderId="0" xfId="0" applyFont="1" applyFill="1" applyAlignment="1" applyProtection="1">
      <alignment/>
      <protection/>
    </xf>
    <xf numFmtId="10" fontId="0" fillId="5" borderId="0" xfId="38" applyNumberFormat="1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/>
      <protection/>
    </xf>
    <xf numFmtId="10" fontId="0" fillId="4" borderId="0" xfId="38" applyNumberFormat="1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10" fontId="0" fillId="5" borderId="0" xfId="38" applyNumberFormat="1" applyFont="1" applyFill="1" applyAlignment="1" applyProtection="1">
      <alignment/>
      <protection locked="0"/>
    </xf>
    <xf numFmtId="0" fontId="10" fillId="4" borderId="0" xfId="0" applyFont="1" applyFill="1" applyAlignment="1" applyProtection="1">
      <alignment horizontal="left" vertical="top" indent="2"/>
      <protection/>
    </xf>
    <xf numFmtId="0" fontId="0" fillId="4" borderId="0" xfId="0" applyFont="1" applyFill="1" applyAlignment="1" applyProtection="1">
      <alignment horizontal="right"/>
      <protection/>
    </xf>
    <xf numFmtId="15" fontId="0" fillId="4" borderId="0" xfId="0" applyNumberFormat="1" applyFont="1" applyFill="1" applyAlignment="1" applyProtection="1">
      <alignment/>
      <protection/>
    </xf>
    <xf numFmtId="15" fontId="0" fillId="4" borderId="0" xfId="0" applyNumberFormat="1" applyFont="1" applyFill="1" applyAlignment="1" applyProtection="1">
      <alignment horizontal="right"/>
      <protection/>
    </xf>
    <xf numFmtId="42" fontId="0" fillId="4" borderId="0" xfId="0" applyNumberFormat="1" applyFont="1" applyFill="1" applyAlignment="1" applyProtection="1">
      <alignment horizontal="right"/>
      <protection/>
    </xf>
    <xf numFmtId="0" fontId="0" fillId="4" borderId="0" xfId="0" applyFill="1" applyAlignment="1" applyProtection="1">
      <alignment horizontal="left" indent="1"/>
      <protection/>
    </xf>
    <xf numFmtId="42" fontId="0" fillId="5" borderId="0" xfId="25" applyNumberFormat="1" applyFont="1" applyFill="1" applyAlignment="1" applyProtection="1">
      <alignment/>
      <protection/>
    </xf>
    <xf numFmtId="207" fontId="0" fillId="5" borderId="0" xfId="25" applyNumberFormat="1" applyFont="1" applyFill="1" applyAlignment="1" applyProtection="1">
      <alignment horizontal="right"/>
      <protection/>
    </xf>
    <xf numFmtId="207" fontId="0" fillId="5" borderId="0" xfId="25" applyNumberFormat="1" applyFont="1" applyFill="1" applyAlignment="1" applyProtection="1">
      <alignment/>
      <protection/>
    </xf>
    <xf numFmtId="42" fontId="0" fillId="4" borderId="3" xfId="0" applyNumberFormat="1" applyFont="1" applyFill="1" applyBorder="1" applyAlignment="1" applyProtection="1">
      <alignment/>
      <protection/>
    </xf>
    <xf numFmtId="207" fontId="0" fillId="4" borderId="3" xfId="0" applyNumberFormat="1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42" fontId="0" fillId="4" borderId="0" xfId="0" applyNumberFormat="1" applyFont="1" applyFill="1" applyAlignment="1" applyProtection="1">
      <alignment/>
      <protection/>
    </xf>
    <xf numFmtId="42" fontId="0" fillId="5" borderId="0" xfId="21" applyNumberFormat="1" applyFont="1" applyFill="1" applyAlignment="1" applyProtection="1">
      <alignment horizontal="center"/>
      <protection locked="0"/>
    </xf>
    <xf numFmtId="42" fontId="10" fillId="4" borderId="0" xfId="0" applyNumberFormat="1" applyFont="1" applyFill="1" applyAlignment="1" applyProtection="1">
      <alignment/>
      <protection/>
    </xf>
    <xf numFmtId="42" fontId="0" fillId="0" borderId="0" xfId="21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left" indent="1"/>
      <protection/>
    </xf>
    <xf numFmtId="207" fontId="0" fillId="4" borderId="0" xfId="25" applyNumberFormat="1" applyFill="1" applyBorder="1" applyAlignment="1" applyProtection="1">
      <alignment/>
      <protection/>
    </xf>
    <xf numFmtId="207" fontId="0" fillId="4" borderId="3" xfId="25" applyNumberFormat="1" applyFont="1" applyFill="1" applyBorder="1" applyAlignment="1" applyProtection="1">
      <alignment/>
      <protection/>
    </xf>
    <xf numFmtId="0" fontId="11" fillId="4" borderId="0" xfId="0" applyFont="1" applyFill="1" applyAlignment="1" applyProtection="1">
      <alignment/>
      <protection/>
    </xf>
    <xf numFmtId="0" fontId="12" fillId="4" borderId="0" xfId="0" applyFont="1" applyFill="1" applyAlignment="1" applyProtection="1">
      <alignment/>
      <protection/>
    </xf>
    <xf numFmtId="207" fontId="0" fillId="4" borderId="0" xfId="0" applyNumberFormat="1" applyFont="1" applyFill="1" applyBorder="1" applyAlignment="1" applyProtection="1">
      <alignment/>
      <protection/>
    </xf>
    <xf numFmtId="207" fontId="0" fillId="4" borderId="0" xfId="0" applyNumberFormat="1" applyFont="1" applyFill="1" applyAlignment="1" applyProtection="1">
      <alignment/>
      <protection/>
    </xf>
    <xf numFmtId="207" fontId="0" fillId="4" borderId="4" xfId="0" applyNumberFormat="1" applyFont="1" applyFill="1" applyBorder="1" applyAlignment="1" applyProtection="1">
      <alignment/>
      <protection/>
    </xf>
    <xf numFmtId="207" fontId="0" fillId="4" borderId="0" xfId="25" applyNumberFormat="1" applyFont="1" applyFill="1" applyAlignment="1" applyProtection="1">
      <alignment/>
      <protection/>
    </xf>
    <xf numFmtId="190" fontId="0" fillId="4" borderId="0" xfId="38" applyNumberFormat="1" applyFont="1" applyFill="1" applyBorder="1" applyAlignment="1" applyProtection="1">
      <alignment horizontal="center"/>
      <protection/>
    </xf>
    <xf numFmtId="9" fontId="0" fillId="4" borderId="0" xfId="0" applyNumberFormat="1" applyFont="1" applyFill="1" applyAlignment="1" applyProtection="1">
      <alignment/>
      <protection/>
    </xf>
    <xf numFmtId="207" fontId="0" fillId="4" borderId="5" xfId="25" applyNumberFormat="1" applyFont="1" applyFill="1" applyBorder="1" applyAlignment="1" applyProtection="1">
      <alignment/>
      <protection/>
    </xf>
    <xf numFmtId="207" fontId="0" fillId="4" borderId="0" xfId="25" applyNumberFormat="1" applyFont="1" applyFill="1" applyBorder="1" applyAlignment="1" applyProtection="1">
      <alignment/>
      <protection/>
    </xf>
    <xf numFmtId="207" fontId="0" fillId="4" borderId="4" xfId="25" applyNumberFormat="1" applyFont="1" applyFill="1" applyBorder="1" applyAlignment="1" applyProtection="1">
      <alignment/>
      <protection/>
    </xf>
    <xf numFmtId="207" fontId="6" fillId="4" borderId="3" xfId="0" applyNumberFormat="1" applyFont="1" applyFill="1" applyBorder="1" applyAlignment="1" applyProtection="1">
      <alignment/>
      <protection/>
    </xf>
    <xf numFmtId="207" fontId="6" fillId="4" borderId="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/>
    </xf>
    <xf numFmtId="37" fontId="0" fillId="4" borderId="0" xfId="0" applyNumberFormat="1" applyFont="1" applyFill="1" applyAlignment="1">
      <alignment/>
    </xf>
    <xf numFmtId="7" fontId="13" fillId="4" borderId="0" xfId="0" applyNumberFormat="1" applyFont="1" applyFill="1" applyAlignment="1">
      <alignment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37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0" fontId="6" fillId="4" borderId="0" xfId="0" applyFont="1" applyFill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15" fontId="14" fillId="4" borderId="0" xfId="0" applyNumberFormat="1" applyFont="1" applyFill="1" applyAlignment="1" applyProtection="1">
      <alignment horizontal="right"/>
      <protection/>
    </xf>
    <xf numFmtId="207" fontId="14" fillId="4" borderId="0" xfId="0" applyNumberFormat="1" applyFont="1" applyFill="1" applyAlignment="1" applyProtection="1">
      <alignment/>
      <protection/>
    </xf>
    <xf numFmtId="207" fontId="14" fillId="4" borderId="0" xfId="25" applyNumberFormat="1" applyFont="1" applyFill="1" applyAlignment="1" applyProtection="1">
      <alignment/>
      <protection/>
    </xf>
    <xf numFmtId="207" fontId="14" fillId="4" borderId="4" xfId="0" applyNumberFormat="1" applyFont="1" applyFill="1" applyBorder="1" applyAlignment="1" applyProtection="1">
      <alignment/>
      <protection/>
    </xf>
    <xf numFmtId="10" fontId="14" fillId="4" borderId="0" xfId="0" applyNumberFormat="1" applyFont="1" applyFill="1" applyAlignment="1" applyProtection="1">
      <alignment/>
      <protection/>
    </xf>
    <xf numFmtId="207" fontId="14" fillId="4" borderId="4" xfId="25" applyNumberFormat="1" applyFont="1" applyFill="1" applyBorder="1" applyAlignment="1" applyProtection="1">
      <alignment/>
      <protection/>
    </xf>
    <xf numFmtId="207" fontId="14" fillId="4" borderId="5" xfId="25" applyNumberFormat="1" applyFont="1" applyFill="1" applyBorder="1" applyAlignment="1" applyProtection="1">
      <alignment/>
      <protection/>
    </xf>
    <xf numFmtId="210" fontId="14" fillId="4" borderId="0" xfId="38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/>
      <protection/>
    </xf>
    <xf numFmtId="0" fontId="14" fillId="4" borderId="0" xfId="0" applyFont="1" applyFill="1" applyAlignment="1" applyProtection="1">
      <alignment horizontal="center"/>
      <protection/>
    </xf>
    <xf numFmtId="0" fontId="14" fillId="4" borderId="0" xfId="0" applyFont="1" applyFill="1" applyAlignment="1" applyProtection="1">
      <alignment horizontal="center" wrapText="1"/>
      <protection/>
    </xf>
    <xf numFmtId="10" fontId="14" fillId="4" borderId="0" xfId="0" applyNumberFormat="1" applyFont="1" applyFill="1" applyAlignment="1" applyProtection="1">
      <alignment horizontal="center"/>
      <protection/>
    </xf>
    <xf numFmtId="207" fontId="6" fillId="4" borderId="4" xfId="0" applyNumberFormat="1" applyFont="1" applyFill="1" applyBorder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5" fontId="14" fillId="4" borderId="0" xfId="0" applyNumberFormat="1" applyFont="1" applyFill="1" applyAlignment="1" applyProtection="1">
      <alignment wrapText="1"/>
      <protection/>
    </xf>
    <xf numFmtId="190" fontId="14" fillId="4" borderId="0" xfId="38" applyNumberFormat="1" applyFont="1" applyFill="1" applyAlignment="1" applyProtection="1">
      <alignment/>
      <protection/>
    </xf>
    <xf numFmtId="207" fontId="14" fillId="4" borderId="0" xfId="25" applyNumberFormat="1" applyFont="1" applyFill="1" applyBorder="1" applyAlignment="1" applyProtection="1">
      <alignment/>
      <protection/>
    </xf>
    <xf numFmtId="207" fontId="14" fillId="4" borderId="0" xfId="0" applyNumberFormat="1" applyFont="1" applyFill="1" applyBorder="1" applyAlignment="1" applyProtection="1">
      <alignment/>
      <protection/>
    </xf>
    <xf numFmtId="207" fontId="14" fillId="4" borderId="3" xfId="0" applyNumberFormat="1" applyFont="1" applyFill="1" applyBorder="1" applyAlignment="1" applyProtection="1">
      <alignment/>
      <protection/>
    </xf>
    <xf numFmtId="207" fontId="14" fillId="0" borderId="3" xfId="0" applyNumberFormat="1" applyFont="1" applyFill="1" applyBorder="1" applyAlignment="1" applyProtection="1">
      <alignment/>
      <protection/>
    </xf>
    <xf numFmtId="9" fontId="14" fillId="4" borderId="0" xfId="0" applyNumberFormat="1" applyFont="1" applyFill="1" applyAlignment="1" applyProtection="1">
      <alignment/>
      <protection/>
    </xf>
    <xf numFmtId="15" fontId="14" fillId="4" borderId="0" xfId="0" applyNumberFormat="1" applyFont="1" applyFill="1" applyAlignment="1" applyProtection="1">
      <alignment/>
      <protection/>
    </xf>
    <xf numFmtId="10" fontId="0" fillId="4" borderId="0" xfId="38" applyNumberFormat="1" applyFont="1" applyFill="1" applyBorder="1" applyAlignment="1" applyProtection="1">
      <alignment horizontal="center"/>
      <protection/>
    </xf>
    <xf numFmtId="210" fontId="0" fillId="5" borderId="0" xfId="38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190" fontId="0" fillId="5" borderId="0" xfId="38" applyNumberFormat="1" applyFont="1" applyFill="1" applyAlignment="1" applyProtection="1">
      <alignment horizontal="center"/>
      <protection locked="0"/>
    </xf>
    <xf numFmtId="190" fontId="0" fillId="4" borderId="0" xfId="38" applyNumberFormat="1" applyFont="1" applyFill="1" applyAlignment="1" applyProtection="1">
      <alignment horizontal="center"/>
      <protection/>
    </xf>
    <xf numFmtId="42" fontId="10" fillId="4" borderId="6" xfId="0" applyNumberFormat="1" applyFont="1" applyFill="1" applyBorder="1" applyAlignment="1" applyProtection="1">
      <alignment horizontal="center"/>
      <protection/>
    </xf>
    <xf numFmtId="42" fontId="10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Alignment="1" applyProtection="1">
      <alignment horizontal="left"/>
      <protection/>
    </xf>
    <xf numFmtId="15" fontId="12" fillId="4" borderId="7" xfId="0" applyNumberFormat="1" applyFont="1" applyFill="1" applyBorder="1" applyAlignment="1" applyProtection="1">
      <alignment horizontal="center"/>
      <protection/>
    </xf>
    <xf numFmtId="15" fontId="12" fillId="4" borderId="8" xfId="0" applyNumberFormat="1" applyFont="1" applyFill="1" applyBorder="1" applyAlignment="1" applyProtection="1">
      <alignment horizontal="center"/>
      <protection/>
    </xf>
  </cellXfs>
  <cellStyles count="27">
    <cellStyle name="Normal" xfId="0"/>
    <cellStyle name="$" xfId="15"/>
    <cellStyle name="$.00" xfId="16"/>
    <cellStyle name="$M" xfId="17"/>
    <cellStyle name="$M.00" xfId="18"/>
    <cellStyle name="Comma" xfId="19"/>
    <cellStyle name="Comma [0]" xfId="20"/>
    <cellStyle name="Comma_Smart Meter variance account 2006 to 2008 r3" xfId="21"/>
    <cellStyle name="Comma0" xfId="22"/>
    <cellStyle name="Currency" xfId="23"/>
    <cellStyle name="Currency [0]" xfId="24"/>
    <cellStyle name="Currency_Smart Meter variance account 2006 to 2008 r3" xfId="25"/>
    <cellStyle name="Currency0" xfId="26"/>
    <cellStyle name="Date" xfId="27"/>
    <cellStyle name="Fixed" xfId="28"/>
    <cellStyle name="Followed Hyperlink" xfId="29"/>
    <cellStyle name="Grey" xfId="30"/>
    <cellStyle name="Heading 1" xfId="31"/>
    <cellStyle name="Heading 2" xfId="32"/>
    <cellStyle name="Hyperlink" xfId="33"/>
    <cellStyle name="Input [yellow]" xfId="34"/>
    <cellStyle name="M" xfId="35"/>
    <cellStyle name="M.00" xfId="36"/>
    <cellStyle name="Normal - Style1" xfId="37"/>
    <cellStyle name="Percent" xfId="38"/>
    <cellStyle name="Percent [2]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amar$\My%20Documents\EXCEL\COSA\COSA_Unbundling%20(MEA)\Mea_UCA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ramar$\My%20Documents\EXCEL\RATES\2003\Draft%20to%20Finance%207_30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eichsteller$\My%20Documents\EXCEL\COSA\COSA_Unbundling%20(MEA)\Mea_UCA_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udget\Bud2000\Guidelines\Guidelines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  <row r="76">
          <cell r="E76">
            <v>36161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Ls Fcst&amp;Bud"/>
      <sheetName val="Draft &quot;D&quot;"/>
      <sheetName val="Draft &quot;C&quot;"/>
      <sheetName val="Draft &quot;B&quot;"/>
      <sheetName val="Draft &quot;A&quot;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B"/>
      <sheetName val="HRVEHEQP"/>
      <sheetName val="HRVEHEQP 900"/>
      <sheetName val="ANVEHEQ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view="pageBreakPreview" zoomScale="115" zoomScaleSheetLayoutView="115" workbookViewId="0" topLeftCell="A1">
      <selection activeCell="D19" sqref="D19"/>
    </sheetView>
  </sheetViews>
  <sheetFormatPr defaultColWidth="9.140625" defaultRowHeight="0" customHeight="1" zeroHeight="1"/>
  <cols>
    <col min="1" max="1" width="46.28125" style="1" customWidth="1"/>
    <col min="2" max="2" width="16.7109375" style="1" customWidth="1"/>
    <col min="3" max="4" width="15.421875" style="1" customWidth="1"/>
    <col min="5" max="5" width="13.8515625" style="1" customWidth="1"/>
    <col min="6" max="6" width="13.28125" style="1" bestFit="1" customWidth="1"/>
    <col min="7" max="7" width="13.7109375" style="1" customWidth="1"/>
    <col min="8" max="8" width="13.421875" style="1" bestFit="1" customWidth="1"/>
    <col min="9" max="16384" width="0" style="1" hidden="1" customWidth="1"/>
  </cols>
  <sheetData>
    <row r="1" ht="40.5" customHeight="1"/>
    <row r="2" spans="1:11" s="5" customFormat="1" ht="20.25" customHeight="1">
      <c r="A2" s="2" t="s">
        <v>4</v>
      </c>
      <c r="B2" s="3"/>
      <c r="C2" s="3"/>
      <c r="D2" s="3"/>
      <c r="E2" s="3"/>
      <c r="F2" s="3"/>
      <c r="G2" s="3"/>
      <c r="H2" s="3"/>
      <c r="I2" s="4"/>
      <c r="J2" s="4"/>
      <c r="K2" s="4"/>
    </row>
    <row r="3" spans="1:11" s="5" customFormat="1" ht="18.75" customHeight="1">
      <c r="A3" s="90"/>
      <c r="B3" s="90"/>
      <c r="C3" s="90"/>
      <c r="D3" s="90"/>
      <c r="E3" s="90"/>
      <c r="F3" s="7"/>
      <c r="G3" s="7"/>
      <c r="H3" s="4"/>
      <c r="I3" s="4"/>
      <c r="J3" s="4"/>
      <c r="K3" s="4"/>
    </row>
    <row r="4" spans="1:11" s="5" customFormat="1" ht="18.75" customHeight="1">
      <c r="A4" s="6"/>
      <c r="B4" s="6"/>
      <c r="C4" s="6"/>
      <c r="D4" s="6"/>
      <c r="E4" s="6"/>
      <c r="F4" s="7"/>
      <c r="G4" s="7"/>
      <c r="H4" s="4"/>
      <c r="I4" s="4"/>
      <c r="J4" s="4"/>
      <c r="K4" s="4"/>
    </row>
    <row r="5" spans="1:11" ht="15.75">
      <c r="A5" s="8" t="s">
        <v>5</v>
      </c>
      <c r="B5" s="9"/>
      <c r="C5" s="9"/>
      <c r="D5" s="9"/>
      <c r="E5" s="9"/>
      <c r="F5" s="9"/>
      <c r="G5" s="9"/>
      <c r="H5" s="10"/>
      <c r="I5" s="10"/>
      <c r="J5" s="10"/>
      <c r="K5" s="10"/>
    </row>
    <row r="6" spans="1:11" ht="12.75">
      <c r="A6" s="11" t="s">
        <v>127</v>
      </c>
      <c r="B6" s="86">
        <v>0.548</v>
      </c>
      <c r="C6" s="12"/>
      <c r="D6" s="12"/>
      <c r="E6" s="12"/>
      <c r="F6" s="9"/>
      <c r="G6" s="10"/>
      <c r="H6" s="10"/>
      <c r="I6" s="10"/>
      <c r="J6" s="10"/>
      <c r="K6" s="9"/>
    </row>
    <row r="7" spans="1:11" ht="12.75">
      <c r="A7" s="11" t="s">
        <v>128</v>
      </c>
      <c r="B7" s="86">
        <v>0.012</v>
      </c>
      <c r="C7" s="12"/>
      <c r="D7" s="12"/>
      <c r="E7" s="12"/>
      <c r="F7" s="9"/>
      <c r="G7" s="10"/>
      <c r="H7" s="10"/>
      <c r="I7" s="10"/>
      <c r="J7" s="10"/>
      <c r="K7" s="9"/>
    </row>
    <row r="8" spans="1:11" ht="12.75">
      <c r="A8" s="11" t="s">
        <v>129</v>
      </c>
      <c r="B8" s="86">
        <v>0.04</v>
      </c>
      <c r="C8" s="12"/>
      <c r="D8" s="12"/>
      <c r="E8" s="12"/>
      <c r="F8" s="9"/>
      <c r="G8" s="10"/>
      <c r="H8" s="10"/>
      <c r="I8" s="10"/>
      <c r="J8" s="10"/>
      <c r="K8" s="9"/>
    </row>
    <row r="9" spans="1:11" ht="12.75">
      <c r="A9" s="11" t="s">
        <v>6</v>
      </c>
      <c r="B9" s="87">
        <v>0.4</v>
      </c>
      <c r="C9" s="12"/>
      <c r="D9" s="12"/>
      <c r="E9" s="12"/>
      <c r="F9" s="9"/>
      <c r="G9" s="10"/>
      <c r="H9" s="10"/>
      <c r="I9" s="10"/>
      <c r="J9" s="10"/>
      <c r="K9" s="9"/>
    </row>
    <row r="10" spans="1:11" ht="12.75">
      <c r="A10" s="11" t="s">
        <v>130</v>
      </c>
      <c r="B10" s="13">
        <v>0.057129061522374035</v>
      </c>
      <c r="C10" s="12"/>
      <c r="D10" s="12"/>
      <c r="E10" s="12"/>
      <c r="F10" s="9"/>
      <c r="G10" s="10"/>
      <c r="H10" s="10"/>
      <c r="I10" s="10"/>
      <c r="J10" s="10"/>
      <c r="K10" s="9"/>
    </row>
    <row r="11" spans="1:11" ht="12.75">
      <c r="A11" s="11" t="s">
        <v>131</v>
      </c>
      <c r="B11" s="13">
        <v>0.061</v>
      </c>
      <c r="C11" s="12"/>
      <c r="D11" s="12"/>
      <c r="E11" s="12"/>
      <c r="F11" s="9"/>
      <c r="G11" s="10"/>
      <c r="H11" s="10"/>
      <c r="I11" s="10"/>
      <c r="J11" s="10"/>
      <c r="K11" s="9"/>
    </row>
    <row r="12" spans="1:11" ht="12.75">
      <c r="A12" s="11" t="s">
        <v>132</v>
      </c>
      <c r="B12" s="13">
        <v>0.0447</v>
      </c>
      <c r="C12" s="12"/>
      <c r="D12" s="12"/>
      <c r="E12" s="12"/>
      <c r="F12" s="9"/>
      <c r="G12" s="10"/>
      <c r="H12" s="10"/>
      <c r="I12" s="10"/>
      <c r="J12" s="10"/>
      <c r="K12" s="9"/>
    </row>
    <row r="13" spans="1:11" ht="13.5" customHeight="1">
      <c r="A13" s="11" t="s">
        <v>134</v>
      </c>
      <c r="B13" s="13">
        <v>0.0857</v>
      </c>
      <c r="C13" s="12"/>
      <c r="D13" s="12"/>
      <c r="E13" s="12"/>
      <c r="F13" s="9"/>
      <c r="G13" s="9"/>
      <c r="H13" s="9"/>
      <c r="I13" s="9"/>
      <c r="J13" s="9"/>
      <c r="K13" s="9"/>
    </row>
    <row r="14" spans="1:11" ht="18" customHeight="1">
      <c r="A14" s="14" t="s">
        <v>7</v>
      </c>
      <c r="B14" s="15">
        <f>+(B6*B10)+(B7*B11)+(B8*B12)+(B9*B13)</f>
        <v>0.06810672571426096</v>
      </c>
      <c r="C14" s="16"/>
      <c r="D14" s="16"/>
      <c r="E14" s="16"/>
      <c r="F14" s="9"/>
      <c r="G14" s="9"/>
      <c r="H14" s="9"/>
      <c r="I14" s="9"/>
      <c r="J14" s="9"/>
      <c r="K14" s="9"/>
    </row>
    <row r="15" spans="1:11" ht="18" customHeight="1">
      <c r="A15" s="14"/>
      <c r="B15" s="15"/>
      <c r="C15" s="16"/>
      <c r="D15" s="16"/>
      <c r="E15" s="16"/>
      <c r="F15" s="9"/>
      <c r="G15" s="9"/>
      <c r="H15" s="9"/>
      <c r="I15" s="9"/>
      <c r="J15" s="9"/>
      <c r="K15" s="9"/>
    </row>
    <row r="16" spans="1:11" ht="12.75">
      <c r="A16" s="17" t="s">
        <v>8</v>
      </c>
      <c r="B16" s="16"/>
      <c r="C16" s="16"/>
      <c r="D16" s="16"/>
      <c r="E16" s="16"/>
      <c r="F16" s="9"/>
      <c r="G16" s="9"/>
      <c r="H16" s="9"/>
      <c r="I16" s="9"/>
      <c r="J16" s="9"/>
      <c r="K16" s="9"/>
    </row>
    <row r="17" spans="1:11" ht="12.75">
      <c r="A17" s="11" t="s">
        <v>9</v>
      </c>
      <c r="B17" s="18">
        <v>0.33</v>
      </c>
      <c r="C17" s="12"/>
      <c r="D17" s="12"/>
      <c r="E17" s="12"/>
      <c r="F17" s="9"/>
      <c r="G17" s="9"/>
      <c r="H17" s="9"/>
      <c r="I17" s="9"/>
      <c r="J17" s="9"/>
      <c r="K17" s="9"/>
    </row>
    <row r="18" spans="1:11" ht="12.75">
      <c r="A18" s="11" t="s">
        <v>121</v>
      </c>
      <c r="B18" s="84">
        <v>0.00225</v>
      </c>
      <c r="C18" s="12"/>
      <c r="D18" s="12"/>
      <c r="E18" s="12"/>
      <c r="F18" s="9"/>
      <c r="G18" s="9"/>
      <c r="H18" s="9"/>
      <c r="I18" s="9"/>
      <c r="J18" s="9"/>
      <c r="K18" s="9"/>
    </row>
    <row r="19" spans="1:11" ht="12.75">
      <c r="A19" s="19"/>
      <c r="B19" s="16"/>
      <c r="C19" s="16"/>
      <c r="D19" s="20"/>
      <c r="E19" s="16"/>
      <c r="F19" s="9"/>
      <c r="G19" s="9"/>
      <c r="H19" s="9"/>
      <c r="I19" s="9"/>
      <c r="J19" s="9"/>
      <c r="K19" s="9"/>
    </row>
    <row r="20" spans="1:11" ht="12.75">
      <c r="A20" s="9"/>
      <c r="B20" s="21">
        <v>39203</v>
      </c>
      <c r="C20" s="22">
        <v>39448</v>
      </c>
      <c r="D20" s="22">
        <v>39814</v>
      </c>
      <c r="H20" s="9"/>
      <c r="I20" s="9"/>
      <c r="J20" s="9"/>
      <c r="K20" s="9"/>
    </row>
    <row r="21" spans="1:11" ht="15.75">
      <c r="A21" s="8" t="s">
        <v>117</v>
      </c>
      <c r="B21" s="23" t="s">
        <v>10</v>
      </c>
      <c r="C21" s="23" t="s">
        <v>11</v>
      </c>
      <c r="D21" s="23" t="s">
        <v>12</v>
      </c>
      <c r="I21" s="9"/>
      <c r="J21" s="9"/>
      <c r="K21" s="9"/>
    </row>
    <row r="22" spans="1:11" ht="12.75">
      <c r="A22" s="24" t="s">
        <v>13</v>
      </c>
      <c r="B22" s="25"/>
      <c r="C22" s="26">
        <v>83999051.00000001</v>
      </c>
      <c r="D22" s="26">
        <v>83999051.00000001</v>
      </c>
      <c r="I22" s="9"/>
      <c r="J22" s="9"/>
      <c r="K22" s="9"/>
    </row>
    <row r="23" spans="1:11" ht="12.75">
      <c r="A23" s="24" t="s">
        <v>14</v>
      </c>
      <c r="B23" s="25"/>
      <c r="C23" s="27">
        <v>0</v>
      </c>
      <c r="D23" s="27">
        <v>0</v>
      </c>
      <c r="I23" s="9"/>
      <c r="J23" s="9"/>
      <c r="K23" s="9"/>
    </row>
    <row r="24" spans="1:11" ht="12.75">
      <c r="A24" s="24" t="s">
        <v>15</v>
      </c>
      <c r="B24" s="25"/>
      <c r="C24" s="27">
        <v>0</v>
      </c>
      <c r="D24" s="27">
        <v>0</v>
      </c>
      <c r="I24" s="9"/>
      <c r="J24" s="9"/>
      <c r="K24" s="9"/>
    </row>
    <row r="25" spans="1:11" ht="12.75">
      <c r="A25" s="24" t="s">
        <v>16</v>
      </c>
      <c r="B25" s="25"/>
      <c r="C25" s="27">
        <v>7989820</v>
      </c>
      <c r="D25" s="27">
        <v>7989820</v>
      </c>
      <c r="I25" s="9"/>
      <c r="J25" s="9"/>
      <c r="K25" s="9"/>
    </row>
    <row r="26" spans="1:11" ht="13.5" thickBot="1">
      <c r="A26" s="9" t="s">
        <v>17</v>
      </c>
      <c r="B26" s="28">
        <f>SUM(B22:B25)</f>
        <v>0</v>
      </c>
      <c r="C26" s="29">
        <f>SUM(C22:C25)</f>
        <v>91988871.00000001</v>
      </c>
      <c r="D26" s="29">
        <f>SUM(D22:D25)</f>
        <v>91988871.00000001</v>
      </c>
      <c r="E26" s="30"/>
      <c r="I26" s="9"/>
      <c r="J26" s="9"/>
      <c r="K26" s="9"/>
    </row>
    <row r="27" spans="1:11" ht="12.75">
      <c r="A27" s="9"/>
      <c r="B27" s="88"/>
      <c r="C27" s="88"/>
      <c r="D27" s="88"/>
      <c r="E27" s="89"/>
      <c r="F27" s="31"/>
      <c r="G27" s="31"/>
      <c r="H27" s="9"/>
      <c r="I27" s="9"/>
      <c r="J27" s="9"/>
      <c r="K27" s="9"/>
    </row>
    <row r="28" spans="1:11" ht="15.75">
      <c r="A28" s="8" t="s">
        <v>18</v>
      </c>
      <c r="B28" s="32"/>
      <c r="C28" s="32"/>
      <c r="D28" s="32"/>
      <c r="E28" s="32"/>
      <c r="F28" s="31"/>
      <c r="G28" s="31"/>
      <c r="H28" s="9"/>
      <c r="I28" s="9"/>
      <c r="J28" s="9"/>
      <c r="K28" s="9"/>
    </row>
    <row r="29" spans="1:11" ht="12.75">
      <c r="A29" s="24" t="s">
        <v>19</v>
      </c>
      <c r="B29" s="33">
        <v>15</v>
      </c>
      <c r="C29" s="32" t="s">
        <v>20</v>
      </c>
      <c r="D29" s="32"/>
      <c r="E29" s="34"/>
      <c r="F29" s="31"/>
      <c r="G29" s="31"/>
      <c r="H29" s="9"/>
      <c r="I29" s="9"/>
      <c r="J29" s="9"/>
      <c r="K29" s="9"/>
    </row>
    <row r="30" spans="1:11" ht="12.75">
      <c r="A30" s="24" t="s">
        <v>14</v>
      </c>
      <c r="B30" s="33">
        <v>5</v>
      </c>
      <c r="C30" s="32" t="s">
        <v>20</v>
      </c>
      <c r="D30" s="32"/>
      <c r="E30" s="34"/>
      <c r="F30" s="31"/>
      <c r="G30" s="31"/>
      <c r="H30" s="9"/>
      <c r="I30" s="9"/>
      <c r="J30" s="9"/>
      <c r="K30" s="9"/>
    </row>
    <row r="31" spans="1:11" ht="12.75">
      <c r="A31" s="24" t="s">
        <v>21</v>
      </c>
      <c r="B31" s="33">
        <v>5</v>
      </c>
      <c r="C31" s="32" t="s">
        <v>20</v>
      </c>
      <c r="D31" s="32"/>
      <c r="E31" s="34"/>
      <c r="F31" s="31"/>
      <c r="G31" s="31"/>
      <c r="H31" s="9"/>
      <c r="I31" s="9"/>
      <c r="J31" s="9"/>
      <c r="K31" s="9"/>
    </row>
    <row r="32" spans="1:11" ht="12.75">
      <c r="A32" s="24" t="s">
        <v>22</v>
      </c>
      <c r="B32" s="33">
        <v>10</v>
      </c>
      <c r="C32" s="32" t="s">
        <v>20</v>
      </c>
      <c r="D32" s="32"/>
      <c r="E32" s="34"/>
      <c r="F32" s="31"/>
      <c r="G32" s="31"/>
      <c r="H32" s="9"/>
      <c r="I32" s="9"/>
      <c r="J32" s="9"/>
      <c r="K32" s="9"/>
    </row>
    <row r="33" spans="1:11" ht="12.75">
      <c r="A33" s="24"/>
      <c r="B33" s="35"/>
      <c r="C33" s="32"/>
      <c r="D33" s="32"/>
      <c r="E33" s="34"/>
      <c r="F33" s="31"/>
      <c r="G33" s="31"/>
      <c r="H33" s="9"/>
      <c r="I33" s="9"/>
      <c r="J33" s="9"/>
      <c r="K33" s="9"/>
    </row>
    <row r="34" spans="1:11" ht="12.75">
      <c r="A34" s="9"/>
      <c r="B34" s="21">
        <v>39814</v>
      </c>
      <c r="C34" s="34"/>
      <c r="D34" s="34"/>
      <c r="E34" s="31"/>
      <c r="F34" s="31"/>
      <c r="G34" s="31"/>
      <c r="H34" s="9"/>
      <c r="I34" s="9"/>
      <c r="J34" s="9"/>
      <c r="K34" s="9"/>
    </row>
    <row r="35" spans="1:11" ht="15.75">
      <c r="A35" s="8" t="s">
        <v>23</v>
      </c>
      <c r="B35" s="23" t="s">
        <v>12</v>
      </c>
      <c r="C35" s="34"/>
      <c r="D35" s="34"/>
      <c r="E35" s="31"/>
      <c r="G35" s="31"/>
      <c r="I35" s="9"/>
      <c r="J35" s="9"/>
      <c r="K35" s="9"/>
    </row>
    <row r="36" spans="1:11" ht="12.75">
      <c r="A36" s="36" t="s">
        <v>24</v>
      </c>
      <c r="B36" s="27">
        <v>6884912</v>
      </c>
      <c r="C36" s="32"/>
      <c r="D36" s="34"/>
      <c r="E36" s="31"/>
      <c r="G36" s="37"/>
      <c r="I36" s="9"/>
      <c r="J36" s="9"/>
      <c r="K36" s="9"/>
    </row>
    <row r="37" spans="1:11" ht="13.5" thickBot="1">
      <c r="A37" s="24" t="s">
        <v>25</v>
      </c>
      <c r="B37" s="38">
        <f>SUM(B36:B36)</f>
        <v>6884912</v>
      </c>
      <c r="C37" s="34"/>
      <c r="D37" s="34"/>
      <c r="E37" s="31"/>
      <c r="G37" s="37"/>
      <c r="I37" s="9"/>
      <c r="J37" s="9"/>
      <c r="K37" s="9"/>
    </row>
    <row r="38" spans="1:11" ht="12.75">
      <c r="A38" s="9"/>
      <c r="B38" s="16"/>
      <c r="C38" s="16"/>
      <c r="D38" s="16"/>
      <c r="E38" s="16"/>
      <c r="F38" s="9"/>
      <c r="G38" s="9"/>
      <c r="H38" s="9"/>
      <c r="I38" s="9"/>
      <c r="J38" s="9"/>
      <c r="K38" s="9"/>
    </row>
    <row r="39" spans="1:11" ht="12.75">
      <c r="A39" s="9"/>
      <c r="B39" s="16"/>
      <c r="C39" s="16"/>
      <c r="D39" s="16"/>
      <c r="E39" s="16"/>
      <c r="F39" s="9"/>
      <c r="G39" s="9"/>
      <c r="H39" s="9"/>
      <c r="I39" s="9"/>
      <c r="J39" s="9"/>
      <c r="K39" s="9"/>
    </row>
    <row r="40" spans="1:11" ht="12.75">
      <c r="A40" s="9"/>
      <c r="B40" s="16"/>
      <c r="C40" s="16"/>
      <c r="D40" s="16"/>
      <c r="E40" s="16"/>
      <c r="F40" s="9"/>
      <c r="G40" s="9"/>
      <c r="H40" s="9"/>
      <c r="I40" s="9"/>
      <c r="J40" s="9"/>
      <c r="K40" s="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mergeCells count="2">
    <mergeCell ref="B27:E27"/>
    <mergeCell ref="A3:E3"/>
  </mergeCells>
  <printOptions/>
  <pageMargins left="1" right="0.49" top="1.22" bottom="0.33" header="0.5" footer="0.25"/>
  <pageSetup fitToHeight="1" fitToWidth="1" horizontalDpi="600" verticalDpi="600" orientation="portrait" scale="83" r:id="rId1"/>
  <headerFooter alignWithMargins="0">
    <oddHeader>&amp;RFiled:  January 30, 2009
EB-2008-0187
Exhibit B2-1-3
Appendix A
Page 1 of 1
</oddHeader>
  </headerFooter>
  <rowBreaks count="2" manualBreakCount="2">
    <brk id="76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1"/>
  <sheetViews>
    <sheetView view="pageBreakPreview" zoomScaleNormal="60" zoomScaleSheetLayoutView="100" workbookViewId="0" topLeftCell="A1">
      <selection activeCell="B14" sqref="B14"/>
    </sheetView>
  </sheetViews>
  <sheetFormatPr defaultColWidth="9.140625" defaultRowHeight="0" customHeight="1" zeroHeight="1"/>
  <cols>
    <col min="1" max="1" width="73.00390625" style="1" bestFit="1" customWidth="1"/>
    <col min="2" max="3" width="14.00390625" style="1" bestFit="1" customWidth="1"/>
    <col min="4" max="4" width="18.7109375" style="1" customWidth="1"/>
    <col min="5" max="5" width="20.7109375" style="1" hidden="1" customWidth="1"/>
    <col min="6" max="16384" width="0" style="1" hidden="1" customWidth="1"/>
  </cols>
  <sheetData>
    <row r="1" ht="40.5" customHeight="1"/>
    <row r="2" spans="1:5" ht="26.25">
      <c r="A2" s="39" t="s">
        <v>26</v>
      </c>
      <c r="B2" s="9"/>
      <c r="C2" s="9"/>
      <c r="D2" s="9"/>
      <c r="E2" s="9"/>
    </row>
    <row r="3" spans="1:5" ht="13.5" thickBot="1">
      <c r="A3" s="9"/>
      <c r="B3" s="9"/>
      <c r="C3" s="9"/>
      <c r="D3" s="9"/>
      <c r="E3" s="9"/>
    </row>
    <row r="4" spans="1:5" ht="18.75" thickBot="1">
      <c r="A4" s="40" t="s">
        <v>27</v>
      </c>
      <c r="B4" s="91">
        <v>40178</v>
      </c>
      <c r="C4" s="92"/>
      <c r="D4" s="9"/>
      <c r="E4" s="9"/>
    </row>
    <row r="5" spans="1:5" ht="12.75">
      <c r="A5" s="16" t="s">
        <v>28</v>
      </c>
      <c r="B5" s="41">
        <f>+'4. Average Assets 2009'!D19</f>
        <v>118998655.58333336</v>
      </c>
      <c r="C5" s="16"/>
      <c r="D5" s="16"/>
      <c r="E5" s="9"/>
    </row>
    <row r="6" spans="1:5" ht="12.75">
      <c r="A6" s="16" t="s">
        <v>29</v>
      </c>
      <c r="B6" s="41">
        <f>'4. Average Assets 2009'!C35</f>
        <v>0</v>
      </c>
      <c r="C6" s="16"/>
      <c r="D6" s="16"/>
      <c r="E6" s="9"/>
    </row>
    <row r="7" spans="1:5" ht="12.75">
      <c r="A7" s="16" t="s">
        <v>30</v>
      </c>
      <c r="B7" s="41">
        <f>+'4. Average Assets 2009'!C51</f>
        <v>0</v>
      </c>
      <c r="C7" s="42"/>
      <c r="D7" s="16"/>
      <c r="E7" s="9"/>
    </row>
    <row r="8" spans="1:5" ht="12.75">
      <c r="A8" s="16" t="s">
        <v>31</v>
      </c>
      <c r="B8" s="41">
        <f>+'4. Average Assets 2009'!D67</f>
        <v>10986002.5</v>
      </c>
      <c r="C8" s="16"/>
      <c r="D8" s="16"/>
      <c r="E8" s="9"/>
    </row>
    <row r="9" spans="1:5" ht="12.75">
      <c r="A9" s="16" t="s">
        <v>32</v>
      </c>
      <c r="B9" s="43">
        <f>SUM(B5:B8)</f>
        <v>129984658.08333336</v>
      </c>
      <c r="C9" s="42">
        <f>B9</f>
        <v>129984658.08333336</v>
      </c>
      <c r="D9" s="16"/>
      <c r="E9" s="9"/>
    </row>
    <row r="10" spans="1:5" ht="12.75">
      <c r="A10" s="16"/>
      <c r="B10" s="16"/>
      <c r="C10" s="16"/>
      <c r="D10" s="16"/>
      <c r="E10" s="9"/>
    </row>
    <row r="11" spans="1:5" ht="18">
      <c r="A11" s="40" t="s">
        <v>33</v>
      </c>
      <c r="B11" s="16"/>
      <c r="C11" s="16"/>
      <c r="D11" s="16"/>
      <c r="E11" s="9"/>
    </row>
    <row r="12" spans="1:5" ht="12.75">
      <c r="A12" s="16" t="s">
        <v>34</v>
      </c>
      <c r="B12" s="44">
        <f>D31</f>
        <v>6884912</v>
      </c>
      <c r="C12" s="16"/>
      <c r="D12" s="16"/>
      <c r="E12" s="9"/>
    </row>
    <row r="13" spans="1:5" ht="12.75">
      <c r="A13" s="16" t="s">
        <v>135</v>
      </c>
      <c r="B13" s="44">
        <f>B12*0.112</f>
        <v>771110.144</v>
      </c>
      <c r="C13" s="42">
        <f>B13</f>
        <v>771110.144</v>
      </c>
      <c r="D13" s="16"/>
      <c r="E13" s="9"/>
    </row>
    <row r="14" spans="1:5" ht="12.75">
      <c r="A14" s="16"/>
      <c r="B14" s="16"/>
      <c r="C14" s="16"/>
      <c r="D14" s="16"/>
      <c r="E14" s="9"/>
    </row>
    <row r="15" spans="1:5" ht="15.75">
      <c r="A15" s="8" t="s">
        <v>35</v>
      </c>
      <c r="B15" s="16"/>
      <c r="C15" s="43">
        <f>SUM(C7:C13)</f>
        <v>130755768.22733335</v>
      </c>
      <c r="D15" s="16"/>
      <c r="E15" s="9"/>
    </row>
    <row r="16" spans="1:5" ht="12.75">
      <c r="A16" s="16"/>
      <c r="B16" s="16"/>
      <c r="C16" s="16"/>
      <c r="D16" s="16"/>
      <c r="E16" s="9"/>
    </row>
    <row r="17" spans="1:5" ht="18">
      <c r="A17" s="40" t="s">
        <v>36</v>
      </c>
      <c r="B17" s="16"/>
      <c r="C17" s="16"/>
      <c r="D17" s="16"/>
      <c r="E17" s="9"/>
    </row>
    <row r="18" spans="1:5" ht="12.75">
      <c r="A18" s="16" t="s">
        <v>127</v>
      </c>
      <c r="B18" s="45">
        <f>+'1. Inputs'!B6</f>
        <v>0.548</v>
      </c>
      <c r="C18" s="44">
        <f>C15*B18</f>
        <v>71654160.98857868</v>
      </c>
      <c r="D18" s="16"/>
      <c r="E18" s="9"/>
    </row>
    <row r="19" spans="1:5" ht="12.75">
      <c r="A19" s="16" t="s">
        <v>128</v>
      </c>
      <c r="B19" s="45">
        <f>+'1. Inputs'!B7</f>
        <v>0.012</v>
      </c>
      <c r="C19" s="44">
        <f>C15*B19</f>
        <v>1569069.2187280003</v>
      </c>
      <c r="D19" s="16"/>
      <c r="E19" s="9"/>
    </row>
    <row r="20" spans="1:5" ht="12.75">
      <c r="A20" s="16" t="s">
        <v>129</v>
      </c>
      <c r="B20" s="45">
        <f>+'1. Inputs'!B8</f>
        <v>0.04</v>
      </c>
      <c r="C20" s="44">
        <f>C15*B20</f>
        <v>5230230.729093335</v>
      </c>
      <c r="D20" s="16"/>
      <c r="E20" s="9"/>
    </row>
    <row r="21" spans="1:5" ht="12.75">
      <c r="A21" s="16" t="s">
        <v>133</v>
      </c>
      <c r="B21" s="45">
        <f>+'1. Inputs'!B9</f>
        <v>0.4</v>
      </c>
      <c r="C21" s="44">
        <f>C15*B21</f>
        <v>52302307.29093334</v>
      </c>
      <c r="D21" s="16"/>
      <c r="E21" s="9"/>
    </row>
    <row r="22" spans="1:5" ht="12.75">
      <c r="A22" s="16"/>
      <c r="B22" s="46"/>
      <c r="C22" s="43">
        <f>SUM(C18:C21)</f>
        <v>130755768.22733335</v>
      </c>
      <c r="D22" s="16"/>
      <c r="E22" s="9"/>
    </row>
    <row r="23" spans="1:5" ht="12.75">
      <c r="A23" s="16"/>
      <c r="B23" s="46"/>
      <c r="C23" s="16"/>
      <c r="D23" s="16"/>
      <c r="E23" s="9"/>
    </row>
    <row r="24" spans="1:5" ht="12.75">
      <c r="A24" s="16" t="s">
        <v>130</v>
      </c>
      <c r="B24" s="83">
        <f>+'1. Inputs'!B10</f>
        <v>0.057129061522374035</v>
      </c>
      <c r="C24" s="44">
        <f>C18*B24</f>
        <v>4093534.971450605</v>
      </c>
      <c r="D24" s="16"/>
      <c r="E24" s="9"/>
    </row>
    <row r="25" spans="1:5" ht="12.75">
      <c r="A25" s="16" t="s">
        <v>131</v>
      </c>
      <c r="B25" s="83">
        <f>+'1. Inputs'!B11</f>
        <v>0.061</v>
      </c>
      <c r="C25" s="44">
        <f>C19*B25</f>
        <v>95713.22234240801</v>
      </c>
      <c r="D25" s="16"/>
      <c r="E25" s="9"/>
    </row>
    <row r="26" spans="1:5" ht="12.75">
      <c r="A26" s="16" t="s">
        <v>132</v>
      </c>
      <c r="B26" s="83">
        <f>+'1. Inputs'!B12</f>
        <v>0.0447</v>
      </c>
      <c r="C26" s="44">
        <f>C20*B26</f>
        <v>233791.31359047204</v>
      </c>
      <c r="D26" s="16"/>
      <c r="E26" s="9"/>
    </row>
    <row r="27" spans="1:5" ht="12.75">
      <c r="A27" s="16" t="s">
        <v>134</v>
      </c>
      <c r="B27" s="83">
        <f>+'1. Inputs'!B13</f>
        <v>0.0857</v>
      </c>
      <c r="C27" s="44">
        <f>C21*B27</f>
        <v>4482307.734832987</v>
      </c>
      <c r="D27" s="16"/>
      <c r="E27" s="9"/>
    </row>
    <row r="28" spans="1:5" ht="15.75">
      <c r="A28" s="8" t="s">
        <v>36</v>
      </c>
      <c r="B28" s="16"/>
      <c r="C28" s="43">
        <f>SUM(C24:C27)</f>
        <v>8905347.242216472</v>
      </c>
      <c r="D28" s="42">
        <f>C28</f>
        <v>8905347.242216472</v>
      </c>
      <c r="E28" s="9"/>
    </row>
    <row r="29" spans="1:5" ht="15.75">
      <c r="A29" s="8"/>
      <c r="B29" s="16"/>
      <c r="C29" s="41"/>
      <c r="D29" s="42"/>
      <c r="E29" s="9"/>
    </row>
    <row r="30" spans="1:5" ht="18">
      <c r="A30" s="40" t="s">
        <v>37</v>
      </c>
      <c r="B30" s="16"/>
      <c r="C30" s="41"/>
      <c r="D30" s="42"/>
      <c r="E30" s="9"/>
    </row>
    <row r="31" spans="1:5" ht="12.75">
      <c r="A31" s="36" t="s">
        <v>38</v>
      </c>
      <c r="B31" s="16"/>
      <c r="C31" s="16"/>
      <c r="D31" s="41">
        <f>+'1. Inputs'!B37</f>
        <v>6884912</v>
      </c>
      <c r="E31" s="9"/>
    </row>
    <row r="32" spans="1:5" ht="12.75">
      <c r="A32" s="16"/>
      <c r="B32" s="16"/>
      <c r="C32" s="41"/>
      <c r="D32" s="42"/>
      <c r="E32" s="9"/>
    </row>
    <row r="33" spans="1:5" ht="18">
      <c r="A33" s="40" t="s">
        <v>39</v>
      </c>
      <c r="B33" s="16"/>
      <c r="C33" s="41"/>
      <c r="D33" s="42"/>
      <c r="E33" s="9"/>
    </row>
    <row r="34" spans="1:5" ht="12.75">
      <c r="A34" s="36" t="s">
        <v>118</v>
      </c>
      <c r="B34" s="16"/>
      <c r="C34" s="44">
        <f>+SUM('4. Average Assets 2009'!D13:D14)</f>
        <v>8399905.100000001</v>
      </c>
      <c r="D34" s="16"/>
      <c r="E34" s="9"/>
    </row>
    <row r="35" spans="1:5" ht="12.75">
      <c r="A35" s="36" t="s">
        <v>40</v>
      </c>
      <c r="B35" s="16"/>
      <c r="C35" s="44">
        <f>+SUM('4. Average Assets 2009'!C29:C30)</f>
        <v>0</v>
      </c>
      <c r="D35" s="16"/>
      <c r="E35" s="9"/>
    </row>
    <row r="36" spans="1:5" ht="12.75">
      <c r="A36" s="36" t="s">
        <v>41</v>
      </c>
      <c r="B36" s="16"/>
      <c r="C36" s="44">
        <f>+SUM('4. Average Assets 2009'!C45:C46)</f>
        <v>0</v>
      </c>
      <c r="D36" s="16"/>
      <c r="E36" s="9"/>
    </row>
    <row r="37" spans="1:5" ht="12.75">
      <c r="A37" s="36" t="s">
        <v>119</v>
      </c>
      <c r="B37" s="16"/>
      <c r="C37" s="47">
        <f>+SUM('4. Average Assets 2009'!D61:D62)</f>
        <v>1198473</v>
      </c>
      <c r="D37" s="16"/>
      <c r="E37" s="9"/>
    </row>
    <row r="38" spans="1:5" ht="15.75">
      <c r="A38" s="8" t="s">
        <v>42</v>
      </c>
      <c r="B38" s="16"/>
      <c r="C38" s="16"/>
      <c r="D38" s="48">
        <f>SUM(C34:C37)</f>
        <v>9598378.100000001</v>
      </c>
      <c r="E38" s="12" t="s">
        <v>43</v>
      </c>
    </row>
    <row r="39" spans="1:5" ht="15.75">
      <c r="A39" s="8"/>
      <c r="B39" s="16"/>
      <c r="C39" s="16"/>
      <c r="D39" s="48"/>
      <c r="E39" s="12"/>
    </row>
    <row r="40" spans="1:5" ht="15.75">
      <c r="A40" s="8" t="s">
        <v>44</v>
      </c>
      <c r="B40" s="16"/>
      <c r="C40" s="16"/>
      <c r="D40" s="49">
        <f>SUM(D28,D38,D31)</f>
        <v>25388637.342216473</v>
      </c>
      <c r="E40" s="9"/>
    </row>
    <row r="41" spans="1:5" ht="15.75">
      <c r="A41" s="8"/>
      <c r="B41" s="16"/>
      <c r="C41" s="16"/>
      <c r="D41" s="48"/>
      <c r="E41" s="9"/>
    </row>
    <row r="42" spans="1:5" ht="18">
      <c r="A42" s="40" t="s">
        <v>45</v>
      </c>
      <c r="B42" s="16"/>
      <c r="C42" s="16"/>
      <c r="D42" s="48"/>
      <c r="E42" s="9"/>
    </row>
    <row r="43" spans="1:5" ht="12.75">
      <c r="A43" s="36" t="s">
        <v>38</v>
      </c>
      <c r="B43" s="16"/>
      <c r="C43" s="16"/>
      <c r="D43" s="48">
        <f>-D31</f>
        <v>-6884912</v>
      </c>
      <c r="E43" s="9"/>
    </row>
    <row r="44" spans="1:5" ht="12.75">
      <c r="A44" s="36" t="s">
        <v>46</v>
      </c>
      <c r="B44" s="16"/>
      <c r="C44" s="16"/>
      <c r="D44" s="44">
        <f>-SUM(C34:C37)</f>
        <v>-9598378.100000001</v>
      </c>
      <c r="E44" s="9"/>
    </row>
    <row r="45" spans="1:5" ht="12.75">
      <c r="A45" s="36" t="s">
        <v>47</v>
      </c>
      <c r="B45" s="16"/>
      <c r="C45" s="16"/>
      <c r="D45" s="44">
        <f>-C24-C26-C25</f>
        <v>-4423039.507383485</v>
      </c>
      <c r="E45" s="9"/>
    </row>
    <row r="46" spans="1:5" ht="15.75">
      <c r="A46" s="8" t="s">
        <v>48</v>
      </c>
      <c r="B46" s="16"/>
      <c r="C46" s="16"/>
      <c r="D46" s="43">
        <f>SUM(D40:D45)</f>
        <v>4482307.734832986</v>
      </c>
      <c r="E46" s="12" t="s">
        <v>43</v>
      </c>
    </row>
    <row r="47" spans="1:5" ht="15.75">
      <c r="A47" s="8"/>
      <c r="B47" s="16"/>
      <c r="C47" s="16"/>
      <c r="D47" s="41"/>
      <c r="E47" s="12"/>
    </row>
    <row r="48" spans="1:5" ht="15.75">
      <c r="A48" s="8" t="s">
        <v>0</v>
      </c>
      <c r="B48" s="16"/>
      <c r="C48" s="16"/>
      <c r="D48" s="44">
        <f>+'3. PILs 2009'!D32</f>
        <v>-1447194.015171812</v>
      </c>
      <c r="E48" s="12"/>
    </row>
    <row r="49" spans="1:5" ht="12.75">
      <c r="A49" s="16"/>
      <c r="B49" s="16"/>
      <c r="C49" s="16"/>
      <c r="D49" s="41"/>
      <c r="E49" s="12"/>
    </row>
    <row r="50" spans="1:5" ht="12.75">
      <c r="A50" s="16" t="str">
        <f>A40</f>
        <v>Revenue Requirement Before PILs</v>
      </c>
      <c r="B50" s="16"/>
      <c r="C50" s="16"/>
      <c r="D50" s="41">
        <f>D40</f>
        <v>25388637.342216473</v>
      </c>
      <c r="E50" s="9"/>
    </row>
    <row r="51" spans="1:5" ht="12.75">
      <c r="A51" s="16" t="s">
        <v>0</v>
      </c>
      <c r="B51" s="16"/>
      <c r="C51" s="16"/>
      <c r="D51" s="41">
        <f>D48</f>
        <v>-1447194.015171812</v>
      </c>
      <c r="E51" s="9"/>
    </row>
    <row r="52" spans="1:5" ht="12.75">
      <c r="A52" s="16"/>
      <c r="B52" s="16"/>
      <c r="C52" s="16"/>
      <c r="D52" s="41"/>
      <c r="E52" s="9"/>
    </row>
    <row r="53" spans="1:5" ht="18.75" thickBot="1">
      <c r="A53" s="40" t="s">
        <v>49</v>
      </c>
      <c r="B53" s="16"/>
      <c r="C53" s="16"/>
      <c r="D53" s="50">
        <f>SUM(D50:D51)</f>
        <v>23941443.327044662</v>
      </c>
      <c r="E53" s="9"/>
    </row>
    <row r="54" spans="1:5" ht="18">
      <c r="A54" s="40"/>
      <c r="B54" s="16"/>
      <c r="C54" s="16"/>
      <c r="D54" s="51"/>
      <c r="E54" s="9"/>
    </row>
    <row r="55" spans="1:5" ht="18">
      <c r="A55" s="40" t="s">
        <v>50</v>
      </c>
      <c r="B55" s="16"/>
      <c r="C55" s="16"/>
      <c r="D55" s="51">
        <f>D53+D54</f>
        <v>23941443.327044662</v>
      </c>
      <c r="E55" s="9"/>
    </row>
    <row r="56" spans="2:5" ht="12.75">
      <c r="B56" s="52"/>
      <c r="C56" s="52"/>
      <c r="D56" s="52"/>
      <c r="E56" s="9"/>
    </row>
    <row r="57" spans="1:5" ht="12.75">
      <c r="A57" s="1" t="s">
        <v>123</v>
      </c>
      <c r="B57" s="52"/>
      <c r="C57" s="52"/>
      <c r="D57" s="53">
        <v>1211693</v>
      </c>
      <c r="E57" s="9"/>
    </row>
    <row r="58" spans="1:5" ht="21.75" customHeight="1">
      <c r="A58" s="1" t="s">
        <v>51</v>
      </c>
      <c r="B58" s="52"/>
      <c r="C58" s="52"/>
      <c r="D58" s="54">
        <f>D55/D57/12</f>
        <v>1.6465559157754661</v>
      </c>
      <c r="E58" s="9"/>
    </row>
    <row r="59" spans="2:5" ht="12.75">
      <c r="B59" s="52"/>
      <c r="C59" s="52"/>
      <c r="D59" s="53"/>
      <c r="E59" s="9"/>
    </row>
    <row r="60" spans="2:5" ht="12.75">
      <c r="B60" s="52"/>
      <c r="C60" s="52"/>
      <c r="D60" s="53"/>
      <c r="E60" s="9"/>
    </row>
    <row r="61" spans="2:5" ht="12.75">
      <c r="B61" s="52"/>
      <c r="C61" s="52"/>
      <c r="D61" s="53"/>
      <c r="E61" s="9"/>
    </row>
    <row r="62" spans="1:5" ht="12.75">
      <c r="A62" s="56"/>
      <c r="B62" s="52"/>
      <c r="C62" s="52"/>
      <c r="D62" s="53"/>
      <c r="E62" s="9"/>
    </row>
    <row r="63" spans="1:5" ht="12.75">
      <c r="A63" s="36"/>
      <c r="B63" s="52"/>
      <c r="C63" s="52"/>
      <c r="D63" s="53"/>
      <c r="E63" s="9"/>
    </row>
    <row r="64" spans="1:5" ht="12.75">
      <c r="A64" s="36"/>
      <c r="B64" s="52"/>
      <c r="C64" s="52"/>
      <c r="D64" s="53"/>
      <c r="E64" s="9"/>
    </row>
    <row r="65" spans="1:5" ht="12.75">
      <c r="A65" s="16"/>
      <c r="B65" s="52"/>
      <c r="C65" s="52"/>
      <c r="D65" s="53"/>
      <c r="E65" s="9"/>
    </row>
    <row r="66" spans="2:5" ht="12.75">
      <c r="B66" s="52"/>
      <c r="C66" s="52"/>
      <c r="D66" s="53"/>
      <c r="E66" s="9"/>
    </row>
    <row r="67" spans="4:5" ht="12.75" customHeight="1">
      <c r="D67" s="57"/>
      <c r="E67" s="9"/>
    </row>
    <row r="68" spans="4:5" ht="12.75" customHeight="1">
      <c r="D68" s="57"/>
      <c r="E68" s="9"/>
    </row>
    <row r="69" spans="4:5" ht="12.75" customHeight="1">
      <c r="D69" s="57"/>
      <c r="E69" s="9"/>
    </row>
    <row r="70" spans="4:5" ht="12.75" customHeight="1">
      <c r="D70" s="57"/>
      <c r="E70" s="9"/>
    </row>
    <row r="71" spans="1:5" ht="18">
      <c r="A71" s="55"/>
      <c r="B71" s="52"/>
      <c r="C71" s="52"/>
      <c r="D71" s="53"/>
      <c r="E71" s="9"/>
    </row>
  </sheetData>
  <mergeCells count="1">
    <mergeCell ref="B4:C4"/>
  </mergeCells>
  <printOptions/>
  <pageMargins left="1" right="0.49" top="1.16" bottom="0.33" header="0.5" footer="0.25"/>
  <pageSetup fitToHeight="1" fitToWidth="1" horizontalDpi="600" verticalDpi="600" orientation="portrait" scale="76" r:id="rId1"/>
  <headerFooter alignWithMargins="0">
    <oddHeader>&amp;RHydro Onc Inc.
EB-XXXX-XXXX
Attachment X
</oddHeader>
  </headerFooter>
  <rowBreaks count="2" manualBreakCount="2">
    <brk id="68" max="255" man="1"/>
    <brk id="91" max="255" man="1"/>
  </rowBreaks>
  <colBreaks count="1" manualBreakCount="1">
    <brk id="4" min="1" max="27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view="pageBreakPreview" zoomScaleNormal="60" zoomScaleSheetLayoutView="100" workbookViewId="0" topLeftCell="A1">
      <selection activeCell="D31" sqref="D31"/>
    </sheetView>
  </sheetViews>
  <sheetFormatPr defaultColWidth="9.140625" defaultRowHeight="12.75" customHeight="1" zeroHeight="1"/>
  <cols>
    <col min="1" max="1" width="45.8515625" style="58" customWidth="1"/>
    <col min="2" max="2" width="17.421875" style="58" customWidth="1"/>
    <col min="3" max="3" width="11.7109375" style="58" bestFit="1" customWidth="1"/>
    <col min="4" max="4" width="17.00390625" style="58" customWidth="1"/>
    <col min="5" max="5" width="1.7109375" style="58" customWidth="1"/>
    <col min="6" max="6" width="9.140625" style="58" hidden="1" customWidth="1"/>
    <col min="7" max="16384" width="0" style="58" hidden="1" customWidth="1"/>
  </cols>
  <sheetData>
    <row r="1" ht="40.5" customHeight="1"/>
    <row r="2" spans="1:5" ht="15.75">
      <c r="A2" s="59" t="s">
        <v>52</v>
      </c>
      <c r="B2" s="60"/>
      <c r="C2" s="60"/>
      <c r="D2" s="60"/>
      <c r="E2" s="60"/>
    </row>
    <row r="3" spans="1:5" ht="15">
      <c r="A3" s="60"/>
      <c r="B3" s="60"/>
      <c r="C3" s="60"/>
      <c r="D3" s="60"/>
      <c r="E3" s="60"/>
    </row>
    <row r="4" spans="1:5" ht="15">
      <c r="A4" s="60"/>
      <c r="B4" s="61">
        <v>40178</v>
      </c>
      <c r="C4" s="60"/>
      <c r="D4" s="60"/>
      <c r="E4" s="60"/>
    </row>
    <row r="5" spans="1:5" ht="15.75">
      <c r="A5" s="59" t="s">
        <v>53</v>
      </c>
      <c r="B5" s="60"/>
      <c r="C5" s="60"/>
      <c r="D5" s="60"/>
      <c r="E5" s="60"/>
    </row>
    <row r="6" spans="1:5" ht="15">
      <c r="A6" s="60" t="s">
        <v>54</v>
      </c>
      <c r="B6" s="62">
        <f>+'2. Revenue Requirement 2009'!D46</f>
        <v>4482307.734832986</v>
      </c>
      <c r="C6" s="60"/>
      <c r="D6" s="60"/>
      <c r="E6" s="60"/>
    </row>
    <row r="7" spans="1:5" ht="15">
      <c r="A7" s="60" t="s">
        <v>55</v>
      </c>
      <c r="B7" s="63">
        <f>+'2. Revenue Requirement 2009'!D38</f>
        <v>9598378.100000001</v>
      </c>
      <c r="C7" s="60"/>
      <c r="D7" s="60"/>
      <c r="E7" s="60"/>
    </row>
    <row r="8" spans="1:5" ht="15">
      <c r="A8" s="60" t="s">
        <v>56</v>
      </c>
      <c r="B8" s="63">
        <f>-'4. Average Assets 2009'!D87</f>
        <v>-9811089.1568</v>
      </c>
      <c r="C8" s="60"/>
      <c r="D8" s="60"/>
      <c r="E8" s="60"/>
    </row>
    <row r="9" spans="1:5" ht="15">
      <c r="A9" s="60" t="s">
        <v>57</v>
      </c>
      <c r="B9" s="63">
        <f>-'4. Average Assets 2009'!C99</f>
        <v>0</v>
      </c>
      <c r="C9" s="60"/>
      <c r="D9" s="60"/>
      <c r="E9" s="60"/>
    </row>
    <row r="10" spans="1:5" ht="15">
      <c r="A10" s="60" t="s">
        <v>58</v>
      </c>
      <c r="B10" s="63"/>
      <c r="C10" s="60"/>
      <c r="D10" s="60"/>
      <c r="E10" s="60"/>
    </row>
    <row r="11" spans="1:5" ht="15">
      <c r="A11" s="85" t="s">
        <v>126</v>
      </c>
      <c r="B11" s="63">
        <f>-'4. Average Assets 2009'!D125</f>
        <v>-7989820</v>
      </c>
      <c r="C11" s="60"/>
      <c r="D11" s="60"/>
      <c r="E11" s="60"/>
    </row>
    <row r="12" spans="1:5" ht="15">
      <c r="A12" s="60" t="s">
        <v>59</v>
      </c>
      <c r="B12" s="64">
        <f>SUM(B6:B11)</f>
        <v>-3720223.3219670113</v>
      </c>
      <c r="C12" s="60"/>
      <c r="D12" s="60"/>
      <c r="E12" s="60"/>
    </row>
    <row r="13" spans="1:5" ht="15">
      <c r="A13" s="60" t="s">
        <v>60</v>
      </c>
      <c r="B13" s="65">
        <f>+'1. Inputs'!B17</f>
        <v>0.33</v>
      </c>
      <c r="C13" s="60"/>
      <c r="D13" s="60"/>
      <c r="E13" s="60"/>
    </row>
    <row r="14" spans="1:5" ht="15">
      <c r="A14" s="60" t="s">
        <v>61</v>
      </c>
      <c r="B14" s="66">
        <f>B12*B13</f>
        <v>-1227673.696249114</v>
      </c>
      <c r="C14" s="60"/>
      <c r="D14" s="60"/>
      <c r="E14" s="60"/>
    </row>
    <row r="15" spans="1:5" ht="15">
      <c r="A15" s="60"/>
      <c r="B15" s="60"/>
      <c r="C15" s="60"/>
      <c r="D15" s="60"/>
      <c r="E15" s="60"/>
    </row>
    <row r="16" spans="1:5" ht="15.75">
      <c r="A16" s="59" t="s">
        <v>62</v>
      </c>
      <c r="B16" s="60"/>
      <c r="C16" s="60"/>
      <c r="D16" s="60"/>
      <c r="E16" s="60"/>
    </row>
    <row r="17" spans="1:5" ht="15">
      <c r="A17" s="60" t="s">
        <v>63</v>
      </c>
      <c r="B17" s="63">
        <f>+'4. Average Assets 2009'!D18</f>
        <v>156798228.53333336</v>
      </c>
      <c r="C17" s="60"/>
      <c r="D17" s="60"/>
      <c r="E17" s="60"/>
    </row>
    <row r="18" spans="1:5" ht="15">
      <c r="A18" s="60" t="s">
        <v>64</v>
      </c>
      <c r="B18" s="63">
        <f>'4. Average Assets 2009'!C34</f>
        <v>0</v>
      </c>
      <c r="C18" s="60"/>
      <c r="D18" s="60"/>
      <c r="E18" s="60"/>
    </row>
    <row r="19" spans="1:5" ht="15">
      <c r="A19" s="60" t="s">
        <v>65</v>
      </c>
      <c r="B19" s="63">
        <f>+'4. Average Assets 2009'!C50</f>
        <v>0</v>
      </c>
      <c r="C19" s="60"/>
      <c r="D19" s="60"/>
      <c r="E19" s="60"/>
    </row>
    <row r="20" spans="1:5" ht="15">
      <c r="A20" s="60" t="s">
        <v>16</v>
      </c>
      <c r="B20" s="67">
        <f>+'4. Average Assets 2009'!D66</f>
        <v>14381676</v>
      </c>
      <c r="C20" s="60"/>
      <c r="D20" s="60"/>
      <c r="E20" s="60"/>
    </row>
    <row r="21" spans="1:5" ht="15">
      <c r="A21" s="60" t="s">
        <v>66</v>
      </c>
      <c r="B21" s="62">
        <f>SUM(B17:B20)</f>
        <v>171179904.53333336</v>
      </c>
      <c r="C21" s="60"/>
      <c r="D21" s="60"/>
      <c r="E21" s="60"/>
    </row>
    <row r="22" spans="1:5" ht="15">
      <c r="A22" s="60" t="s">
        <v>67</v>
      </c>
      <c r="B22" s="63">
        <v>0</v>
      </c>
      <c r="C22" s="60"/>
      <c r="D22" s="60"/>
      <c r="E22" s="60"/>
    </row>
    <row r="23" spans="1:5" ht="15">
      <c r="A23" s="60" t="s">
        <v>68</v>
      </c>
      <c r="B23" s="64">
        <f>B21-B22</f>
        <v>171179904.53333336</v>
      </c>
      <c r="C23" s="60"/>
      <c r="D23" s="60"/>
      <c r="E23" s="60"/>
    </row>
    <row r="24" spans="1:5" ht="15">
      <c r="A24" s="60" t="s">
        <v>69</v>
      </c>
      <c r="B24" s="68">
        <v>0.00225</v>
      </c>
      <c r="C24" s="60"/>
      <c r="D24" s="60"/>
      <c r="E24" s="60"/>
    </row>
    <row r="25" spans="1:5" ht="15">
      <c r="A25" s="60" t="s">
        <v>70</v>
      </c>
      <c r="B25" s="66">
        <f>B23*B24</f>
        <v>385154.78520000004</v>
      </c>
      <c r="C25" s="60"/>
      <c r="D25" s="60"/>
      <c r="E25" s="60"/>
    </row>
    <row r="26" spans="1:5" ht="15">
      <c r="A26" s="60"/>
      <c r="B26" s="60"/>
      <c r="C26" s="60"/>
      <c r="D26" s="60"/>
      <c r="E26" s="60"/>
    </row>
    <row r="27" spans="1:5" ht="15">
      <c r="A27" s="60"/>
      <c r="B27" s="60"/>
      <c r="C27" s="60"/>
      <c r="D27" s="60"/>
      <c r="E27" s="60"/>
    </row>
    <row r="28" spans="1:5" ht="15.75">
      <c r="A28" s="69" t="s">
        <v>71</v>
      </c>
      <c r="B28" s="60"/>
      <c r="C28" s="60"/>
      <c r="D28" s="60"/>
      <c r="E28" s="60"/>
    </row>
    <row r="29" spans="1:5" ht="30">
      <c r="A29" s="60"/>
      <c r="B29" s="60" t="s">
        <v>72</v>
      </c>
      <c r="C29" s="70" t="s">
        <v>71</v>
      </c>
      <c r="D29" s="71" t="s">
        <v>73</v>
      </c>
      <c r="E29" s="60"/>
    </row>
    <row r="30" spans="1:5" ht="15">
      <c r="A30" s="60" t="s">
        <v>74</v>
      </c>
      <c r="B30" s="62">
        <f>B14</f>
        <v>-1227673.696249114</v>
      </c>
      <c r="C30" s="72">
        <f>B13</f>
        <v>0.33</v>
      </c>
      <c r="D30" s="63">
        <f>B30/(1-C30)</f>
        <v>-1832348.800371812</v>
      </c>
      <c r="E30" s="60"/>
    </row>
    <row r="31" spans="1:5" ht="15">
      <c r="A31" s="60" t="s">
        <v>75</v>
      </c>
      <c r="B31" s="62">
        <f>B25</f>
        <v>385154.78520000004</v>
      </c>
      <c r="C31" s="60"/>
      <c r="D31" s="63">
        <f>B31</f>
        <v>385154.78520000004</v>
      </c>
      <c r="E31" s="60"/>
    </row>
    <row r="32" spans="1:5" ht="15.75">
      <c r="A32" s="60" t="s">
        <v>76</v>
      </c>
      <c r="B32" s="64">
        <f>SUM(B30:B31)</f>
        <v>-842518.9110491138</v>
      </c>
      <c r="C32" s="60"/>
      <c r="D32" s="73">
        <f>SUM(D30:D31)</f>
        <v>-1447194.015171812</v>
      </c>
      <c r="E32" s="74"/>
    </row>
    <row r="33" ht="13.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/>
    <row r="40" ht="12.75" customHeight="1"/>
  </sheetData>
  <printOptions/>
  <pageMargins left="1" right="0.49" top="1.47" bottom="0.33" header="0.5" footer="0.25"/>
  <pageSetup fitToHeight="1" fitToWidth="1" horizontalDpi="600" verticalDpi="600" orientation="portrait" scale="97" r:id="rId1"/>
  <headerFooter alignWithMargins="0">
    <oddHeader>&amp;RHydro Onc Inc.
EB-XXXX-XXXX
Attachment X
</oddHeader>
  </headerFooter>
  <rowBreaks count="2" manualBreakCount="2">
    <brk id="74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26"/>
  <sheetViews>
    <sheetView view="pageBreakPreview" zoomScale="85" zoomScaleNormal="60" zoomScaleSheetLayoutView="85" workbookViewId="0" topLeftCell="A40">
      <selection activeCell="A63" sqref="A63"/>
    </sheetView>
  </sheetViews>
  <sheetFormatPr defaultColWidth="9.140625" defaultRowHeight="0" customHeight="1" zeroHeight="1"/>
  <cols>
    <col min="1" max="1" width="55.8515625" style="58" customWidth="1"/>
    <col min="2" max="16384" width="20.57421875" style="58" customWidth="1"/>
  </cols>
  <sheetData>
    <row r="1" ht="40.5" customHeight="1"/>
    <row r="2" spans="1:8" ht="15.75">
      <c r="A2" s="59" t="s">
        <v>77</v>
      </c>
      <c r="B2" s="60"/>
      <c r="C2" s="60"/>
      <c r="D2" s="60"/>
      <c r="E2" s="60"/>
      <c r="F2" s="60"/>
      <c r="G2" s="60"/>
      <c r="H2" s="60"/>
    </row>
    <row r="3" spans="1:8" ht="15">
      <c r="A3" s="60"/>
      <c r="B3" s="60"/>
      <c r="C3" s="60"/>
      <c r="D3" s="60"/>
      <c r="E3" s="60"/>
      <c r="F3" s="60"/>
      <c r="G3" s="60"/>
      <c r="H3" s="60"/>
    </row>
    <row r="4" spans="1:8" ht="30.75">
      <c r="A4" s="59" t="s">
        <v>78</v>
      </c>
      <c r="B4" s="75" t="s">
        <v>79</v>
      </c>
      <c r="C4" s="61">
        <v>39813</v>
      </c>
      <c r="D4" s="61">
        <v>40178</v>
      </c>
      <c r="E4" s="60"/>
      <c r="F4" s="60"/>
      <c r="G4" s="60"/>
      <c r="H4" s="76"/>
    </row>
    <row r="5" spans="1:8" ht="15">
      <c r="A5" s="60"/>
      <c r="B5" s="60"/>
      <c r="C5" s="60"/>
      <c r="D5" s="60"/>
      <c r="E5" s="60"/>
      <c r="F5" s="60"/>
      <c r="G5" s="60"/>
      <c r="H5" s="60"/>
    </row>
    <row r="6" spans="1:8" ht="15">
      <c r="A6" s="60" t="s">
        <v>80</v>
      </c>
      <c r="B6" s="66">
        <v>0</v>
      </c>
      <c r="C6" s="66">
        <f>B10</f>
        <v>0</v>
      </c>
      <c r="D6" s="66">
        <f>C10</f>
        <v>83999051.00000001</v>
      </c>
      <c r="E6" s="60"/>
      <c r="F6" s="60"/>
      <c r="G6" s="60"/>
      <c r="H6" s="60"/>
    </row>
    <row r="7" spans="1:8" ht="15">
      <c r="A7" s="60" t="s">
        <v>81</v>
      </c>
      <c r="B7" s="77">
        <f>+'1. Inputs'!B22</f>
        <v>0</v>
      </c>
      <c r="C7" s="63"/>
      <c r="D7" s="63"/>
      <c r="E7" s="60"/>
      <c r="F7" s="60"/>
      <c r="G7" s="60"/>
      <c r="H7" s="60"/>
    </row>
    <row r="8" spans="1:8" ht="15">
      <c r="A8" s="60" t="s">
        <v>82</v>
      </c>
      <c r="B8" s="63"/>
      <c r="C8" s="63">
        <f>+'1. Inputs'!C22</f>
        <v>83999051.00000001</v>
      </c>
      <c r="D8" s="63"/>
      <c r="E8" s="60"/>
      <c r="F8" s="60"/>
      <c r="G8" s="60"/>
      <c r="H8" s="60"/>
    </row>
    <row r="9" spans="1:8" ht="15">
      <c r="A9" s="60" t="s">
        <v>83</v>
      </c>
      <c r="B9" s="63"/>
      <c r="C9" s="63"/>
      <c r="D9" s="63">
        <f>'1. Inputs'!D22</f>
        <v>83999051.00000001</v>
      </c>
      <c r="E9" s="60"/>
      <c r="F9" s="60"/>
      <c r="G9" s="60"/>
      <c r="H9" s="60"/>
    </row>
    <row r="10" spans="1:8" ht="15">
      <c r="A10" s="60" t="s">
        <v>84</v>
      </c>
      <c r="B10" s="64">
        <f>SUM(B6:B8)</f>
        <v>0</v>
      </c>
      <c r="C10" s="64">
        <f>SUM(C6:C8)</f>
        <v>83999051.00000001</v>
      </c>
      <c r="D10" s="64">
        <f>SUM(D6:D9)</f>
        <v>167998102.00000003</v>
      </c>
      <c r="E10" s="60"/>
      <c r="F10" s="60"/>
      <c r="G10" s="60"/>
      <c r="H10" s="60"/>
    </row>
    <row r="11" spans="1:8" ht="15">
      <c r="A11" s="60"/>
      <c r="B11" s="78"/>
      <c r="C11" s="78"/>
      <c r="D11" s="78"/>
      <c r="E11" s="60"/>
      <c r="F11" s="60"/>
      <c r="G11" s="60"/>
      <c r="H11" s="60"/>
    </row>
    <row r="12" spans="1:8" ht="15">
      <c r="A12" s="60" t="s">
        <v>85</v>
      </c>
      <c r="B12" s="64">
        <v>0</v>
      </c>
      <c r="C12" s="64">
        <f>B15</f>
        <v>0</v>
      </c>
      <c r="D12" s="64">
        <f>C15</f>
        <v>2799968.366666667</v>
      </c>
      <c r="E12" s="60"/>
      <c r="F12" s="60"/>
      <c r="G12" s="60"/>
      <c r="H12" s="60"/>
    </row>
    <row r="13" spans="1:8" ht="15">
      <c r="A13" s="60" t="s">
        <v>86</v>
      </c>
      <c r="B13" s="62">
        <f>B7/'1. Inputs'!B29/2</f>
        <v>0</v>
      </c>
      <c r="C13" s="62">
        <f>C6/'1. Inputs'!B29</f>
        <v>0</v>
      </c>
      <c r="D13" s="62">
        <f>D6/'1. Inputs'!$B29</f>
        <v>5599936.733333334</v>
      </c>
      <c r="E13" s="60"/>
      <c r="F13" s="60"/>
      <c r="G13" s="60"/>
      <c r="H13" s="60"/>
    </row>
    <row r="14" spans="1:8" ht="15">
      <c r="A14" s="60" t="s">
        <v>87</v>
      </c>
      <c r="B14" s="63"/>
      <c r="C14" s="63">
        <f>C8/'1. Inputs'!B29/2</f>
        <v>2799968.366666667</v>
      </c>
      <c r="D14" s="63">
        <f>D9/'1. Inputs'!$B29/2</f>
        <v>2799968.366666667</v>
      </c>
      <c r="E14" s="60"/>
      <c r="F14" s="60"/>
      <c r="G14" s="60"/>
      <c r="H14" s="60"/>
    </row>
    <row r="15" spans="1:8" ht="15">
      <c r="A15" s="60" t="s">
        <v>88</v>
      </c>
      <c r="B15" s="66">
        <f>SUM(B12:B14)</f>
        <v>0</v>
      </c>
      <c r="C15" s="66">
        <f>SUM(C12:C14)</f>
        <v>2799968.366666667</v>
      </c>
      <c r="D15" s="66">
        <f>SUM(D12:D14)</f>
        <v>11199873.466666669</v>
      </c>
      <c r="E15" s="60"/>
      <c r="F15" s="60"/>
      <c r="G15" s="60"/>
      <c r="H15" s="60"/>
    </row>
    <row r="16" spans="1:8" ht="15">
      <c r="A16" s="60"/>
      <c r="B16" s="66"/>
      <c r="C16" s="66"/>
      <c r="D16" s="66"/>
      <c r="E16" s="60"/>
      <c r="F16" s="60"/>
      <c r="G16" s="60"/>
      <c r="H16" s="60"/>
    </row>
    <row r="17" spans="1:8" ht="15">
      <c r="A17" s="60" t="s">
        <v>89</v>
      </c>
      <c r="B17" s="63">
        <f>0</f>
        <v>0</v>
      </c>
      <c r="C17" s="62">
        <f>B18</f>
        <v>0</v>
      </c>
      <c r="D17" s="62">
        <f>C18</f>
        <v>81199082.63333336</v>
      </c>
      <c r="E17" s="60"/>
      <c r="F17" s="60"/>
      <c r="G17" s="60"/>
      <c r="H17" s="60"/>
    </row>
    <row r="18" spans="1:8" ht="15">
      <c r="A18" s="60" t="s">
        <v>90</v>
      </c>
      <c r="B18" s="64">
        <f>B10-B15</f>
        <v>0</v>
      </c>
      <c r="C18" s="64">
        <f>C10-C15</f>
        <v>81199082.63333336</v>
      </c>
      <c r="D18" s="64">
        <f>D10-D15</f>
        <v>156798228.53333336</v>
      </c>
      <c r="E18" s="60"/>
      <c r="F18" s="60"/>
      <c r="G18" s="60"/>
      <c r="H18" s="60"/>
    </row>
    <row r="19" spans="1:8" ht="15.75" thickBot="1">
      <c r="A19" s="60" t="s">
        <v>91</v>
      </c>
      <c r="B19" s="79">
        <f>(B18+B17)/2</f>
        <v>0</v>
      </c>
      <c r="C19" s="80">
        <f>(C18+C17)/2</f>
        <v>40599541.31666668</v>
      </c>
      <c r="D19" s="80">
        <f>(D18+D17)/2</f>
        <v>118998655.58333336</v>
      </c>
      <c r="E19" s="60"/>
      <c r="F19" s="60"/>
      <c r="G19" s="60"/>
      <c r="H19" s="60"/>
    </row>
    <row r="20" spans="1:8" ht="15">
      <c r="A20" s="60"/>
      <c r="B20" s="78"/>
      <c r="C20" s="78"/>
      <c r="D20" s="78"/>
      <c r="E20" s="60"/>
      <c r="F20" s="60"/>
      <c r="G20" s="60"/>
      <c r="H20" s="60"/>
    </row>
    <row r="21" spans="1:8" ht="30.75">
      <c r="A21" s="59" t="s">
        <v>92</v>
      </c>
      <c r="B21" s="75" t="s">
        <v>79</v>
      </c>
      <c r="C21" s="61">
        <v>39813</v>
      </c>
      <c r="D21" s="61">
        <v>40178</v>
      </c>
      <c r="E21" s="60"/>
      <c r="F21" s="60"/>
      <c r="G21" s="60"/>
      <c r="H21" s="60"/>
    </row>
    <row r="22" spans="1:8" ht="15">
      <c r="A22" s="60"/>
      <c r="B22" s="60"/>
      <c r="C22" s="60"/>
      <c r="D22" s="60"/>
      <c r="E22" s="60"/>
      <c r="F22" s="60"/>
      <c r="G22" s="60"/>
      <c r="H22" s="60"/>
    </row>
    <row r="23" spans="1:8" ht="15">
      <c r="A23" s="60" t="s">
        <v>80</v>
      </c>
      <c r="B23" s="66">
        <v>0</v>
      </c>
      <c r="C23" s="66">
        <f>B26</f>
        <v>0</v>
      </c>
      <c r="D23" s="66">
        <f>C26</f>
        <v>0</v>
      </c>
      <c r="E23" s="60"/>
      <c r="F23" s="60"/>
      <c r="G23" s="60"/>
      <c r="H23" s="60"/>
    </row>
    <row r="24" spans="1:8" ht="15">
      <c r="A24" s="60" t="s">
        <v>81</v>
      </c>
      <c r="B24" s="77">
        <f>+'1. Inputs'!B23</f>
        <v>0</v>
      </c>
      <c r="C24" s="63"/>
      <c r="D24" s="63"/>
      <c r="E24" s="60"/>
      <c r="F24" s="60"/>
      <c r="G24" s="60"/>
      <c r="H24" s="60"/>
    </row>
    <row r="25" spans="1:8" ht="15">
      <c r="A25" s="60" t="s">
        <v>82</v>
      </c>
      <c r="B25" s="63"/>
      <c r="C25" s="63">
        <f>'1. Inputs'!C23</f>
        <v>0</v>
      </c>
      <c r="D25" s="63">
        <f>'1. Inputs'!D23</f>
        <v>0</v>
      </c>
      <c r="E25" s="60"/>
      <c r="F25" s="60"/>
      <c r="G25" s="60"/>
      <c r="H25" s="60"/>
    </row>
    <row r="26" spans="1:8" ht="15">
      <c r="A26" s="60" t="s">
        <v>84</v>
      </c>
      <c r="B26" s="64">
        <f>SUM(B23:B25)</f>
        <v>0</v>
      </c>
      <c r="C26" s="64">
        <f>SUM(C23:C25)</f>
        <v>0</v>
      </c>
      <c r="D26" s="64">
        <f>SUM(D23:D25)</f>
        <v>0</v>
      </c>
      <c r="E26" s="60"/>
      <c r="F26" s="60"/>
      <c r="G26" s="60"/>
      <c r="H26" s="60"/>
    </row>
    <row r="27" spans="1:8" ht="15">
      <c r="A27" s="60"/>
      <c r="B27" s="78"/>
      <c r="C27" s="78"/>
      <c r="D27" s="78"/>
      <c r="E27" s="60"/>
      <c r="F27" s="60"/>
      <c r="G27" s="60"/>
      <c r="H27" s="60"/>
    </row>
    <row r="28" spans="1:8" ht="15">
      <c r="A28" s="60" t="s">
        <v>85</v>
      </c>
      <c r="B28" s="64">
        <v>0</v>
      </c>
      <c r="C28" s="64">
        <f>B31</f>
        <v>0</v>
      </c>
      <c r="D28" s="64">
        <f>C31</f>
        <v>0</v>
      </c>
      <c r="E28" s="60"/>
      <c r="F28" s="60"/>
      <c r="G28" s="60"/>
      <c r="H28" s="60"/>
    </row>
    <row r="29" spans="1:8" ht="15">
      <c r="A29" s="60" t="s">
        <v>93</v>
      </c>
      <c r="B29" s="62">
        <f>B24/'1. Inputs'!B30/2/3*2</f>
        <v>0</v>
      </c>
      <c r="C29" s="62">
        <f>C23/'1. Inputs'!B30/3</f>
        <v>0</v>
      </c>
      <c r="D29" s="62">
        <f>D23/'1. Inputs'!B30/3</f>
        <v>0</v>
      </c>
      <c r="E29" s="60"/>
      <c r="F29" s="60"/>
      <c r="G29" s="60"/>
      <c r="H29" s="60"/>
    </row>
    <row r="30" spans="1:8" ht="15">
      <c r="A30" s="60" t="s">
        <v>94</v>
      </c>
      <c r="B30" s="63"/>
      <c r="C30" s="63">
        <f>C25/'1. Inputs'!B30/2/3</f>
        <v>0</v>
      </c>
      <c r="D30" s="63">
        <f>D25/'1. Inputs'!B30/2/3</f>
        <v>0</v>
      </c>
      <c r="E30" s="60"/>
      <c r="F30" s="60"/>
      <c r="G30" s="60"/>
      <c r="H30" s="60"/>
    </row>
    <row r="31" spans="1:8" ht="15">
      <c r="A31" s="60" t="s">
        <v>88</v>
      </c>
      <c r="B31" s="66">
        <f>SUM(B28:B30)</f>
        <v>0</v>
      </c>
      <c r="C31" s="66">
        <f>SUM(C28:C30)</f>
        <v>0</v>
      </c>
      <c r="D31" s="66">
        <f>SUM(D28:D30)</f>
        <v>0</v>
      </c>
      <c r="E31" s="60"/>
      <c r="F31" s="60"/>
      <c r="G31" s="60"/>
      <c r="H31" s="60"/>
    </row>
    <row r="32" spans="1:8" ht="15">
      <c r="A32" s="60"/>
      <c r="B32" s="66"/>
      <c r="C32" s="66"/>
      <c r="D32" s="66"/>
      <c r="E32" s="60"/>
      <c r="F32" s="60"/>
      <c r="G32" s="60"/>
      <c r="H32" s="60"/>
    </row>
    <row r="33" spans="1:8" ht="15">
      <c r="A33" s="60" t="s">
        <v>89</v>
      </c>
      <c r="B33" s="63">
        <f>0</f>
        <v>0</v>
      </c>
      <c r="C33" s="62">
        <f>B34</f>
        <v>0</v>
      </c>
      <c r="D33" s="62">
        <f>C34</f>
        <v>0</v>
      </c>
      <c r="E33" s="60"/>
      <c r="F33" s="60"/>
      <c r="G33" s="60"/>
      <c r="H33" s="60"/>
    </row>
    <row r="34" spans="1:8" ht="15">
      <c r="A34" s="60" t="s">
        <v>90</v>
      </c>
      <c r="B34" s="64">
        <f>B26-B31</f>
        <v>0</v>
      </c>
      <c r="C34" s="64">
        <f>C26-C31</f>
        <v>0</v>
      </c>
      <c r="D34" s="64">
        <f>D26-D31</f>
        <v>0</v>
      </c>
      <c r="E34" s="60"/>
      <c r="F34" s="60"/>
      <c r="G34" s="60"/>
      <c r="H34" s="60"/>
    </row>
    <row r="35" spans="1:8" ht="15.75" thickBot="1">
      <c r="A35" s="60" t="s">
        <v>91</v>
      </c>
      <c r="B35" s="79">
        <f>(B34+B33)/2</f>
        <v>0</v>
      </c>
      <c r="C35" s="80">
        <f>(C34+C33)/2</f>
        <v>0</v>
      </c>
      <c r="D35" s="80">
        <f>(D34+D33)/2</f>
        <v>0</v>
      </c>
      <c r="E35" s="60"/>
      <c r="F35" s="60"/>
      <c r="G35" s="60"/>
      <c r="H35" s="60"/>
    </row>
    <row r="36" spans="1:8" ht="15">
      <c r="A36" s="60"/>
      <c r="B36" s="78"/>
      <c r="C36" s="78"/>
      <c r="D36" s="78"/>
      <c r="E36" s="60"/>
      <c r="F36" s="60"/>
      <c r="G36" s="60"/>
      <c r="H36" s="60"/>
    </row>
    <row r="37" spans="1:8" ht="30.75">
      <c r="A37" s="59" t="s">
        <v>95</v>
      </c>
      <c r="B37" s="75" t="s">
        <v>79</v>
      </c>
      <c r="C37" s="61">
        <v>39813</v>
      </c>
      <c r="D37" s="61">
        <v>40178</v>
      </c>
      <c r="E37" s="60"/>
      <c r="F37" s="60"/>
      <c r="G37" s="60"/>
      <c r="H37" s="60"/>
    </row>
    <row r="38" spans="1:8" ht="15">
      <c r="A38" s="60"/>
      <c r="B38" s="60"/>
      <c r="C38" s="60"/>
      <c r="D38" s="60"/>
      <c r="E38" s="60"/>
      <c r="F38" s="60"/>
      <c r="G38" s="60"/>
      <c r="H38" s="60"/>
    </row>
    <row r="39" spans="1:8" ht="15">
      <c r="A39" s="60" t="s">
        <v>80</v>
      </c>
      <c r="B39" s="66">
        <v>0</v>
      </c>
      <c r="C39" s="66">
        <f>B42</f>
        <v>0</v>
      </c>
      <c r="D39" s="66">
        <f>C42</f>
        <v>0</v>
      </c>
      <c r="E39" s="60"/>
      <c r="F39" s="60"/>
      <c r="G39" s="60"/>
      <c r="H39" s="60"/>
    </row>
    <row r="40" spans="1:8" ht="15">
      <c r="A40" s="60" t="s">
        <v>81</v>
      </c>
      <c r="B40" s="77">
        <f>+'1. Inputs'!B24/3*2</f>
        <v>0</v>
      </c>
      <c r="C40" s="63"/>
      <c r="D40" s="63"/>
      <c r="E40" s="60"/>
      <c r="F40" s="60"/>
      <c r="G40" s="60"/>
      <c r="H40" s="60"/>
    </row>
    <row r="41" spans="1:8" ht="15">
      <c r="A41" s="60" t="s">
        <v>82</v>
      </c>
      <c r="B41" s="63"/>
      <c r="C41" s="63">
        <f>'1. Inputs'!C24</f>
        <v>0</v>
      </c>
      <c r="D41" s="63">
        <f>'1. Inputs'!D24</f>
        <v>0</v>
      </c>
      <c r="E41" s="60"/>
      <c r="F41" s="60"/>
      <c r="G41" s="60"/>
      <c r="H41" s="60"/>
    </row>
    <row r="42" spans="1:8" ht="15">
      <c r="A42" s="60" t="s">
        <v>84</v>
      </c>
      <c r="B42" s="64">
        <f>SUM(B39:B41)</f>
        <v>0</v>
      </c>
      <c r="C42" s="64">
        <f>SUM(C39:C41)</f>
        <v>0</v>
      </c>
      <c r="D42" s="64">
        <f>SUM(D39:D41)</f>
        <v>0</v>
      </c>
      <c r="E42" s="60"/>
      <c r="F42" s="60"/>
      <c r="G42" s="60"/>
      <c r="H42" s="60"/>
    </row>
    <row r="43" spans="1:8" ht="15">
      <c r="A43" s="60"/>
      <c r="B43" s="78"/>
      <c r="C43" s="78"/>
      <c r="D43" s="78"/>
      <c r="E43" s="60"/>
      <c r="F43" s="60"/>
      <c r="G43" s="60"/>
      <c r="H43" s="60"/>
    </row>
    <row r="44" spans="1:8" ht="15">
      <c r="A44" s="60" t="s">
        <v>85</v>
      </c>
      <c r="B44" s="64">
        <v>0</v>
      </c>
      <c r="C44" s="64">
        <f>B47</f>
        <v>0</v>
      </c>
      <c r="D44" s="64">
        <f>C47</f>
        <v>0</v>
      </c>
      <c r="E44" s="60"/>
      <c r="F44" s="60"/>
      <c r="G44" s="60"/>
      <c r="H44" s="60"/>
    </row>
    <row r="45" spans="1:8" ht="15">
      <c r="A45" s="60" t="s">
        <v>96</v>
      </c>
      <c r="B45" s="62">
        <f>B40/'1. Inputs'!B31/2</f>
        <v>0</v>
      </c>
      <c r="C45" s="62">
        <f>C39/'1. Inputs'!B31/3</f>
        <v>0</v>
      </c>
      <c r="D45" s="62">
        <f>D39/'1. Inputs'!B31/3</f>
        <v>0</v>
      </c>
      <c r="E45" s="60"/>
      <c r="F45" s="60"/>
      <c r="G45" s="60"/>
      <c r="H45" s="60"/>
    </row>
    <row r="46" spans="1:8" ht="15">
      <c r="A46" s="60" t="s">
        <v>97</v>
      </c>
      <c r="B46" s="63"/>
      <c r="C46" s="63">
        <f>C41/'1. Inputs'!B31/2/3</f>
        <v>0</v>
      </c>
      <c r="D46" s="63">
        <f>D41/'1. Inputs'!B31/2/3</f>
        <v>0</v>
      </c>
      <c r="E46" s="60"/>
      <c r="F46" s="60"/>
      <c r="G46" s="60"/>
      <c r="H46" s="60"/>
    </row>
    <row r="47" spans="1:8" ht="15">
      <c r="A47" s="60" t="s">
        <v>88</v>
      </c>
      <c r="B47" s="66">
        <f>SUM(B44:B46)</f>
        <v>0</v>
      </c>
      <c r="C47" s="66">
        <f>SUM(C44:C46)</f>
        <v>0</v>
      </c>
      <c r="D47" s="66">
        <f>SUM(D44:D46)</f>
        <v>0</v>
      </c>
      <c r="E47" s="60"/>
      <c r="F47" s="60"/>
      <c r="G47" s="60"/>
      <c r="H47" s="60"/>
    </row>
    <row r="48" spans="1:8" ht="15">
      <c r="A48" s="60"/>
      <c r="B48" s="66"/>
      <c r="C48" s="66"/>
      <c r="D48" s="66"/>
      <c r="E48" s="60"/>
      <c r="F48" s="60"/>
      <c r="G48" s="60"/>
      <c r="H48" s="60"/>
    </row>
    <row r="49" spans="1:8" ht="15">
      <c r="A49" s="60" t="s">
        <v>89</v>
      </c>
      <c r="B49" s="63">
        <f>0</f>
        <v>0</v>
      </c>
      <c r="C49" s="62">
        <f>B50</f>
        <v>0</v>
      </c>
      <c r="D49" s="62">
        <f>C50</f>
        <v>0</v>
      </c>
      <c r="E49" s="60"/>
      <c r="F49" s="60"/>
      <c r="G49" s="60"/>
      <c r="H49" s="60"/>
    </row>
    <row r="50" spans="1:8" ht="15">
      <c r="A50" s="60" t="s">
        <v>90</v>
      </c>
      <c r="B50" s="64">
        <f>B42-B47</f>
        <v>0</v>
      </c>
      <c r="C50" s="64">
        <f>C42-C47</f>
        <v>0</v>
      </c>
      <c r="D50" s="64">
        <f>D42-D47</f>
        <v>0</v>
      </c>
      <c r="E50" s="60"/>
      <c r="F50" s="60"/>
      <c r="G50" s="60"/>
      <c r="H50" s="60"/>
    </row>
    <row r="51" spans="1:8" ht="15.75" thickBot="1">
      <c r="A51" s="60" t="s">
        <v>91</v>
      </c>
      <c r="B51" s="79">
        <f>(B50+B49)/2</f>
        <v>0</v>
      </c>
      <c r="C51" s="79">
        <f>(C50+C49)/2</f>
        <v>0</v>
      </c>
      <c r="D51" s="79">
        <f>(D50+D49)/2</f>
        <v>0</v>
      </c>
      <c r="E51" s="60"/>
      <c r="F51" s="60"/>
      <c r="G51" s="60"/>
      <c r="H51" s="60"/>
    </row>
    <row r="52" spans="1:8" ht="15">
      <c r="A52" s="60"/>
      <c r="B52" s="60"/>
      <c r="C52" s="60"/>
      <c r="D52" s="60"/>
      <c r="E52" s="60"/>
      <c r="F52" s="60"/>
      <c r="G52" s="60"/>
      <c r="H52" s="60"/>
    </row>
    <row r="53" spans="1:8" ht="30.75">
      <c r="A53" s="59" t="s">
        <v>98</v>
      </c>
      <c r="B53" s="75" t="s">
        <v>79</v>
      </c>
      <c r="C53" s="61">
        <v>39813</v>
      </c>
      <c r="D53" s="61">
        <v>40178</v>
      </c>
      <c r="E53" s="60"/>
      <c r="F53" s="60"/>
      <c r="G53" s="60"/>
      <c r="H53" s="60"/>
    </row>
    <row r="54" spans="1:8" ht="15">
      <c r="A54" s="60"/>
      <c r="B54" s="60"/>
      <c r="C54" s="60"/>
      <c r="D54" s="60"/>
      <c r="E54" s="60"/>
      <c r="F54" s="60"/>
      <c r="G54" s="60"/>
      <c r="H54" s="60"/>
    </row>
    <row r="55" spans="1:8" ht="15">
      <c r="A55" s="60" t="s">
        <v>80</v>
      </c>
      <c r="B55" s="66">
        <v>0</v>
      </c>
      <c r="C55" s="66">
        <f>B58</f>
        <v>0</v>
      </c>
      <c r="D55" s="66">
        <f>C58</f>
        <v>7989820</v>
      </c>
      <c r="E55" s="60"/>
      <c r="F55" s="60"/>
      <c r="G55" s="60"/>
      <c r="H55" s="60"/>
    </row>
    <row r="56" spans="1:8" ht="15">
      <c r="A56" s="60" t="s">
        <v>81</v>
      </c>
      <c r="B56" s="77">
        <f>+'1. Inputs'!B25/3*2</f>
        <v>0</v>
      </c>
      <c r="C56" s="63"/>
      <c r="D56" s="63"/>
      <c r="E56" s="60"/>
      <c r="F56" s="60"/>
      <c r="G56" s="60"/>
      <c r="H56" s="60"/>
    </row>
    <row r="57" spans="1:8" ht="15">
      <c r="A57" s="60" t="s">
        <v>82</v>
      </c>
      <c r="B57" s="63"/>
      <c r="C57" s="63">
        <f>+'1. Inputs'!C25</f>
        <v>7989820</v>
      </c>
      <c r="D57" s="63">
        <f>+'1. Inputs'!D25</f>
        <v>7989820</v>
      </c>
      <c r="E57" s="60"/>
      <c r="F57" s="60"/>
      <c r="G57" s="60"/>
      <c r="H57" s="60"/>
    </row>
    <row r="58" spans="1:8" ht="15">
      <c r="A58" s="60" t="s">
        <v>84</v>
      </c>
      <c r="B58" s="64">
        <f>SUM(B55:B57)</f>
        <v>0</v>
      </c>
      <c r="C58" s="64">
        <f>SUM(C55:C57)</f>
        <v>7989820</v>
      </c>
      <c r="D58" s="64">
        <f>SUM(D55:D57)</f>
        <v>15979640</v>
      </c>
      <c r="E58" s="60"/>
      <c r="F58" s="60"/>
      <c r="G58" s="60"/>
      <c r="H58" s="60"/>
    </row>
    <row r="59" spans="1:8" ht="15">
      <c r="A59" s="60"/>
      <c r="B59" s="78"/>
      <c r="C59" s="78"/>
      <c r="D59" s="78"/>
      <c r="E59" s="60"/>
      <c r="F59" s="60"/>
      <c r="G59" s="60"/>
      <c r="H59" s="60"/>
    </row>
    <row r="60" spans="1:8" ht="15">
      <c r="A60" s="60" t="s">
        <v>85</v>
      </c>
      <c r="B60" s="64">
        <v>0</v>
      </c>
      <c r="C60" s="64">
        <f>B63</f>
        <v>0</v>
      </c>
      <c r="D60" s="64">
        <f>C63</f>
        <v>399491</v>
      </c>
      <c r="E60" s="60"/>
      <c r="F60" s="60"/>
      <c r="G60" s="60"/>
      <c r="H60" s="60"/>
    </row>
    <row r="61" spans="1:8" ht="15">
      <c r="A61" s="60" t="s">
        <v>136</v>
      </c>
      <c r="B61" s="62">
        <f>B56/'1. Inputs'!B32/2</f>
        <v>0</v>
      </c>
      <c r="C61" s="62">
        <f>C55/'1. Inputs'!B32</f>
        <v>0</v>
      </c>
      <c r="D61" s="62">
        <f>D55/'1. Inputs'!B32</f>
        <v>798982</v>
      </c>
      <c r="E61" s="60"/>
      <c r="F61" s="60"/>
      <c r="G61" s="60"/>
      <c r="H61" s="60"/>
    </row>
    <row r="62" spans="1:8" ht="15">
      <c r="A62" s="60" t="s">
        <v>94</v>
      </c>
      <c r="B62" s="63"/>
      <c r="C62" s="63">
        <f>C57/'1. Inputs'!B32/2</f>
        <v>399491</v>
      </c>
      <c r="D62" s="63">
        <f>D57/'1. Inputs'!B32/2</f>
        <v>399491</v>
      </c>
      <c r="E62" s="60"/>
      <c r="F62" s="60"/>
      <c r="G62" s="60"/>
      <c r="H62" s="60"/>
    </row>
    <row r="63" spans="1:8" ht="15">
      <c r="A63" s="60" t="s">
        <v>88</v>
      </c>
      <c r="B63" s="66">
        <f>SUM(B60:B62)</f>
        <v>0</v>
      </c>
      <c r="C63" s="66">
        <f>SUM(C60:C62)</f>
        <v>399491</v>
      </c>
      <c r="D63" s="66">
        <f>SUM(D60:D62)</f>
        <v>1597964</v>
      </c>
      <c r="E63" s="60"/>
      <c r="F63" s="60"/>
      <c r="G63" s="60"/>
      <c r="H63" s="60"/>
    </row>
    <row r="64" spans="1:8" ht="15">
      <c r="A64" s="60"/>
      <c r="B64" s="66"/>
      <c r="C64" s="66"/>
      <c r="D64" s="66"/>
      <c r="E64" s="60"/>
      <c r="F64" s="60"/>
      <c r="G64" s="60"/>
      <c r="H64" s="60"/>
    </row>
    <row r="65" spans="1:8" ht="15">
      <c r="A65" s="60" t="s">
        <v>89</v>
      </c>
      <c r="B65" s="63">
        <f>0</f>
        <v>0</v>
      </c>
      <c r="C65" s="62">
        <f>B66</f>
        <v>0</v>
      </c>
      <c r="D65" s="62">
        <f>C66</f>
        <v>7590329</v>
      </c>
      <c r="E65" s="60"/>
      <c r="F65" s="60"/>
      <c r="G65" s="60"/>
      <c r="H65" s="60"/>
    </row>
    <row r="66" spans="1:8" ht="15">
      <c r="A66" s="60" t="s">
        <v>90</v>
      </c>
      <c r="B66" s="64">
        <f>B58-B63</f>
        <v>0</v>
      </c>
      <c r="C66" s="64">
        <f>C58-C63</f>
        <v>7590329</v>
      </c>
      <c r="D66" s="64">
        <f>D58-D63</f>
        <v>14381676</v>
      </c>
      <c r="E66" s="60"/>
      <c r="F66" s="60"/>
      <c r="G66" s="60"/>
      <c r="H66" s="60"/>
    </row>
    <row r="67" spans="1:8" ht="15.75" thickBot="1">
      <c r="A67" s="60" t="s">
        <v>91</v>
      </c>
      <c r="B67" s="79">
        <f>(B66+B65)/2</f>
        <v>0</v>
      </c>
      <c r="C67" s="79">
        <f>(C66+C65)/2</f>
        <v>3795164.5</v>
      </c>
      <c r="D67" s="79">
        <f>(D66+D65)/2</f>
        <v>10986002.5</v>
      </c>
      <c r="E67" s="60"/>
      <c r="F67" s="60"/>
      <c r="G67" s="60"/>
      <c r="H67" s="60"/>
    </row>
    <row r="68" spans="1:8" ht="15">
      <c r="A68" s="60"/>
      <c r="B68" s="78"/>
      <c r="C68" s="78"/>
      <c r="D68" s="78"/>
      <c r="E68" s="60"/>
      <c r="F68" s="60"/>
      <c r="G68" s="60"/>
      <c r="H68" s="60"/>
    </row>
    <row r="69" spans="1:8" ht="15.75">
      <c r="A69" s="59" t="s">
        <v>99</v>
      </c>
      <c r="B69" s="78"/>
      <c r="C69" s="78"/>
      <c r="D69" s="78"/>
      <c r="E69" s="60"/>
      <c r="F69" s="60"/>
      <c r="G69" s="60"/>
      <c r="H69" s="60"/>
    </row>
    <row r="70" spans="1:8" ht="15">
      <c r="A70" s="60"/>
      <c r="B70" s="78"/>
      <c r="C70" s="78"/>
      <c r="D70" s="78"/>
      <c r="E70" s="60"/>
      <c r="F70" s="60"/>
      <c r="G70" s="60"/>
      <c r="H70" s="60"/>
    </row>
    <row r="71" spans="1:8" ht="15">
      <c r="A71" s="60" t="s">
        <v>100</v>
      </c>
      <c r="B71" s="63">
        <f>+B10+B42+B58</f>
        <v>0</v>
      </c>
      <c r="C71" s="62">
        <f>+C10+C42+C58+C26</f>
        <v>91988871.00000001</v>
      </c>
      <c r="D71" s="62">
        <f>+D10+D42+D58+D26</f>
        <v>183977742.00000003</v>
      </c>
      <c r="E71" s="60"/>
      <c r="F71" s="60"/>
      <c r="G71" s="60"/>
      <c r="H71" s="60"/>
    </row>
    <row r="72" spans="1:8" ht="15">
      <c r="A72" s="60" t="s">
        <v>101</v>
      </c>
      <c r="B72" s="64">
        <f>+B15+B47+B63</f>
        <v>0</v>
      </c>
      <c r="C72" s="64">
        <f>+C15+C47+C63+C31</f>
        <v>3199459.366666667</v>
      </c>
      <c r="D72" s="64">
        <f>+D15+D47+D63+D31</f>
        <v>12797837.466666669</v>
      </c>
      <c r="E72" s="60"/>
      <c r="F72" s="60"/>
      <c r="G72" s="60"/>
      <c r="H72" s="60"/>
    </row>
    <row r="73" spans="1:8" ht="15.75" thickBot="1">
      <c r="A73" s="60" t="s">
        <v>90</v>
      </c>
      <c r="B73" s="79">
        <f>+B71-B72</f>
        <v>0</v>
      </c>
      <c r="C73" s="79">
        <f>+C71-C72</f>
        <v>88789411.63333336</v>
      </c>
      <c r="D73" s="79">
        <f>+D71-D72</f>
        <v>171179904.53333336</v>
      </c>
      <c r="E73" s="60"/>
      <c r="F73" s="60"/>
      <c r="G73" s="60"/>
      <c r="H73" s="60"/>
    </row>
    <row r="74" spans="1:8" ht="15">
      <c r="A74" s="60"/>
      <c r="B74" s="78"/>
      <c r="C74" s="78"/>
      <c r="D74" s="78"/>
      <c r="E74" s="60"/>
      <c r="F74" s="60"/>
      <c r="G74" s="60"/>
      <c r="H74" s="60"/>
    </row>
    <row r="75" spans="1:8" ht="15">
      <c r="A75" s="60"/>
      <c r="B75" s="78"/>
      <c r="C75" s="78"/>
      <c r="D75" s="78"/>
      <c r="E75" s="60"/>
      <c r="F75" s="60"/>
      <c r="G75" s="60"/>
      <c r="H75" s="60"/>
    </row>
    <row r="76" spans="1:8" ht="15.75">
      <c r="A76" s="59" t="s">
        <v>102</v>
      </c>
      <c r="B76" s="78"/>
      <c r="C76" s="78"/>
      <c r="D76" s="78"/>
      <c r="E76" s="60"/>
      <c r="F76" s="60"/>
      <c r="G76" s="60"/>
      <c r="H76" s="60"/>
    </row>
    <row r="77" spans="1:8" ht="15">
      <c r="A77" s="60"/>
      <c r="B77" s="78"/>
      <c r="C77" s="78"/>
      <c r="D77" s="78"/>
      <c r="E77" s="60"/>
      <c r="F77" s="60"/>
      <c r="G77" s="60"/>
      <c r="H77" s="60"/>
    </row>
    <row r="78" spans="1:8" ht="15.75">
      <c r="A78" s="59" t="s">
        <v>103</v>
      </c>
      <c r="B78" s="60"/>
      <c r="C78" s="60"/>
      <c r="D78" s="60"/>
      <c r="E78" s="60"/>
      <c r="F78" s="60"/>
      <c r="G78" s="60"/>
      <c r="H78" s="60"/>
    </row>
    <row r="79" spans="1:8" ht="30">
      <c r="A79" s="60" t="s">
        <v>104</v>
      </c>
      <c r="B79" s="75" t="s">
        <v>79</v>
      </c>
      <c r="C79" s="61">
        <v>39813</v>
      </c>
      <c r="D79" s="61">
        <v>40178</v>
      </c>
      <c r="E79" s="60"/>
      <c r="F79" s="60"/>
      <c r="G79" s="60"/>
      <c r="H79" s="60"/>
    </row>
    <row r="80" spans="1:8" ht="15">
      <c r="A80" s="60"/>
      <c r="B80" s="60"/>
      <c r="C80" s="60"/>
      <c r="D80" s="60"/>
      <c r="E80" s="60"/>
      <c r="F80" s="60"/>
      <c r="G80" s="60"/>
      <c r="H80" s="60"/>
    </row>
    <row r="81" spans="1:8" ht="15">
      <c r="A81" s="60" t="s">
        <v>2</v>
      </c>
      <c r="B81" s="66">
        <v>0</v>
      </c>
      <c r="C81" s="64">
        <f>B83-B87</f>
        <v>0</v>
      </c>
      <c r="D81" s="64">
        <f>C83-C87</f>
        <v>80639088.96000001</v>
      </c>
      <c r="E81" s="60"/>
      <c r="F81" s="60"/>
      <c r="G81" s="60"/>
      <c r="H81" s="60"/>
    </row>
    <row r="82" spans="1:8" ht="15">
      <c r="A82" s="60" t="s">
        <v>105</v>
      </c>
      <c r="B82" s="63">
        <f>B7</f>
        <v>0</v>
      </c>
      <c r="C82" s="63">
        <f>C8</f>
        <v>83999051.00000001</v>
      </c>
      <c r="D82" s="63">
        <f>D9</f>
        <v>83999051.00000001</v>
      </c>
      <c r="E82" s="60"/>
      <c r="F82" s="60"/>
      <c r="G82" s="60"/>
      <c r="H82" s="60"/>
    </row>
    <row r="83" spans="1:8" ht="15">
      <c r="A83" s="60" t="s">
        <v>106</v>
      </c>
      <c r="B83" s="66">
        <f>SUM(B81:B82)</f>
        <v>0</v>
      </c>
      <c r="C83" s="66">
        <f>SUM(C81:C82)</f>
        <v>83999051.00000001</v>
      </c>
      <c r="D83" s="66">
        <f>SUM(D81:D82)</f>
        <v>164638139.96000004</v>
      </c>
      <c r="E83" s="60"/>
      <c r="F83" s="60"/>
      <c r="G83" s="60"/>
      <c r="H83" s="60"/>
    </row>
    <row r="84" spans="1:8" ht="15">
      <c r="A84" s="60" t="s">
        <v>107</v>
      </c>
      <c r="B84" s="62">
        <f>SUM(B82:B82)/2</f>
        <v>0</v>
      </c>
      <c r="C84" s="62">
        <f>SUM(C82:C82)/2</f>
        <v>41999525.50000001</v>
      </c>
      <c r="D84" s="62">
        <f>SUM(D82:D82)/2</f>
        <v>41999525.50000001</v>
      </c>
      <c r="E84" s="60"/>
      <c r="F84" s="60"/>
      <c r="G84" s="60"/>
      <c r="H84" s="60"/>
    </row>
    <row r="85" spans="1:8" ht="15">
      <c r="A85" s="60" t="s">
        <v>108</v>
      </c>
      <c r="B85" s="64">
        <f>B81+B84</f>
        <v>0</v>
      </c>
      <c r="C85" s="64">
        <f>C81+C84</f>
        <v>41999525.50000001</v>
      </c>
      <c r="D85" s="64">
        <f>D81+D84</f>
        <v>122638614.46000001</v>
      </c>
      <c r="E85" s="60"/>
      <c r="F85" s="60"/>
      <c r="G85" s="60"/>
      <c r="H85" s="60"/>
    </row>
    <row r="86" spans="1:8" ht="15">
      <c r="A86" s="60" t="s">
        <v>109</v>
      </c>
      <c r="B86" s="81">
        <v>0.08</v>
      </c>
      <c r="C86" s="81">
        <f>8%</f>
        <v>0.08</v>
      </c>
      <c r="D86" s="81">
        <f>8%</f>
        <v>0.08</v>
      </c>
      <c r="E86" s="60"/>
      <c r="F86" s="60"/>
      <c r="G86" s="60"/>
      <c r="H86" s="60"/>
    </row>
    <row r="87" spans="1:8" ht="15">
      <c r="A87" s="60" t="s">
        <v>1</v>
      </c>
      <c r="B87" s="66">
        <f>B85*B86</f>
        <v>0</v>
      </c>
      <c r="C87" s="66">
        <f>C85*C86</f>
        <v>3359962.0400000005</v>
      </c>
      <c r="D87" s="66">
        <f>D85*D86</f>
        <v>9811089.1568</v>
      </c>
      <c r="E87" s="60"/>
      <c r="F87" s="60"/>
      <c r="G87" s="60"/>
      <c r="H87" s="60"/>
    </row>
    <row r="88" spans="1:8" ht="15.75" thickBot="1">
      <c r="A88" s="60" t="s">
        <v>3</v>
      </c>
      <c r="B88" s="79">
        <f>B83-B87</f>
        <v>0</v>
      </c>
      <c r="C88" s="79">
        <f>C83-C87</f>
        <v>80639088.96000001</v>
      </c>
      <c r="D88" s="79">
        <f>D83-D87</f>
        <v>154827050.80320004</v>
      </c>
      <c r="E88" s="60"/>
      <c r="F88" s="60"/>
      <c r="G88" s="60"/>
      <c r="H88" s="60"/>
    </row>
    <row r="89" spans="1:8" ht="15">
      <c r="A89" s="60"/>
      <c r="B89" s="60"/>
      <c r="C89" s="60"/>
      <c r="D89" s="60"/>
      <c r="E89" s="60"/>
      <c r="F89" s="60"/>
      <c r="G89" s="60"/>
      <c r="H89" s="60"/>
    </row>
    <row r="90" spans="1:8" ht="15.75">
      <c r="A90" s="59" t="s">
        <v>110</v>
      </c>
      <c r="B90" s="60"/>
      <c r="C90" s="60"/>
      <c r="D90" s="60"/>
      <c r="E90" s="60"/>
      <c r="F90" s="60"/>
      <c r="G90" s="60"/>
      <c r="H90" s="60"/>
    </row>
    <row r="91" spans="1:8" ht="30">
      <c r="A91" s="60" t="s">
        <v>111</v>
      </c>
      <c r="B91" s="75" t="s">
        <v>79</v>
      </c>
      <c r="C91" s="61">
        <v>39813</v>
      </c>
      <c r="D91" s="61">
        <v>40178</v>
      </c>
      <c r="E91" s="60"/>
      <c r="F91" s="60"/>
      <c r="G91" s="60"/>
      <c r="H91" s="60"/>
    </row>
    <row r="92" spans="1:8" ht="15">
      <c r="A92" s="60"/>
      <c r="B92" s="60"/>
      <c r="C92" s="60"/>
      <c r="D92" s="60"/>
      <c r="E92" s="60"/>
      <c r="F92" s="60"/>
      <c r="G92" s="60"/>
      <c r="H92" s="60"/>
    </row>
    <row r="93" spans="1:8" ht="15">
      <c r="A93" s="60" t="s">
        <v>2</v>
      </c>
      <c r="B93" s="66">
        <v>0</v>
      </c>
      <c r="C93" s="64">
        <f>B100</f>
        <v>0</v>
      </c>
      <c r="D93" s="64">
        <f>C100</f>
        <v>0</v>
      </c>
      <c r="E93" s="60"/>
      <c r="F93" s="60"/>
      <c r="G93" s="60"/>
      <c r="H93" s="60"/>
    </row>
    <row r="94" spans="1:8" ht="15">
      <c r="A94" s="60" t="s">
        <v>105</v>
      </c>
      <c r="B94" s="63">
        <f>B24</f>
        <v>0</v>
      </c>
      <c r="C94" s="63">
        <f>C25</f>
        <v>0</v>
      </c>
      <c r="D94" s="63">
        <f>D25</f>
        <v>0</v>
      </c>
      <c r="E94" s="60"/>
      <c r="F94" s="60"/>
      <c r="G94" s="60"/>
      <c r="H94" s="60"/>
    </row>
    <row r="95" spans="1:8" ht="15">
      <c r="A95" s="60" t="s">
        <v>106</v>
      </c>
      <c r="B95" s="66">
        <f>SUM(B93:B94)</f>
        <v>0</v>
      </c>
      <c r="C95" s="66">
        <f>SUM(C93:C94)</f>
        <v>0</v>
      </c>
      <c r="D95" s="66">
        <f>SUM(D93:D94)</f>
        <v>0</v>
      </c>
      <c r="E95" s="60"/>
      <c r="F95" s="60"/>
      <c r="G95" s="60"/>
      <c r="H95" s="60"/>
    </row>
    <row r="96" spans="1:8" ht="15">
      <c r="A96" s="60" t="s">
        <v>107</v>
      </c>
      <c r="B96" s="62">
        <f>SUM(B94:B94)/2</f>
        <v>0</v>
      </c>
      <c r="C96" s="62">
        <f>SUM(C94:C94)/2</f>
        <v>0</v>
      </c>
      <c r="D96" s="62">
        <f>SUM(D94:D94)/2</f>
        <v>0</v>
      </c>
      <c r="E96" s="60"/>
      <c r="F96" s="60"/>
      <c r="G96" s="60"/>
      <c r="H96" s="60"/>
    </row>
    <row r="97" spans="1:8" ht="15">
      <c r="A97" s="60" t="s">
        <v>108</v>
      </c>
      <c r="B97" s="64">
        <f>B93+B96</f>
        <v>0</v>
      </c>
      <c r="C97" s="64">
        <f>C93+C96</f>
        <v>0</v>
      </c>
      <c r="D97" s="64">
        <f>D93+D96</f>
        <v>0</v>
      </c>
      <c r="E97" s="60"/>
      <c r="F97" s="60"/>
      <c r="G97" s="60"/>
      <c r="H97" s="60"/>
    </row>
    <row r="98" spans="1:8" ht="15">
      <c r="A98" s="60" t="s">
        <v>112</v>
      </c>
      <c r="B98" s="81">
        <v>0.2</v>
      </c>
      <c r="C98" s="81">
        <f>20%</f>
        <v>0.2</v>
      </c>
      <c r="D98" s="81">
        <f>20%</f>
        <v>0.2</v>
      </c>
      <c r="E98" s="60"/>
      <c r="F98" s="60"/>
      <c r="G98" s="60"/>
      <c r="H98" s="60"/>
    </row>
    <row r="99" spans="1:8" ht="15">
      <c r="A99" s="60" t="s">
        <v>1</v>
      </c>
      <c r="B99" s="66">
        <f>B97*B98/3*2</f>
        <v>0</v>
      </c>
      <c r="C99" s="66">
        <f>C97*C98</f>
        <v>0</v>
      </c>
      <c r="D99" s="66">
        <f>D97*D98</f>
        <v>0</v>
      </c>
      <c r="E99" s="60"/>
      <c r="F99" s="60"/>
      <c r="G99" s="60"/>
      <c r="H99" s="60"/>
    </row>
    <row r="100" spans="1:8" ht="12.75" customHeight="1" thickBot="1">
      <c r="A100" s="60" t="s">
        <v>3</v>
      </c>
      <c r="B100" s="79">
        <f>B95-B99</f>
        <v>0</v>
      </c>
      <c r="C100" s="79">
        <f>C95-C99</f>
        <v>0</v>
      </c>
      <c r="D100" s="79">
        <f>D95-D99</f>
        <v>0</v>
      </c>
      <c r="E100" s="60"/>
      <c r="F100" s="60"/>
      <c r="G100" s="60"/>
      <c r="H100" s="60"/>
    </row>
    <row r="101" spans="1:8" ht="12.75" customHeight="1">
      <c r="A101" s="60"/>
      <c r="B101" s="78"/>
      <c r="C101" s="78"/>
      <c r="D101" s="78"/>
      <c r="E101" s="60"/>
      <c r="F101" s="60"/>
      <c r="G101" s="60"/>
      <c r="H101" s="60"/>
    </row>
    <row r="102" spans="1:8" ht="15.75">
      <c r="A102" s="59" t="s">
        <v>113</v>
      </c>
      <c r="B102" s="60"/>
      <c r="C102" s="60"/>
      <c r="D102" s="60"/>
      <c r="E102" s="60"/>
      <c r="F102" s="60"/>
      <c r="G102" s="60"/>
      <c r="H102" s="60"/>
    </row>
    <row r="103" spans="1:8" ht="15">
      <c r="A103" s="60" t="s">
        <v>114</v>
      </c>
      <c r="B103" s="82">
        <v>39447</v>
      </c>
      <c r="C103" s="61">
        <v>39813</v>
      </c>
      <c r="D103" s="61">
        <v>40178</v>
      </c>
      <c r="E103" s="60"/>
      <c r="F103" s="60"/>
      <c r="G103" s="60"/>
      <c r="H103" s="60"/>
    </row>
    <row r="104" spans="1:8" ht="15">
      <c r="A104" s="60"/>
      <c r="B104" s="60"/>
      <c r="C104" s="60"/>
      <c r="D104" s="60"/>
      <c r="E104" s="60"/>
      <c r="F104" s="60"/>
      <c r="G104" s="60"/>
      <c r="H104" s="60"/>
    </row>
    <row r="105" spans="1:8" ht="15">
      <c r="A105" s="60" t="s">
        <v>2</v>
      </c>
      <c r="B105" s="66">
        <v>0</v>
      </c>
      <c r="C105" s="64">
        <f>B113</f>
        <v>0</v>
      </c>
      <c r="D105" s="64">
        <f>C113</f>
        <v>0</v>
      </c>
      <c r="E105" s="60"/>
      <c r="F105" s="60"/>
      <c r="G105" s="60"/>
      <c r="H105" s="60"/>
    </row>
    <row r="106" spans="1:8" ht="15">
      <c r="A106" s="60" t="s">
        <v>115</v>
      </c>
      <c r="B106" s="63">
        <f>B40</f>
        <v>0</v>
      </c>
      <c r="C106" s="63">
        <f>C41</f>
        <v>0</v>
      </c>
      <c r="D106" s="63">
        <f>D41</f>
        <v>0</v>
      </c>
      <c r="E106" s="60"/>
      <c r="F106" s="60"/>
      <c r="G106" s="60"/>
      <c r="H106" s="60"/>
    </row>
    <row r="107" spans="1:8" ht="15">
      <c r="A107" s="60" t="s">
        <v>116</v>
      </c>
      <c r="B107" s="63"/>
      <c r="C107" s="63"/>
      <c r="D107" s="63"/>
      <c r="E107" s="60"/>
      <c r="F107" s="60"/>
      <c r="G107" s="60"/>
      <c r="H107" s="60"/>
    </row>
    <row r="108" spans="1:8" ht="15">
      <c r="A108" s="60" t="s">
        <v>106</v>
      </c>
      <c r="B108" s="66">
        <f>SUM(B105:B107)</f>
        <v>0</v>
      </c>
      <c r="C108" s="66">
        <f>SUM(C105:C107)</f>
        <v>0</v>
      </c>
      <c r="D108" s="66">
        <f>SUM(D105:D107)</f>
        <v>0</v>
      </c>
      <c r="E108" s="60"/>
      <c r="F108" s="60"/>
      <c r="G108" s="60"/>
      <c r="H108" s="60"/>
    </row>
    <row r="109" spans="1:8" ht="15">
      <c r="A109" s="60" t="s">
        <v>107</v>
      </c>
      <c r="B109" s="62">
        <f>SUM(B106:B107)/2</f>
        <v>0</v>
      </c>
      <c r="C109" s="62">
        <f>SUM(C106:C107)/2</f>
        <v>0</v>
      </c>
      <c r="D109" s="62">
        <f>SUM(D106:D107)/2</f>
        <v>0</v>
      </c>
      <c r="E109" s="60"/>
      <c r="F109" s="60"/>
      <c r="G109" s="60"/>
      <c r="H109" s="60"/>
    </row>
    <row r="110" spans="1:8" ht="15">
      <c r="A110" s="60" t="s">
        <v>108</v>
      </c>
      <c r="B110" s="64">
        <f>B105+B109</f>
        <v>0</v>
      </c>
      <c r="C110" s="64">
        <f>C105+C109</f>
        <v>0</v>
      </c>
      <c r="D110" s="64">
        <f>D105+D109</f>
        <v>0</v>
      </c>
      <c r="E110" s="60"/>
      <c r="F110" s="60"/>
      <c r="G110" s="60"/>
      <c r="H110" s="60"/>
    </row>
    <row r="111" spans="1:8" ht="15">
      <c r="A111" s="60" t="s">
        <v>122</v>
      </c>
      <c r="B111" s="81">
        <v>0.55</v>
      </c>
      <c r="C111" s="81">
        <f>B111</f>
        <v>0.55</v>
      </c>
      <c r="D111" s="81">
        <f>C111</f>
        <v>0.55</v>
      </c>
      <c r="E111" s="60"/>
      <c r="F111" s="60"/>
      <c r="G111" s="60"/>
      <c r="H111" s="60"/>
    </row>
    <row r="112" spans="1:8" ht="15">
      <c r="A112" s="60" t="s">
        <v>1</v>
      </c>
      <c r="B112" s="66">
        <f>B110*B111/3*2</f>
        <v>0</v>
      </c>
      <c r="C112" s="66">
        <f>C110*C111</f>
        <v>0</v>
      </c>
      <c r="D112" s="66">
        <f>D110*D111</f>
        <v>0</v>
      </c>
      <c r="E112" s="60"/>
      <c r="F112" s="60"/>
      <c r="G112" s="60"/>
      <c r="H112" s="60"/>
    </row>
    <row r="113" spans="1:8" ht="12.75" customHeight="1" thickBot="1">
      <c r="A113" s="60" t="s">
        <v>3</v>
      </c>
      <c r="B113" s="79">
        <f>B108-B112</f>
        <v>0</v>
      </c>
      <c r="C113" s="79">
        <f>C108-C112</f>
        <v>0</v>
      </c>
      <c r="D113" s="79">
        <f>D108-D112</f>
        <v>0</v>
      </c>
      <c r="E113" s="60"/>
      <c r="F113" s="60"/>
      <c r="G113" s="60"/>
      <c r="H113" s="60"/>
    </row>
    <row r="114" spans="1:8" ht="12.75" customHeight="1">
      <c r="A114" s="60"/>
      <c r="B114" s="78"/>
      <c r="C114" s="78"/>
      <c r="D114" s="78"/>
      <c r="E114" s="60"/>
      <c r="F114" s="60"/>
      <c r="G114" s="60"/>
      <c r="H114" s="60"/>
    </row>
    <row r="115" spans="1:8" ht="15.75">
      <c r="A115" s="59" t="s">
        <v>120</v>
      </c>
      <c r="B115" s="60"/>
      <c r="C115" s="60"/>
      <c r="D115" s="60"/>
      <c r="E115" s="60"/>
      <c r="F115" s="60"/>
      <c r="G115" s="60"/>
      <c r="H115" s="60"/>
    </row>
    <row r="116" spans="1:8" ht="15">
      <c r="A116" s="85" t="s">
        <v>124</v>
      </c>
      <c r="B116" s="82">
        <v>39447</v>
      </c>
      <c r="C116" s="61">
        <v>39813</v>
      </c>
      <c r="D116" s="61">
        <v>40178</v>
      </c>
      <c r="E116" s="60"/>
      <c r="F116" s="60"/>
      <c r="G116" s="60"/>
      <c r="H116" s="60"/>
    </row>
    <row r="117" spans="1:8" ht="15">
      <c r="A117" s="60"/>
      <c r="B117" s="60"/>
      <c r="C117" s="60"/>
      <c r="D117" s="60"/>
      <c r="E117" s="60"/>
      <c r="F117" s="60"/>
      <c r="G117" s="60"/>
      <c r="H117" s="60"/>
    </row>
    <row r="118" spans="1:8" ht="15">
      <c r="A118" s="60" t="s">
        <v>2</v>
      </c>
      <c r="B118" s="66">
        <v>0</v>
      </c>
      <c r="C118" s="64">
        <f>B126</f>
        <v>0</v>
      </c>
      <c r="D118" s="64">
        <f>C126</f>
        <v>3994910</v>
      </c>
      <c r="E118" s="60"/>
      <c r="F118" s="60"/>
      <c r="G118" s="60"/>
      <c r="H118" s="60"/>
    </row>
    <row r="119" spans="1:8" ht="15">
      <c r="A119" s="60" t="s">
        <v>115</v>
      </c>
      <c r="B119" s="63"/>
      <c r="C119" s="63"/>
      <c r="D119" s="63"/>
      <c r="E119" s="60"/>
      <c r="F119" s="60"/>
      <c r="G119" s="60"/>
      <c r="H119" s="60"/>
    </row>
    <row r="120" spans="1:8" ht="15">
      <c r="A120" s="60" t="s">
        <v>116</v>
      </c>
      <c r="B120" s="63">
        <f>B57</f>
        <v>0</v>
      </c>
      <c r="C120" s="63">
        <f>C57</f>
        <v>7989820</v>
      </c>
      <c r="D120" s="63">
        <f>D57</f>
        <v>7989820</v>
      </c>
      <c r="E120" s="60"/>
      <c r="F120" s="60"/>
      <c r="G120" s="60"/>
      <c r="H120" s="60"/>
    </row>
    <row r="121" spans="1:8" ht="15">
      <c r="A121" s="60" t="s">
        <v>106</v>
      </c>
      <c r="B121" s="66">
        <f>SUM(B118:B120)</f>
        <v>0</v>
      </c>
      <c r="C121" s="66">
        <f>SUM(C118:C120)</f>
        <v>7989820</v>
      </c>
      <c r="D121" s="66">
        <f>SUM(D118:D120)</f>
        <v>11984730</v>
      </c>
      <c r="E121" s="60"/>
      <c r="F121" s="60"/>
      <c r="G121" s="60"/>
      <c r="H121" s="60"/>
    </row>
    <row r="122" spans="1:8" ht="15">
      <c r="A122" s="60" t="s">
        <v>107</v>
      </c>
      <c r="B122" s="62">
        <f>SUM(B119:B120)/2</f>
        <v>0</v>
      </c>
      <c r="C122" s="62">
        <f>SUM(C119:C120)/2</f>
        <v>3994910</v>
      </c>
      <c r="D122" s="62">
        <f>SUM(D119:D120)/2</f>
        <v>3994910</v>
      </c>
      <c r="E122" s="60"/>
      <c r="F122" s="60"/>
      <c r="G122" s="60"/>
      <c r="H122" s="60"/>
    </row>
    <row r="123" spans="1:8" ht="15">
      <c r="A123" s="60" t="s">
        <v>108</v>
      </c>
      <c r="B123" s="64">
        <f>B118+B122</f>
        <v>0</v>
      </c>
      <c r="C123" s="64">
        <f>C118+C122</f>
        <v>3994910</v>
      </c>
      <c r="D123" s="64">
        <f>D118+D122</f>
        <v>7989820</v>
      </c>
      <c r="E123" s="60"/>
      <c r="F123" s="60"/>
      <c r="G123" s="60"/>
      <c r="H123" s="60"/>
    </row>
    <row r="124" spans="1:8" ht="15">
      <c r="A124" s="85" t="s">
        <v>125</v>
      </c>
      <c r="B124" s="81">
        <v>1</v>
      </c>
      <c r="C124" s="81">
        <v>1</v>
      </c>
      <c r="D124" s="81">
        <v>1</v>
      </c>
      <c r="E124" s="60"/>
      <c r="F124" s="60"/>
      <c r="G124" s="60"/>
      <c r="H124" s="60"/>
    </row>
    <row r="125" spans="1:8" ht="15">
      <c r="A125" s="60" t="s">
        <v>1</v>
      </c>
      <c r="B125" s="66">
        <f>B123*B124/3*2</f>
        <v>0</v>
      </c>
      <c r="C125" s="66">
        <f>C123*C124</f>
        <v>3994910</v>
      </c>
      <c r="D125" s="66">
        <f>D123*D124</f>
        <v>7989820</v>
      </c>
      <c r="E125" s="60"/>
      <c r="F125" s="60"/>
      <c r="G125" s="60"/>
      <c r="H125" s="60"/>
    </row>
    <row r="126" spans="1:8" ht="12.75" customHeight="1" thickBot="1">
      <c r="A126" s="60" t="s">
        <v>3</v>
      </c>
      <c r="B126" s="79">
        <f>B121-B125</f>
        <v>0</v>
      </c>
      <c r="C126" s="79">
        <f>C121-C125</f>
        <v>3994910</v>
      </c>
      <c r="D126" s="79">
        <f>D121-D125</f>
        <v>3994910</v>
      </c>
      <c r="E126" s="60"/>
      <c r="F126" s="60"/>
      <c r="G126" s="60"/>
      <c r="H126" s="60"/>
    </row>
  </sheetData>
  <printOptions/>
  <pageMargins left="1" right="0.49" top="1.08" bottom="0.33" header="0.5" footer="0.25"/>
  <pageSetup fitToHeight="2" horizontalDpi="600" verticalDpi="600" orientation="portrait" scale="46" r:id="rId1"/>
  <headerFooter alignWithMargins="0">
    <oddHeader>&amp;RHydro Onc Inc.
EB-XXXX-XXXX
Attachment X
</oddHeader>
  </headerFooter>
  <rowBreaks count="1" manualBreakCount="1"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Hydro Services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B2-01-03</dc:title>
  <dc:subject/>
  <dc:creator>387884</dc:creator>
  <cp:keywords/>
  <dc:description/>
  <cp:lastModifiedBy>sysadmin</cp:lastModifiedBy>
  <cp:lastPrinted>2009-01-28T01:07:35Z</cp:lastPrinted>
  <dcterms:created xsi:type="dcterms:W3CDTF">2000-11-30T14:21:41Z</dcterms:created>
  <dcterms:modified xsi:type="dcterms:W3CDTF">2009-01-28T01:07:37Z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dro One Data Classification">
    <vt:lpwstr>Internal Use (Only Internal information is not for release to the public)</vt:lpwstr>
  </property>
  <property fmtid="{D5CDD505-2E9C-101B-9397-08002B2CF9AE}" pid="3" name="Jurisdiction">
    <vt:lpwstr>OEB</vt:lpwstr>
  </property>
  <property fmtid="{D5CDD505-2E9C-101B-9397-08002B2CF9AE}" pid="4" name="Case Number/Docket Number">
    <vt:lpwstr>EB-2008-0187</vt:lpwstr>
  </property>
  <property fmtid="{D5CDD505-2E9C-101B-9397-08002B2CF9AE}" pid="5" name="ContentType">
    <vt:lpwstr>Regulatory Affairs Proceeding</vt:lpwstr>
  </property>
  <property fmtid="{D5CDD505-2E9C-101B-9397-08002B2CF9AE}" pid="6" name="Case Type">
    <vt:lpwstr>Electricity</vt:lpwstr>
  </property>
  <property fmtid="{D5CDD505-2E9C-101B-9397-08002B2CF9AE}" pid="7" name="Filing Status">
    <vt:lpwstr>Draft</vt:lpwstr>
  </property>
  <property fmtid="{D5CDD505-2E9C-101B-9397-08002B2CF9AE}" pid="8" name="Applicant">
    <vt:lpwstr>;#Hydro One Networks;#</vt:lpwstr>
  </property>
  <property fmtid="{D5CDD505-2E9C-101B-9397-08002B2CF9AE}" pid="9" name="Document Type">
    <vt:lpwstr>Prefiled evidence</vt:lpwstr>
  </property>
  <property fmtid="{D5CDD505-2E9C-101B-9397-08002B2CF9AE}" pid="10" name="Issue Date">
    <vt:lpwstr>2009-01-22T00:00:00Z</vt:lpwstr>
  </property>
  <property fmtid="{D5CDD505-2E9C-101B-9397-08002B2CF9AE}" pid="11" name="Authoring Party">
    <vt:lpwstr>Hydro One Networks</vt:lpwstr>
  </property>
  <property fmtid="{D5CDD505-2E9C-101B-9397-08002B2CF9AE}" pid="12" name="URL">
    <vt:lpwstr/>
  </property>
</Properties>
</file>