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70" windowHeight="9165" firstSheet="2" activeTab="3"/>
  </bookViews>
  <sheets>
    <sheet name="G2.1 Threshold Test" sheetId="1" r:id="rId1"/>
    <sheet name="G3.1 Incremental Depn CCA Facto" sheetId="2" r:id="rId2"/>
    <sheet name="G4.1 IncrementalCapitalAdj" sheetId="3" r:id="rId3"/>
    <sheet name="G4.3 IncrCap RRider OpB Vo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">'G2.1 Threshold Test'!$K$42</definedName>
    <definedName name="db">'G2.1 Threshold Test'!$K$12</definedName>
    <definedName name="g">'G2.1 Threshold Test'!$K$11</definedName>
    <definedName name="PCI">'G2.1 Threshold Test'!$K$10</definedName>
    <definedName name="_xlnm.Print_Area" localSheetId="2">'G4.1 IncrementalCapitalAdj'!$C$1:$H$85</definedName>
    <definedName name="RB">'G2.1 Threshold Test'!$K$40</definedName>
  </definedNames>
  <calcPr fullCalcOnLoad="1"/>
</workbook>
</file>

<file path=xl/sharedStrings.xml><?xml version="1.0" encoding="utf-8"?>
<sst xmlns="http://schemas.openxmlformats.org/spreadsheetml/2006/main" count="364" uniqueCount="219">
  <si>
    <t>Current Revenue Requirement</t>
  </si>
  <si>
    <t>Current Revenue Requirement - General</t>
  </si>
  <si>
    <t>A</t>
  </si>
  <si>
    <t>Current Revenue Requirement - Unique</t>
  </si>
  <si>
    <t>B</t>
  </si>
  <si>
    <t>Current Revenue Requirement - Total</t>
  </si>
  <si>
    <t>C = A + B</t>
  </si>
  <si>
    <t>Return on Rate Base</t>
  </si>
  <si>
    <t>Incremental Capital CAPEX</t>
  </si>
  <si>
    <t>D</t>
  </si>
  <si>
    <t>Depreciation Expense as a percentage of Gross Fixed Assets - Reporting Years</t>
  </si>
  <si>
    <t>E</t>
  </si>
  <si>
    <t>F = D * E</t>
  </si>
  <si>
    <t>Incremental Capital CAPEX to be included in Rate Base</t>
  </si>
  <si>
    <t>G = D + F</t>
  </si>
  <si>
    <t>Deemed ShortTerm Debt %</t>
  </si>
  <si>
    <t>H</t>
  </si>
  <si>
    <t>J = G * H</t>
  </si>
  <si>
    <t>Deemed Long Term Debt %</t>
  </si>
  <si>
    <t>I</t>
  </si>
  <si>
    <t>K = G * I</t>
  </si>
  <si>
    <t>Short Term Interest</t>
  </si>
  <si>
    <t>L</t>
  </si>
  <si>
    <t>N = J * L</t>
  </si>
  <si>
    <t>Long Term Interest</t>
  </si>
  <si>
    <t>M</t>
  </si>
  <si>
    <t>O =K * M</t>
  </si>
  <si>
    <t>Return on Rate Base - Interest</t>
  </si>
  <si>
    <t>P = N + O</t>
  </si>
  <si>
    <t>aaa</t>
  </si>
  <si>
    <t>Deemed Equity %</t>
  </si>
  <si>
    <t>Q</t>
  </si>
  <si>
    <t>R = G * Q</t>
  </si>
  <si>
    <t>Return on Rate Base -Equity</t>
  </si>
  <si>
    <t>S</t>
  </si>
  <si>
    <t>T =  R * S</t>
  </si>
  <si>
    <t>Return on Rate Base - Total</t>
  </si>
  <si>
    <t>U = P + T</t>
  </si>
  <si>
    <t>Amortization Expense</t>
  </si>
  <si>
    <t>V = D</t>
  </si>
  <si>
    <t>W</t>
  </si>
  <si>
    <t>Amortization Expense - Incremental</t>
  </si>
  <si>
    <t>X = V * W</t>
  </si>
  <si>
    <t>Grossed up PIL's</t>
  </si>
  <si>
    <t>Regulatory Taxable Income</t>
  </si>
  <si>
    <t>Y = T</t>
  </si>
  <si>
    <t>Add Back Amortization Expense</t>
  </si>
  <si>
    <t>Z = X</t>
  </si>
  <si>
    <t>AA = D</t>
  </si>
  <si>
    <t>CCA as a percent of Average UCC</t>
  </si>
  <si>
    <t>AB</t>
  </si>
  <si>
    <t>Deduct CCA</t>
  </si>
  <si>
    <t>AC = AA * AB</t>
  </si>
  <si>
    <t>Incremental Taxable Income</t>
  </si>
  <si>
    <t>AD = Y + Z - AC</t>
  </si>
  <si>
    <r>
      <t>Current Tax Rate</t>
    </r>
    <r>
      <rPr>
        <sz val="8"/>
        <rFont val="Arial"/>
        <family val="2"/>
      </rPr>
      <t xml:space="preserve"> (F1.1 Z-Factor Tax Changes)</t>
    </r>
  </si>
  <si>
    <t>AE</t>
  </si>
  <si>
    <t>PIL's Before Gross Up</t>
  </si>
  <si>
    <t>AF = AD * AE</t>
  </si>
  <si>
    <t>Incremental Grossed Up PIL's</t>
  </si>
  <si>
    <t xml:space="preserve">AG = AF / ( 1 - AE ) </t>
  </si>
  <si>
    <t>Ontario Capital Tax</t>
  </si>
  <si>
    <t>AH = D</t>
  </si>
  <si>
    <t>Less : Available Capital Exemption (if any)</t>
  </si>
  <si>
    <t>AJ</t>
  </si>
  <si>
    <t>Incremental Capital CAPEX subject to OCT</t>
  </si>
  <si>
    <t>AK</t>
  </si>
  <si>
    <r>
      <t xml:space="preserve">Ontario Capital Tax Rate </t>
    </r>
    <r>
      <rPr>
        <sz val="8"/>
        <rFont val="Arial"/>
        <family val="2"/>
      </rPr>
      <t>(F1.1 Z-Factor Tax Changes)</t>
    </r>
  </si>
  <si>
    <t>AL</t>
  </si>
  <si>
    <t>Incremental Ontario Capital Tax</t>
  </si>
  <si>
    <t>AM = AK * AL</t>
  </si>
  <si>
    <t>Incremental Revenue Requirement</t>
  </si>
  <si>
    <t>AN</t>
  </si>
  <si>
    <t>Amortization Expense - Total</t>
  </si>
  <si>
    <t>AO</t>
  </si>
  <si>
    <t>AP</t>
  </si>
  <si>
    <t>AQ</t>
  </si>
  <si>
    <t>AR = AN + AO + AP + AQ</t>
  </si>
  <si>
    <t>Balance Sheet</t>
  </si>
  <si>
    <t>Year</t>
  </si>
  <si>
    <t>Status</t>
  </si>
  <si>
    <t>Fixed Assets &amp; Accumulated Depreciation</t>
  </si>
  <si>
    <t>Gross Fixed Assets -Opening</t>
  </si>
  <si>
    <t>Add: CWIP  Opening</t>
  </si>
  <si>
    <t>Capital Additions</t>
  </si>
  <si>
    <t>Capital Disposals</t>
  </si>
  <si>
    <t>Capital Retirements</t>
  </si>
  <si>
    <t>Deduct: CWIP Closing</t>
  </si>
  <si>
    <t>Gross Fixed Assets - Closing</t>
  </si>
  <si>
    <t>Accumulated Depreciation - Opening</t>
  </si>
  <si>
    <t>Depreciation Expense</t>
  </si>
  <si>
    <t>Disposals</t>
  </si>
  <si>
    <t>Retirements</t>
  </si>
  <si>
    <t>Accumulated Depreciation - Closing</t>
  </si>
  <si>
    <t>Depreciation Expense as a percentage of Gross Fixed Assets</t>
  </si>
  <si>
    <t>Depreciation Expense on Gross Fixed Assets attributable to prior years</t>
  </si>
  <si>
    <t>Depreciation Expense on Gross Fixed Assets attributable to reporting years</t>
  </si>
  <si>
    <t>Depreciation Expense on Gross Fixed Assets</t>
  </si>
  <si>
    <t>Gross Fixed Assets attributable to prior years</t>
  </si>
  <si>
    <t>Gross Fixed Assets attributable to reporting years</t>
  </si>
  <si>
    <t>Depreciation Expense as a percentage of Gross Fixed Assets - Prior Years</t>
  </si>
  <si>
    <t>C = A / B</t>
  </si>
  <si>
    <t>Depreciation Expense as a percentage of Gross Fixed Assets - Reporting Years
Times 2 (Two) to adjust for half-year rule</t>
  </si>
  <si>
    <t>D = C * 2</t>
  </si>
  <si>
    <t>Income Tax Return</t>
  </si>
  <si>
    <r>
      <t xml:space="preserve">Undepreciated Capital Cost and Captial Cost Allowance
</t>
    </r>
    <r>
      <rPr>
        <sz val="10"/>
        <rFont val="Arial"/>
        <family val="2"/>
      </rPr>
      <t>(as derived from CCRA T2 SCH 8 (99))</t>
    </r>
  </si>
  <si>
    <t>Undepreciated capital cost at the beginning of the year</t>
  </si>
  <si>
    <t>Cost of acquisitions during the year (new property must be available for use)</t>
  </si>
  <si>
    <t>Net adjustments</t>
  </si>
  <si>
    <t>Proceeds of dispositions during the year (amount not to exceed the capital cost)</t>
  </si>
  <si>
    <t>Undepreciated capital cost</t>
  </si>
  <si>
    <t>50% rule (1/2 of the amount, if any, by which the net cost of acquisitions exceeds row 5)</t>
  </si>
  <si>
    <t>Reduced undepreciated capital cost (row 6 minus row 7)</t>
  </si>
  <si>
    <t>Recapture of capital cost allowance</t>
  </si>
  <si>
    <t>Terminal loss</t>
  </si>
  <si>
    <t>Capital cost allowance</t>
  </si>
  <si>
    <t>Undepreciated capital cost at the end of the year (row 6 minus row 12)</t>
  </si>
  <si>
    <t>CCA on Opening UCC</t>
  </si>
  <si>
    <t>CCA on Additions To UCC</t>
  </si>
  <si>
    <t>CCA on Other Adjustments</t>
  </si>
  <si>
    <t>CCA Claimed</t>
  </si>
  <si>
    <t>CCA as a percent of UCC</t>
  </si>
  <si>
    <t>Opening UCC</t>
  </si>
  <si>
    <t>F</t>
  </si>
  <si>
    <t>Other Adjustments</t>
  </si>
  <si>
    <t>Closing UCC</t>
  </si>
  <si>
    <t>CCA as a percent of Opening UCC and Disposals From UCC</t>
  </si>
  <si>
    <t>CCA as a percent of Additions To UCC</t>
  </si>
  <si>
    <t>G = E / F</t>
  </si>
  <si>
    <t>Control</t>
  </si>
  <si>
    <t>Rate Class</t>
  </si>
  <si>
    <t>Fixed Metric</t>
  </si>
  <si>
    <t>Vol Metric</t>
  </si>
  <si>
    <t>Billed kWh</t>
  </si>
  <si>
    <t>Billed kW</t>
  </si>
  <si>
    <t>Distribution Volumetric Rate kWh Rate Rider</t>
  </si>
  <si>
    <t>Distribution Volumetric Rate kW Rate Rider</t>
  </si>
  <si>
    <t>C</t>
  </si>
  <si>
    <t xml:space="preserve">I </t>
  </si>
  <si>
    <t>N</t>
  </si>
  <si>
    <t>Actual</t>
  </si>
  <si>
    <t>Re-Basing</t>
  </si>
  <si>
    <t>Forecast</t>
  </si>
  <si>
    <t>Proposed</t>
  </si>
  <si>
    <t>Price Cap Index</t>
  </si>
  <si>
    <t>Growth</t>
  </si>
  <si>
    <t>Dead Band</t>
  </si>
  <si>
    <t>Average Net Fixed Assets</t>
  </si>
  <si>
    <t>Gross Fixed Assets Opening</t>
  </si>
  <si>
    <t>Add: CWIP Opening</t>
  </si>
  <si>
    <t>Average Gross Fixed Assets</t>
  </si>
  <si>
    <t>G</t>
  </si>
  <si>
    <t>Average Accumulated Depreciation</t>
  </si>
  <si>
    <t xml:space="preserve">Average Net Fixed Assets </t>
  </si>
  <si>
    <t>Working Capital Allowance</t>
  </si>
  <si>
    <t>Working Capital Allowance Base</t>
  </si>
  <si>
    <t>Working Capital Allowance Rate</t>
  </si>
  <si>
    <t>Rate Base</t>
  </si>
  <si>
    <t>J = H + I</t>
  </si>
  <si>
    <t>Depreciation</t>
  </si>
  <si>
    <t>K</t>
  </si>
  <si>
    <t>Threshold Test</t>
  </si>
  <si>
    <t>L = 1 + ( J / K) * ( B + A * ( 1 + B)) + C</t>
  </si>
  <si>
    <t>Threshold CAPEX</t>
  </si>
  <si>
    <t>M = K * L</t>
  </si>
  <si>
    <t>Proposed CAPEX</t>
  </si>
  <si>
    <t>CWIP Opening</t>
  </si>
  <si>
    <t>O</t>
  </si>
  <si>
    <t>CWIP Closing</t>
  </si>
  <si>
    <t>P</t>
  </si>
  <si>
    <t>Q = N + O + P</t>
  </si>
  <si>
    <t>R = Q - M</t>
  </si>
  <si>
    <t>2009 OEB 3GIRM Supplementary Filing Module</t>
  </si>
  <si>
    <t>Oshawa PUC Network Inc.  Application Number EB 2008-0205   LDC Licence Number  ED-2002-0560</t>
  </si>
  <si>
    <t>* Model is copied from 209 OEB 3GIRM Supplementary Filing Models (only modiification is that Incremental Capital amount being sought is not total difference in balance between CAPEX Threshold</t>
  </si>
  <si>
    <t>*</t>
  </si>
  <si>
    <t xml:space="preserve">* Model is copied from 209 OEB 3GIRM Supplementary Filing Models (only modiification is that Incremental Capital amount being sought is not total difference </t>
  </si>
  <si>
    <t xml:space="preserve">  in balance between CAPEX Threshold and the 2009 Budgeted Capex but rather Budgeted amounts on four specific Projects.</t>
  </si>
  <si>
    <t>Total Revenue $ by Rate Class</t>
  </si>
  <si>
    <t>Total Revenue % by Rate Class</t>
  </si>
  <si>
    <t>Total Incremental Capital $ by Rate Class</t>
  </si>
  <si>
    <t>B = A / $H</t>
  </si>
  <si>
    <t>C = $I * B</t>
  </si>
  <si>
    <t>F = C / D</t>
  </si>
  <si>
    <t>G = C / E</t>
  </si>
  <si>
    <t>Residential</t>
  </si>
  <si>
    <t>Customer</t>
  </si>
  <si>
    <t>kWh</t>
  </si>
  <si>
    <t/>
  </si>
  <si>
    <t>General Service Less Than 50 kW</t>
  </si>
  <si>
    <t>General Service 50 to 999 kW</t>
  </si>
  <si>
    <t>kW</t>
  </si>
  <si>
    <t>General Service 1,000 to 4,999 kW</t>
  </si>
  <si>
    <t>Large Use &gt; 5000 kW</t>
  </si>
  <si>
    <t>Unmetered Scattered Load</t>
  </si>
  <si>
    <t>Sentinel Lighting</t>
  </si>
  <si>
    <t>Connection</t>
  </si>
  <si>
    <t>Street Lighting</t>
  </si>
  <si>
    <t>Rate Class 9</t>
  </si>
  <si>
    <t>NA</t>
  </si>
  <si>
    <t>Rate Class 10</t>
  </si>
  <si>
    <t>Rate Class 11</t>
  </si>
  <si>
    <t>Rate Class 12</t>
  </si>
  <si>
    <t>Rate Class 13</t>
  </si>
  <si>
    <t>Rate Class 14</t>
  </si>
  <si>
    <t>Rate Class 15</t>
  </si>
  <si>
    <t>Rate Class 16</t>
  </si>
  <si>
    <t>Rate Class 17</t>
  </si>
  <si>
    <t>Rate Class 18</t>
  </si>
  <si>
    <t>Rate Class 19</t>
  </si>
  <si>
    <t>Rate Class 20</t>
  </si>
  <si>
    <t>Rate Class 21</t>
  </si>
  <si>
    <t>Rate Class 22</t>
  </si>
  <si>
    <t>Rate Class 23</t>
  </si>
  <si>
    <t>Rate Class 24</t>
  </si>
  <si>
    <t>Rate Class 25</t>
  </si>
  <si>
    <t xml:space="preserve">   and the 2009 Budgeted Capex but rather Budgeted amounts on four specific Projects. MS Station with Budget of $2.1 Million is excluded in 2009 Budget as Project included in approved Capital Expenditures</t>
  </si>
  <si>
    <t xml:space="preserve"> in 2008 Cost of Service Application.</t>
  </si>
  <si>
    <t>fully utilized in regular tax filing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</si>
</sst>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0.0%"/>
    <numFmt numFmtId="166" formatCode="&quot;$&quot;#,##0.00"/>
    <numFmt numFmtId="167" formatCode="0.000%"/>
    <numFmt numFmtId="168" formatCode="_-* #,##0.00_-;\-* #,##0.00_-;_-* &quot;-&quot;??_-;_-@_-"/>
    <numFmt numFmtId="169" formatCode="_(* #,##0.0_);_(* \(#,##0.0\);_(* &quot;-&quot;?_);_(@_)"/>
    <numFmt numFmtId="170" formatCode="_-&quot;$&quot;* #,##0.00_-;\-&quot;$&quot;* #,##0.00_-;_-&quot;$&quot;* &quot;-&quot;??_-;_-@_-"/>
    <numFmt numFmtId="171" formatCode="&quot;$&quot;#,##0.000000"/>
    <numFmt numFmtId="172" formatCode="&quot;$&quot;#,##0"/>
    <numFmt numFmtId="173" formatCode="0.0000"/>
    <numFmt numFmtId="174" formatCode="0.00000"/>
    <numFmt numFmtId="175" formatCode="0.000"/>
    <numFmt numFmtId="176" formatCode="0.0"/>
    <numFmt numFmtId="177" formatCode="_(* #,##0.000_);_(* \(#,##0.000\);_(* &quot;-&quot;?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2" borderId="4" xfId="17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6" xfId="17" applyNumberFormat="1" applyFont="1" applyBorder="1" applyAlignment="1" applyProtection="1">
      <alignment/>
      <protection/>
    </xf>
    <xf numFmtId="164" fontId="0" fillId="2" borderId="6" xfId="17" applyNumberFormat="1" applyFont="1" applyFill="1" applyBorder="1" applyAlignment="1" applyProtection="1">
      <alignment/>
      <protection/>
    </xf>
    <xf numFmtId="164" fontId="0" fillId="2" borderId="7" xfId="17" applyNumberFormat="1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4" fontId="0" fillId="0" borderId="10" xfId="17" applyNumberFormat="1" applyFont="1" applyBorder="1" applyAlignment="1" applyProtection="1">
      <alignment/>
      <protection/>
    </xf>
    <xf numFmtId="164" fontId="0" fillId="0" borderId="0" xfId="17" applyNumberFormat="1" applyFont="1" applyAlignment="1" applyProtection="1">
      <alignment/>
      <protection/>
    </xf>
    <xf numFmtId="0" fontId="0" fillId="0" borderId="5" xfId="0" applyBorder="1" applyAlignment="1" applyProtection="1">
      <alignment vertical="center" wrapText="1"/>
      <protection/>
    </xf>
    <xf numFmtId="165" fontId="0" fillId="2" borderId="0" xfId="2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2" borderId="0" xfId="2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164" fontId="0" fillId="0" borderId="4" xfId="17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166" fontId="0" fillId="2" borderId="0" xfId="0" applyNumberFormat="1" applyFill="1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64" fontId="0" fillId="3" borderId="6" xfId="17" applyNumberFormat="1" applyFont="1" applyFill="1" applyBorder="1" applyAlignment="1" applyProtection="1">
      <alignment/>
      <protection locked="0"/>
    </xf>
    <xf numFmtId="164" fontId="0" fillId="2" borderId="12" xfId="17" applyNumberFormat="1" applyFont="1" applyFill="1" applyBorder="1" applyAlignment="1" applyProtection="1">
      <alignment/>
      <protection/>
    </xf>
    <xf numFmtId="167" fontId="0" fillId="2" borderId="0" xfId="20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indent="1"/>
      <protection/>
    </xf>
    <xf numFmtId="164" fontId="6" fillId="2" borderId="0" xfId="17" applyNumberFormat="1" applyFill="1" applyAlignment="1" applyProtection="1">
      <alignment/>
      <protection/>
    </xf>
    <xf numFmtId="164" fontId="6" fillId="3" borderId="0" xfId="17" applyNumberFormat="1" applyFill="1" applyAlignment="1" applyProtection="1">
      <alignment/>
      <protection locked="0"/>
    </xf>
    <xf numFmtId="164" fontId="6" fillId="2" borderId="13" xfId="17" applyNumberFormat="1" applyFill="1" applyBorder="1" applyAlignment="1" applyProtection="1">
      <alignment/>
      <protection/>
    </xf>
    <xf numFmtId="164" fontId="2" fillId="2" borderId="0" xfId="17" applyNumberFormat="1" applyFont="1" applyFill="1" applyAlignment="1" applyProtection="1">
      <alignment/>
      <protection/>
    </xf>
    <xf numFmtId="9" fontId="0" fillId="0" borderId="0" xfId="20" applyFont="1" applyAlignment="1" applyProtection="1">
      <alignment/>
      <protection/>
    </xf>
    <xf numFmtId="9" fontId="2" fillId="0" borderId="0" xfId="20" applyFont="1" applyAlignment="1" applyProtection="1">
      <alignment/>
      <protection/>
    </xf>
    <xf numFmtId="0" fontId="2" fillId="0" borderId="0" xfId="0" applyFont="1" applyAlignment="1" applyProtection="1">
      <alignment horizontal="left" wrapText="1" indent="1"/>
      <protection/>
    </xf>
    <xf numFmtId="0" fontId="1" fillId="0" borderId="0" xfId="0" applyFont="1" applyBorder="1" applyAlignment="1" applyProtection="1">
      <alignment horizontal="left" wrapText="1"/>
      <protection/>
    </xf>
    <xf numFmtId="164" fontId="0" fillId="3" borderId="0" xfId="17" applyNumberFormat="1" applyFont="1" applyFill="1" applyAlignment="1" applyProtection="1">
      <alignment/>
      <protection locked="0"/>
    </xf>
    <xf numFmtId="164" fontId="0" fillId="2" borderId="14" xfId="1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3" borderId="0" xfId="17" applyNumberFormat="1" applyFont="1" applyFill="1" applyAlignment="1" applyProtection="1">
      <alignment/>
      <protection locked="0"/>
    </xf>
    <xf numFmtId="164" fontId="0" fillId="2" borderId="13" xfId="17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3" borderId="0" xfId="17" applyNumberFormat="1" applyFont="1" applyFill="1" applyAlignment="1" applyProtection="1">
      <alignment/>
      <protection locked="0"/>
    </xf>
    <xf numFmtId="43" fontId="4" fillId="0" borderId="0" xfId="15" applyFont="1" applyAlignment="1" applyProtection="1">
      <alignment/>
      <protection/>
    </xf>
    <xf numFmtId="164" fontId="0" fillId="2" borderId="0" xfId="17" applyNumberFormat="1" applyFont="1" applyFill="1" applyAlignment="1" applyProtection="1">
      <alignment/>
      <protection/>
    </xf>
    <xf numFmtId="10" fontId="0" fillId="4" borderId="0" xfId="0" applyNumberFormat="1" applyFill="1" applyBorder="1" applyAlignment="1" applyProtection="1">
      <alignment horizontal="center" vertical="center"/>
      <protection/>
    </xf>
    <xf numFmtId="10" fontId="0" fillId="4" borderId="0" xfId="0" applyNumberForma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center"/>
      <protection/>
    </xf>
    <xf numFmtId="0" fontId="0" fillId="0" borderId="0" xfId="19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6" borderId="0" xfId="19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3" fontId="0" fillId="2" borderId="0" xfId="19" applyNumberFormat="1" applyFill="1" applyProtection="1">
      <alignment/>
      <protection/>
    </xf>
    <xf numFmtId="171" fontId="0" fillId="2" borderId="0" xfId="19" applyNumberFormat="1" applyFill="1" applyProtection="1">
      <alignment/>
      <protection/>
    </xf>
    <xf numFmtId="0" fontId="0" fillId="0" borderId="0" xfId="19" applyProtection="1">
      <alignment/>
      <protection/>
    </xf>
    <xf numFmtId="0" fontId="0" fillId="4" borderId="0" xfId="0" applyFill="1" applyAlignment="1" applyProtection="1">
      <alignment horizontal="center"/>
      <protection/>
    </xf>
    <xf numFmtId="10" fontId="2" fillId="2" borderId="0" xfId="0" applyNumberFormat="1" applyFont="1" applyFill="1" applyAlignment="1" applyProtection="1">
      <alignment horizontal="center"/>
      <protection/>
    </xf>
    <xf numFmtId="9" fontId="2" fillId="2" borderId="0" xfId="20" applyFont="1" applyFill="1" applyAlignment="1" applyProtection="1">
      <alignment horizontal="center"/>
      <protection/>
    </xf>
    <xf numFmtId="164" fontId="0" fillId="2" borderId="14" xfId="17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 indent="2"/>
      <protection/>
    </xf>
    <xf numFmtId="9" fontId="0" fillId="2" borderId="0" xfId="20" applyFont="1" applyFill="1" applyAlignment="1" applyProtection="1">
      <alignment horizontal="center"/>
      <protection/>
    </xf>
    <xf numFmtId="164" fontId="2" fillId="2" borderId="13" xfId="17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0" fontId="2" fillId="2" borderId="0" xfId="20" applyNumberFormat="1" applyFon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/>
    </xf>
    <xf numFmtId="164" fontId="2" fillId="2" borderId="13" xfId="0" applyNumberFormat="1" applyFont="1" applyFill="1" applyBorder="1" applyAlignment="1" applyProtection="1">
      <alignment/>
      <protection/>
    </xf>
    <xf numFmtId="165" fontId="0" fillId="2" borderId="0" xfId="20" applyNumberFormat="1" applyFon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" fillId="2" borderId="0" xfId="20" applyNumberFormat="1" applyFont="1" applyFill="1" applyAlignment="1" applyProtection="1">
      <alignment/>
      <protection/>
    </xf>
    <xf numFmtId="165" fontId="0" fillId="0" borderId="0" xfId="20" applyNumberFormat="1" applyFont="1" applyAlignment="1" applyProtection="1">
      <alignment/>
      <protection/>
    </xf>
    <xf numFmtId="165" fontId="2" fillId="5" borderId="0" xfId="2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/>
    </xf>
    <xf numFmtId="172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72" fontId="6" fillId="2" borderId="13" xfId="19" applyNumberFormat="1" applyFont="1" applyFill="1" applyBorder="1" applyProtection="1">
      <alignment/>
      <protection/>
    </xf>
    <xf numFmtId="10" fontId="6" fillId="2" borderId="13" xfId="19" applyNumberFormat="1" applyFont="1" applyFill="1" applyBorder="1" applyProtection="1">
      <alignment/>
      <protection/>
    </xf>
    <xf numFmtId="165" fontId="2" fillId="4" borderId="0" xfId="20" applyNumberFormat="1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re Model Version 0.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Present%20OEB%20Models\OPUCN%202009%20OEB%203GIRM%20Supplementar%20y%20Filing%20Mod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Depn%20for%20IRM%2020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C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OPUCN%202009%20OEB%203GIRM%20Supplementar%20y%20Filing%20Modu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Depn%20for%20IRM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A3.1 General Data"/>
      <sheetName val="B1.1 Re-Basing Revenue - Gen"/>
      <sheetName val="B2.1 Re-Basing Revenue - Unique"/>
      <sheetName val="B3.1 Re-Basing Reven Requiremt"/>
      <sheetName val="C1.1 CA RevCst -Fil Infor - Gen"/>
      <sheetName val="C1.2 CA RevCst -Fil Infor - Unq"/>
      <sheetName val="C2.1 CA RevCst- Curr Pos - Gen"/>
      <sheetName val="C2.2 CA RevCst -Curr Pos - Unq"/>
      <sheetName val="C3.1 CA RevCst -PropPos- Gen"/>
      <sheetName val="C3.2 CA RevCst -PropPos- Unq"/>
      <sheetName val="C4.1 CA RevCst-RateRe-alloc-Gen"/>
      <sheetName val="C4.2 CA RevCst-RateRe-alloc-Unq"/>
      <sheetName val="C4.3 RevCst Adjustment Test"/>
      <sheetName val="D1.1 Ld Act-Mst Rcent Yr - Gen"/>
      <sheetName val="D1.2 Ld Act-Mst Rcent Yr - Uniq"/>
      <sheetName val="E1.1 CapitalStructureTransition"/>
      <sheetName val="E1.2 K-Factor Adjustment"/>
      <sheetName val="F1.1 Z-Factor Tax Changes"/>
      <sheetName val="F1.2 CalcTaxChg RRider OptA FV"/>
      <sheetName val="F1.3 CalcTaxChg RRider OptB Vol"/>
      <sheetName val="G1.1 Threshold Parameters"/>
      <sheetName val="G2.1 Threshold Test"/>
      <sheetName val="G3.1 Depreciation CCA Factors"/>
      <sheetName val="G4.1 IncrementalCapitalAdjust"/>
      <sheetName val="G5.1 Calc Incr Cap RRider - Gen"/>
      <sheetName val="G4.2 Incr Cap RRider Opt A FV"/>
      <sheetName val="G4.3 Incr Cap RRider Opt B Vol "/>
      <sheetName val="Z1.0 OEB Control Sheet"/>
      <sheetName val="Z1.1 Buttons"/>
    </sheetNames>
    <sheetDataSet>
      <sheetData sheetId="3">
        <row r="47">
          <cell r="T47">
            <v>18879309.692099996</v>
          </cell>
        </row>
      </sheetData>
      <sheetData sheetId="4">
        <row r="32">
          <cell r="T32">
            <v>0</v>
          </cell>
        </row>
      </sheetData>
      <sheetData sheetId="18">
        <row r="48">
          <cell r="E48">
            <v>0.04</v>
          </cell>
        </row>
        <row r="49">
          <cell r="E49">
            <v>0.527</v>
          </cell>
        </row>
        <row r="50">
          <cell r="E50">
            <v>0.433</v>
          </cell>
        </row>
        <row r="52">
          <cell r="E52">
            <v>0.0447</v>
          </cell>
        </row>
        <row r="53">
          <cell r="E53">
            <v>0.058206</v>
          </cell>
        </row>
        <row r="54">
          <cell r="E54">
            <v>0.0857</v>
          </cell>
        </row>
      </sheetData>
      <sheetData sheetId="19">
        <row r="126">
          <cell r="G126">
            <v>0.00225</v>
          </cell>
        </row>
        <row r="133">
          <cell r="G133">
            <v>0.33</v>
          </cell>
        </row>
      </sheetData>
      <sheetData sheetId="23">
        <row r="20">
          <cell r="E20">
            <v>2005</v>
          </cell>
          <cell r="G20">
            <v>2006</v>
          </cell>
          <cell r="I20">
            <v>2007</v>
          </cell>
          <cell r="K20">
            <v>2008</v>
          </cell>
          <cell r="M20">
            <v>2008</v>
          </cell>
          <cell r="O20">
            <v>2009</v>
          </cell>
        </row>
        <row r="21">
          <cell r="E21" t="str">
            <v>Actual</v>
          </cell>
          <cell r="G21" t="str">
            <v>Actual</v>
          </cell>
          <cell r="I21" t="str">
            <v>Actual</v>
          </cell>
          <cell r="K21" t="str">
            <v>Re-Basing</v>
          </cell>
          <cell r="M21" t="str">
            <v>Forecast</v>
          </cell>
          <cell r="O21" t="str">
            <v>Proposed</v>
          </cell>
        </row>
        <row r="27">
          <cell r="E27">
            <v>42296955</v>
          </cell>
          <cell r="G27">
            <v>51935955</v>
          </cell>
          <cell r="I27">
            <v>60919955</v>
          </cell>
          <cell r="K27">
            <v>71763140</v>
          </cell>
          <cell r="M27">
            <v>72098955</v>
          </cell>
          <cell r="O27">
            <v>81389197</v>
          </cell>
        </row>
        <row r="28">
          <cell r="K28">
            <v>0</v>
          </cell>
        </row>
        <row r="29">
          <cell r="E29">
            <v>10239000</v>
          </cell>
          <cell r="G29">
            <v>9519000</v>
          </cell>
          <cell r="I29">
            <v>11388000</v>
          </cell>
          <cell r="K29">
            <v>10993345</v>
          </cell>
          <cell r="M29">
            <v>9290242</v>
          </cell>
        </row>
        <row r="30">
          <cell r="E30">
            <v>-600000</v>
          </cell>
          <cell r="G30">
            <v>-535000</v>
          </cell>
          <cell r="I30">
            <v>-209000</v>
          </cell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E33">
            <v>51935955</v>
          </cell>
          <cell r="G33">
            <v>60919955</v>
          </cell>
          <cell r="I33">
            <v>72098955</v>
          </cell>
          <cell r="K33">
            <v>82756485</v>
          </cell>
          <cell r="M33">
            <v>81389197</v>
          </cell>
          <cell r="O33">
            <v>93193021</v>
          </cell>
        </row>
        <row r="37">
          <cell r="E37">
            <v>12138000</v>
          </cell>
          <cell r="G37">
            <v>15599000</v>
          </cell>
          <cell r="I37">
            <v>19422000</v>
          </cell>
          <cell r="K37">
            <v>25551378</v>
          </cell>
          <cell r="M37">
            <v>23996000</v>
          </cell>
          <cell r="O37">
            <v>29212362.5577</v>
          </cell>
        </row>
        <row r="38">
          <cell r="E38">
            <v>4061000</v>
          </cell>
          <cell r="G38">
            <v>4342000</v>
          </cell>
          <cell r="I38">
            <v>4783000</v>
          </cell>
          <cell r="K38">
            <v>4395489</v>
          </cell>
          <cell r="M38">
            <v>5216362.5577</v>
          </cell>
          <cell r="O38">
            <v>5672984.7785</v>
          </cell>
        </row>
        <row r="39">
          <cell r="E39">
            <v>-600000</v>
          </cell>
          <cell r="G39">
            <v>-519000</v>
          </cell>
          <cell r="I39">
            <v>-209000</v>
          </cell>
          <cell r="K39">
            <v>0</v>
          </cell>
        </row>
        <row r="40">
          <cell r="E40">
            <v>0</v>
          </cell>
          <cell r="G40">
            <v>0</v>
          </cell>
          <cell r="I40">
            <v>0</v>
          </cell>
          <cell r="K40">
            <v>0</v>
          </cell>
        </row>
        <row r="41">
          <cell r="E41">
            <v>15599000</v>
          </cell>
          <cell r="G41">
            <v>19422000</v>
          </cell>
          <cell r="I41">
            <v>23996000</v>
          </cell>
          <cell r="K41">
            <v>29946867</v>
          </cell>
          <cell r="M41">
            <v>29212362.5577</v>
          </cell>
          <cell r="O41">
            <v>34885347.3362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M46">
            <v>508362.5577</v>
          </cell>
          <cell r="O46">
            <v>521822.2208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A"/>
      <sheetName val="Sheet2"/>
      <sheetName val="Sheet3"/>
    </sheetNames>
    <sheetDataSet>
      <sheetData sheetId="0">
        <row r="31">
          <cell r="O31">
            <v>491976.31499999994</v>
          </cell>
        </row>
        <row r="65">
          <cell r="O65">
            <v>601320.96</v>
          </cell>
        </row>
        <row r="67">
          <cell r="O67">
            <v>4056949.027252104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A3.1 General Data"/>
      <sheetName val="B1.1 Re-Basing Revenue - Gen"/>
      <sheetName val="B2.1 Re-Basing Revenue - Unique"/>
      <sheetName val="B3.1 Re-Basing Reven Requiremt"/>
      <sheetName val="C1.1 CA RevCst -Fil Infor - Gen"/>
      <sheetName val="C1.2 CA RevCst -Fil Infor - Unq"/>
      <sheetName val="C2.1 CA RevCst- Curr Pos - Gen"/>
      <sheetName val="C2.2 CA RevCst -Curr Pos - Unq"/>
      <sheetName val="C3.1 CA RevCst -PropPos- Gen"/>
      <sheetName val="C3.2 CA RevCst -PropPos- Unq"/>
      <sheetName val="C4.1 CA RevCst-RateRe-alloc-Gen"/>
      <sheetName val="C4.2 CA RevCst-RateRe-alloc-Unq"/>
      <sheetName val="C4.3 RevCst Adjustment Test"/>
      <sheetName val="D1.1 Ld Act-Mst Rcent Yr - Gen"/>
      <sheetName val="D1.2 Ld Act-Mst Rcent Yr - Uniq"/>
      <sheetName val="E1.1 CapitalStructureTransition"/>
      <sheetName val="E1.2 K-Factor Adjustment"/>
      <sheetName val="F1.1 Z-Factor Tax Changes"/>
      <sheetName val="F1.2 CalcTaxChg RRider OptA FV"/>
      <sheetName val="F1.3 CalcTaxChg RRider OptB Vol"/>
      <sheetName val="G1.1 Threshold Parameters"/>
      <sheetName val="G2.1 Threshold Test"/>
      <sheetName val="G3.1 Depreciation CCA Factors"/>
      <sheetName val="G4.1 IncrementalCapitalAdjust"/>
      <sheetName val="G5.1 Calc Incr Cap RRider - Gen"/>
      <sheetName val="G4.2 Incr Cap RRider Opt A FV"/>
      <sheetName val="G4.3 Incr Cap RRider Opt B Vol "/>
      <sheetName val="Z1.0 OEB Control Sheet"/>
      <sheetName val="Z1.1 Buttons"/>
    </sheetNames>
    <sheetDataSet>
      <sheetData sheetId="5">
        <row r="22">
          <cell r="E22">
            <v>71763140</v>
          </cell>
        </row>
        <row r="23">
          <cell r="E23">
            <v>0</v>
          </cell>
        </row>
        <row r="24">
          <cell r="E24">
            <v>10993345</v>
          </cell>
        </row>
        <row r="31">
          <cell r="E31">
            <v>25551378</v>
          </cell>
        </row>
        <row r="32">
          <cell r="E32">
            <v>4395489</v>
          </cell>
        </row>
        <row r="41">
          <cell r="E41">
            <v>91646775</v>
          </cell>
        </row>
        <row r="42">
          <cell r="E42">
            <v>0.15</v>
          </cell>
        </row>
      </sheetData>
      <sheetData sheetId="22">
        <row r="28">
          <cell r="H28">
            <v>0.009800000000000001</v>
          </cell>
        </row>
        <row r="50">
          <cell r="H50">
            <v>0.010532058689650237</v>
          </cell>
        </row>
      </sheetData>
      <sheetData sheetId="24">
        <row r="43">
          <cell r="M43">
            <v>254181.27885</v>
          </cell>
          <cell r="O43">
            <v>265811.1104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L46">
            <v>9290242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workbookViewId="0" topLeftCell="A1">
      <selection activeCell="C6" sqref="C6"/>
    </sheetView>
  </sheetViews>
  <sheetFormatPr defaultColWidth="0" defaultRowHeight="15" customHeight="1" zeroHeight="1"/>
  <cols>
    <col min="1" max="1" width="3.28125" style="2" customWidth="1"/>
    <col min="2" max="2" width="0" style="2" hidden="1" customWidth="1"/>
    <col min="3" max="3" width="38.7109375" style="2" bestFit="1" customWidth="1"/>
    <col min="4" max="4" width="3.28125" style="2" customWidth="1"/>
    <col min="5" max="5" width="14.8515625" style="2" bestFit="1" customWidth="1"/>
    <col min="6" max="6" width="3.28125" style="2" customWidth="1"/>
    <col min="7" max="7" width="14.8515625" style="2" bestFit="1" customWidth="1"/>
    <col min="8" max="8" width="3.28125" style="2" customWidth="1"/>
    <col min="9" max="9" width="14.8515625" style="2" bestFit="1" customWidth="1"/>
    <col min="10" max="10" width="3.28125" style="2" customWidth="1"/>
    <col min="11" max="11" width="16.140625" style="2" bestFit="1" customWidth="1"/>
    <col min="12" max="12" width="3.28125" style="2" customWidth="1"/>
    <col min="13" max="13" width="14.8515625" style="2" bestFit="1" customWidth="1"/>
    <col min="14" max="14" width="3.28125" style="2" customWidth="1"/>
    <col min="15" max="15" width="19.7109375" style="2" customWidth="1"/>
    <col min="16" max="16" width="3.28125" style="2" customWidth="1"/>
    <col min="17" max="17" width="14.8515625" style="2" bestFit="1" customWidth="1"/>
    <col min="18" max="21" width="10.8515625" style="2" customWidth="1"/>
    <col min="22" max="16384" width="0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="1" customFormat="1" ht="12.75">
      <c r="C4" s="1" t="s">
        <v>174</v>
      </c>
    </row>
    <row r="5" s="1" customFormat="1" ht="12.75">
      <c r="C5" s="1" t="s">
        <v>216</v>
      </c>
    </row>
    <row r="6" s="1" customFormat="1" ht="12.75">
      <c r="C6" s="1" t="s">
        <v>217</v>
      </c>
    </row>
    <row r="7" spans="3:15" s="1" customFormat="1" ht="12.75">
      <c r="C7" s="1" t="s">
        <v>79</v>
      </c>
      <c r="E7" s="65">
        <v>2005</v>
      </c>
      <c r="G7" s="65">
        <v>2006</v>
      </c>
      <c r="I7" s="65">
        <v>2007</v>
      </c>
      <c r="K7" s="65">
        <v>2008</v>
      </c>
      <c r="M7" s="65">
        <v>2008</v>
      </c>
      <c r="O7" s="65">
        <v>2009</v>
      </c>
    </row>
    <row r="8" spans="3:15" s="1" customFormat="1" ht="12.75">
      <c r="C8" s="1" t="s">
        <v>80</v>
      </c>
      <c r="E8" s="65" t="s">
        <v>140</v>
      </c>
      <c r="G8" s="65" t="s">
        <v>140</v>
      </c>
      <c r="I8" s="65" t="s">
        <v>140</v>
      </c>
      <c r="K8" s="65" t="s">
        <v>141</v>
      </c>
      <c r="M8" s="65" t="s">
        <v>142</v>
      </c>
      <c r="O8" s="65" t="s">
        <v>143</v>
      </c>
    </row>
    <row r="9" s="1" customFormat="1" ht="12.75"/>
    <row r="10" spans="3:12" s="1" customFormat="1" ht="15.75">
      <c r="C10" s="32" t="s">
        <v>144</v>
      </c>
      <c r="D10" s="32"/>
      <c r="K10" s="66">
        <f>'[4]G1.1 Threshold Parameters'!H28</f>
        <v>0.009800000000000001</v>
      </c>
      <c r="L10" s="32" t="s">
        <v>2</v>
      </c>
    </row>
    <row r="11" spans="3:12" s="1" customFormat="1" ht="15.75">
      <c r="C11" s="32" t="s">
        <v>145</v>
      </c>
      <c r="D11" s="32"/>
      <c r="K11" s="66">
        <f>'[4]G1.1 Threshold Parameters'!H50</f>
        <v>0.010532058689650237</v>
      </c>
      <c r="L11" s="32" t="s">
        <v>4</v>
      </c>
    </row>
    <row r="12" spans="3:12" s="1" customFormat="1" ht="15.75">
      <c r="C12" s="32" t="s">
        <v>146</v>
      </c>
      <c r="D12" s="32"/>
      <c r="K12" s="67">
        <v>0.2</v>
      </c>
      <c r="L12" s="32" t="s">
        <v>137</v>
      </c>
    </row>
    <row r="13" spans="3:4" s="1" customFormat="1" ht="24.75" customHeight="1">
      <c r="C13" s="32" t="s">
        <v>147</v>
      </c>
      <c r="D13" s="32"/>
    </row>
    <row r="14" spans="3:15" s="1" customFormat="1" ht="12.75">
      <c r="C14" s="1" t="s">
        <v>148</v>
      </c>
      <c r="E14" s="46">
        <f>61404000-979000-5299045-12829000</f>
        <v>42296955</v>
      </c>
      <c r="G14" s="54">
        <f>E20</f>
        <v>51935955</v>
      </c>
      <c r="I14" s="54">
        <f>G20</f>
        <v>60919955</v>
      </c>
      <c r="K14" s="54">
        <f>'[4]B3.1 Re-Basing Reven Requiremt'!E22</f>
        <v>71763140</v>
      </c>
      <c r="M14" s="46">
        <f>+I20</f>
        <v>72098955</v>
      </c>
      <c r="O14" s="46">
        <f>+M20</f>
        <v>81389197</v>
      </c>
    </row>
    <row r="15" spans="3:16" s="1" customFormat="1" ht="15.75">
      <c r="C15" s="37" t="s">
        <v>149</v>
      </c>
      <c r="D15" s="37"/>
      <c r="E15" s="46"/>
      <c r="G15" s="46"/>
      <c r="I15" s="46"/>
      <c r="K15" s="54">
        <f>'[4]B3.1 Re-Basing Reven Requiremt'!E23</f>
        <v>0</v>
      </c>
      <c r="M15" s="46"/>
      <c r="O15" s="46"/>
      <c r="P15" s="32" t="s">
        <v>9</v>
      </c>
    </row>
    <row r="16" spans="3:16" s="1" customFormat="1" ht="15.75">
      <c r="C16" s="37" t="s">
        <v>84</v>
      </c>
      <c r="D16" s="37"/>
      <c r="E16" s="46">
        <f>9639000+600000</f>
        <v>10239000</v>
      </c>
      <c r="G16" s="46">
        <v>9519000</v>
      </c>
      <c r="I16" s="46">
        <v>11388000</v>
      </c>
      <c r="K16" s="54">
        <f>'[4]B3.1 Re-Basing Reven Requiremt'!E24</f>
        <v>10993345</v>
      </c>
      <c r="M16" s="46">
        <f>+'[5]Sheet1'!$L$46</f>
        <v>9290242</v>
      </c>
      <c r="O16" s="46">
        <v>11803824</v>
      </c>
      <c r="P16" s="32" t="s">
        <v>11</v>
      </c>
    </row>
    <row r="17" spans="3:16" s="1" customFormat="1" ht="15.75">
      <c r="C17" s="37" t="s">
        <v>85</v>
      </c>
      <c r="D17" s="37"/>
      <c r="E17" s="46">
        <v>-600000</v>
      </c>
      <c r="G17" s="46">
        <v>-535000</v>
      </c>
      <c r="I17" s="46">
        <v>-209000</v>
      </c>
      <c r="K17" s="54">
        <f>'[4]B3.1 Re-Basing Reven Requiremt'!E25</f>
        <v>0</v>
      </c>
      <c r="M17" s="46"/>
      <c r="O17" s="46"/>
      <c r="P17" s="32"/>
    </row>
    <row r="18" spans="3:16" s="1" customFormat="1" ht="15.75">
      <c r="C18" s="37" t="s">
        <v>86</v>
      </c>
      <c r="D18" s="37"/>
      <c r="E18" s="46"/>
      <c r="G18" s="46"/>
      <c r="I18" s="46"/>
      <c r="K18" s="54">
        <f>'[4]B3.1 Re-Basing Reven Requiremt'!E26</f>
        <v>0</v>
      </c>
      <c r="M18" s="46"/>
      <c r="O18" s="46"/>
      <c r="P18" s="32"/>
    </row>
    <row r="19" spans="3:16" s="1" customFormat="1" ht="15.75">
      <c r="C19" s="37" t="s">
        <v>87</v>
      </c>
      <c r="D19" s="37"/>
      <c r="E19" s="46"/>
      <c r="G19" s="46"/>
      <c r="I19" s="46"/>
      <c r="K19" s="54">
        <f>'[4]B3.1 Re-Basing Reven Requiremt'!E27</f>
        <v>0</v>
      </c>
      <c r="M19" s="46"/>
      <c r="O19" s="46"/>
      <c r="P19" s="32" t="s">
        <v>123</v>
      </c>
    </row>
    <row r="20" spans="3:17" s="1" customFormat="1" ht="15.75">
      <c r="C20" s="1" t="s">
        <v>88</v>
      </c>
      <c r="E20" s="54">
        <f aca="true" t="shared" si="0" ref="E20:O20">SUM(E14:E19)</f>
        <v>51935955</v>
      </c>
      <c r="G20" s="54">
        <f t="shared" si="0"/>
        <v>60919955</v>
      </c>
      <c r="I20" s="54">
        <f t="shared" si="0"/>
        <v>72098955</v>
      </c>
      <c r="K20" s="54">
        <f t="shared" si="0"/>
        <v>82756485</v>
      </c>
      <c r="M20" s="54">
        <f t="shared" si="0"/>
        <v>81389197</v>
      </c>
      <c r="O20" s="54">
        <f t="shared" si="0"/>
        <v>93193021</v>
      </c>
      <c r="Q20" s="32"/>
    </row>
    <row r="21" spans="5:15" s="1" customFormat="1" ht="12.75">
      <c r="E21" s="16"/>
      <c r="G21" s="16"/>
      <c r="I21" s="16"/>
      <c r="K21" s="16"/>
      <c r="M21" s="16"/>
      <c r="O21" s="16"/>
    </row>
    <row r="22" spans="3:15" s="1" customFormat="1" ht="12.75">
      <c r="C22" s="1" t="s">
        <v>150</v>
      </c>
      <c r="E22" s="68">
        <f>(E14+E20)/2</f>
        <v>47116455</v>
      </c>
      <c r="G22" s="68">
        <f>(G14+G20)/2</f>
        <v>56427955</v>
      </c>
      <c r="I22" s="68">
        <f>(I14+I20)/2</f>
        <v>66509455</v>
      </c>
      <c r="K22" s="68">
        <f>(K14+K20)/2</f>
        <v>77259812.5</v>
      </c>
      <c r="M22" s="68">
        <f>(M14+M20)/2</f>
        <v>76744076</v>
      </c>
      <c r="O22" s="68">
        <f>(O14+O20)/2</f>
        <v>87291109</v>
      </c>
    </row>
    <row r="23" spans="5:15" s="1" customFormat="1" ht="12.75">
      <c r="E23" s="16"/>
      <c r="G23" s="16"/>
      <c r="I23" s="16"/>
      <c r="K23" s="16"/>
      <c r="M23" s="16"/>
      <c r="O23" s="16"/>
    </row>
    <row r="24" spans="3:21" s="1" customFormat="1" ht="15">
      <c r="C24" s="37" t="s">
        <v>89</v>
      </c>
      <c r="D24" s="37"/>
      <c r="E24" s="46">
        <f>15518000-3380000</f>
        <v>12138000</v>
      </c>
      <c r="G24" s="54">
        <f>E28</f>
        <v>15599000</v>
      </c>
      <c r="I24" s="54">
        <f>G28</f>
        <v>19422000</v>
      </c>
      <c r="K24" s="54">
        <f>'[4]B3.1 Re-Basing Reven Requiremt'!E31</f>
        <v>25551378</v>
      </c>
      <c r="M24" s="46">
        <f>+I28</f>
        <v>23996000</v>
      </c>
      <c r="O24" s="46">
        <f>+M28</f>
        <v>28958181.27885</v>
      </c>
      <c r="U24" s="21" t="s">
        <v>29</v>
      </c>
    </row>
    <row r="25" spans="3:15" s="1" customFormat="1" ht="15.75">
      <c r="C25" s="69" t="s">
        <v>90</v>
      </c>
      <c r="D25" s="69"/>
      <c r="E25" s="46">
        <f>3461000+600000</f>
        <v>4061000</v>
      </c>
      <c r="G25" s="46">
        <v>4342000</v>
      </c>
      <c r="I25" s="46">
        <v>4783000</v>
      </c>
      <c r="K25" s="54">
        <f>'[4]B3.1 Re-Basing Reven Requiremt'!E32</f>
        <v>4395489</v>
      </c>
      <c r="L25" s="32" t="s">
        <v>151</v>
      </c>
      <c r="M25" s="46">
        <f>+I25+'[4]G3.1 Depreciation CCA Factors'!M43-75000</f>
        <v>4962181.27885</v>
      </c>
      <c r="O25" s="46">
        <f>+M25+'[4]G3.1 Depreciation CCA Factors'!O43-75000</f>
        <v>5152992.38925</v>
      </c>
    </row>
    <row r="26" spans="3:15" s="1" customFormat="1" ht="12.75">
      <c r="C26" s="69" t="s">
        <v>91</v>
      </c>
      <c r="D26" s="69"/>
      <c r="E26" s="46">
        <v>-600000</v>
      </c>
      <c r="G26" s="46">
        <v>-519000</v>
      </c>
      <c r="I26" s="46">
        <v>-209000</v>
      </c>
      <c r="K26" s="54">
        <f>'[4]B3.1 Re-Basing Reven Requiremt'!E33</f>
        <v>0</v>
      </c>
      <c r="M26" s="46"/>
      <c r="O26" s="46"/>
    </row>
    <row r="27" spans="3:15" s="1" customFormat="1" ht="12.75">
      <c r="C27" s="69" t="s">
        <v>92</v>
      </c>
      <c r="D27" s="69"/>
      <c r="E27" s="46">
        <v>0</v>
      </c>
      <c r="G27" s="46">
        <v>0</v>
      </c>
      <c r="I27" s="46">
        <v>0</v>
      </c>
      <c r="K27" s="54">
        <f>'[4]B3.1 Re-Basing Reven Requiremt'!E34</f>
        <v>0</v>
      </c>
      <c r="M27" s="46"/>
      <c r="O27" s="46"/>
    </row>
    <row r="28" spans="3:15" s="1" customFormat="1" ht="12.75">
      <c r="C28" s="37" t="s">
        <v>93</v>
      </c>
      <c r="D28" s="37"/>
      <c r="E28" s="54">
        <f aca="true" t="shared" si="1" ref="E28:O28">SUM(E24:E27)</f>
        <v>15599000</v>
      </c>
      <c r="G28" s="54">
        <f t="shared" si="1"/>
        <v>19422000</v>
      </c>
      <c r="I28" s="54">
        <f t="shared" si="1"/>
        <v>23996000</v>
      </c>
      <c r="K28" s="54">
        <f t="shared" si="1"/>
        <v>29946867</v>
      </c>
      <c r="M28" s="54">
        <f t="shared" si="1"/>
        <v>28958181.27885</v>
      </c>
      <c r="O28" s="54">
        <f t="shared" si="1"/>
        <v>34111173.6681</v>
      </c>
    </row>
    <row r="29" spans="3:15" s="1" customFormat="1" ht="12.75">
      <c r="C29" s="37"/>
      <c r="D29" s="37"/>
      <c r="E29" s="16"/>
      <c r="G29" s="16"/>
      <c r="I29" s="16"/>
      <c r="K29" s="16"/>
      <c r="M29" s="16"/>
      <c r="O29" s="16"/>
    </row>
    <row r="30" spans="3:15" s="1" customFormat="1" ht="12.75">
      <c r="C30" s="1" t="s">
        <v>152</v>
      </c>
      <c r="E30" s="68">
        <f aca="true" t="shared" si="2" ref="E30:O30">(E24+E28)/2</f>
        <v>13868500</v>
      </c>
      <c r="G30" s="68">
        <f t="shared" si="2"/>
        <v>17510500</v>
      </c>
      <c r="I30" s="68">
        <f t="shared" si="2"/>
        <v>21709000</v>
      </c>
      <c r="K30" s="68">
        <f t="shared" si="2"/>
        <v>27749122.5</v>
      </c>
      <c r="M30" s="68">
        <f t="shared" si="2"/>
        <v>26477090.639425002</v>
      </c>
      <c r="O30" s="68">
        <f t="shared" si="2"/>
        <v>31534677.473475</v>
      </c>
    </row>
    <row r="31" spans="5:15" s="1" customFormat="1" ht="12.75">
      <c r="E31" s="16"/>
      <c r="G31" s="16"/>
      <c r="I31" s="16"/>
      <c r="K31" s="16"/>
      <c r="M31" s="16"/>
      <c r="O31" s="16"/>
    </row>
    <row r="32" spans="3:15" s="1" customFormat="1" ht="15.75">
      <c r="C32" s="32" t="s">
        <v>153</v>
      </c>
      <c r="D32" s="32"/>
      <c r="E32" s="68">
        <f>E22-E30</f>
        <v>33247955</v>
      </c>
      <c r="G32" s="68">
        <f>G22-G30</f>
        <v>38917455</v>
      </c>
      <c r="I32" s="68">
        <f>I22-I30</f>
        <v>44800455</v>
      </c>
      <c r="K32" s="68">
        <f>K22-K30</f>
        <v>49510690</v>
      </c>
      <c r="L32" s="32" t="s">
        <v>16</v>
      </c>
      <c r="M32" s="68">
        <f>M22-M30</f>
        <v>50266985.360575</v>
      </c>
      <c r="O32" s="68">
        <f>O22-O30</f>
        <v>55756431.526525</v>
      </c>
    </row>
    <row r="33" s="1" customFormat="1" ht="12.75"/>
    <row r="34" s="1" customFormat="1" ht="12.75"/>
    <row r="35" spans="3:4" s="1" customFormat="1" ht="15.75">
      <c r="C35" s="32" t="s">
        <v>154</v>
      </c>
      <c r="D35" s="32"/>
    </row>
    <row r="36" spans="3:11" s="1" customFormat="1" ht="12.75">
      <c r="C36" s="37" t="s">
        <v>155</v>
      </c>
      <c r="D36" s="37"/>
      <c r="K36" s="54">
        <f>'[4]B3.1 Re-Basing Reven Requiremt'!E41</f>
        <v>91646775</v>
      </c>
    </row>
    <row r="37" spans="3:11" s="1" customFormat="1" ht="12.75">
      <c r="C37" s="37" t="s">
        <v>156</v>
      </c>
      <c r="D37" s="37"/>
      <c r="K37" s="70">
        <f>'[4]B3.1 Re-Basing Reven Requiremt'!E42</f>
        <v>0.15</v>
      </c>
    </row>
    <row r="38" spans="3:12" s="1" customFormat="1" ht="15.75">
      <c r="C38" s="32" t="s">
        <v>154</v>
      </c>
      <c r="D38" s="32"/>
      <c r="K38" s="68">
        <f>K36*K37</f>
        <v>13747016.25</v>
      </c>
      <c r="L38" s="32" t="s">
        <v>19</v>
      </c>
    </row>
    <row r="39" s="1" customFormat="1" ht="12.75"/>
    <row r="40" spans="3:12" s="1" customFormat="1" ht="16.5" thickBot="1">
      <c r="C40" s="32" t="s">
        <v>157</v>
      </c>
      <c r="D40" s="32"/>
      <c r="K40" s="71">
        <f>K32+K38</f>
        <v>63257706.25</v>
      </c>
      <c r="L40" s="32" t="s">
        <v>158</v>
      </c>
    </row>
    <row r="41" s="1" customFormat="1" ht="12.75"/>
    <row r="42" spans="3:12" s="1" customFormat="1" ht="15.75">
      <c r="C42" s="32" t="s">
        <v>159</v>
      </c>
      <c r="D42" s="32"/>
      <c r="J42" s="72" t="s">
        <v>151</v>
      </c>
      <c r="K42" s="41">
        <f>K25</f>
        <v>4395489</v>
      </c>
      <c r="L42" s="32" t="s">
        <v>160</v>
      </c>
    </row>
    <row r="43" s="1" customFormat="1" ht="12.75"/>
    <row r="44" spans="3:12" s="1" customFormat="1" ht="15.75">
      <c r="C44" s="32" t="s">
        <v>161</v>
      </c>
      <c r="D44" s="32"/>
      <c r="K44" s="73">
        <f>IF(ISERROR(1+(RB/d)*(g+PCI*(1+g))),0,1+((RB/d)*(g+PCI*(1+g)))+db)</f>
        <v>1.4940943517366718</v>
      </c>
      <c r="L44" s="32" t="s">
        <v>162</v>
      </c>
    </row>
    <row r="45" s="1" customFormat="1" ht="12.75"/>
    <row r="46" s="1" customFormat="1" ht="12.75"/>
    <row r="47" spans="3:18" s="1" customFormat="1" ht="15.75">
      <c r="C47" s="32" t="s">
        <v>163</v>
      </c>
      <c r="D47" s="32"/>
      <c r="Q47" s="54">
        <f>d*K44</f>
        <v>6567275.288020672</v>
      </c>
      <c r="R47" s="32" t="s">
        <v>164</v>
      </c>
    </row>
    <row r="48" s="1" customFormat="1" ht="12.75"/>
    <row r="49" s="1" customFormat="1" ht="12.75">
      <c r="C49" s="1" t="s">
        <v>165</v>
      </c>
    </row>
    <row r="50" spans="3:16" s="1" customFormat="1" ht="15.75">
      <c r="C50" s="37" t="s">
        <v>166</v>
      </c>
      <c r="D50" s="37"/>
      <c r="N50" s="72" t="s">
        <v>9</v>
      </c>
      <c r="O50" s="74">
        <f>O15</f>
        <v>0</v>
      </c>
      <c r="P50" s="32" t="s">
        <v>139</v>
      </c>
    </row>
    <row r="51" spans="3:16" s="1" customFormat="1" ht="15.75">
      <c r="C51" s="37" t="s">
        <v>84</v>
      </c>
      <c r="D51" s="37"/>
      <c r="N51" s="72" t="s">
        <v>11</v>
      </c>
      <c r="O51" s="74">
        <f>O16</f>
        <v>11803824</v>
      </c>
      <c r="P51" s="32" t="s">
        <v>167</v>
      </c>
    </row>
    <row r="52" spans="3:16" s="1" customFormat="1" ht="15.75">
      <c r="C52" s="37" t="s">
        <v>168</v>
      </c>
      <c r="D52" s="37"/>
      <c r="N52" s="72" t="s">
        <v>123</v>
      </c>
      <c r="O52" s="74">
        <f>O19</f>
        <v>0</v>
      </c>
      <c r="P52" s="32" t="s">
        <v>169</v>
      </c>
    </row>
    <row r="53" spans="3:18" s="1" customFormat="1" ht="15.75">
      <c r="C53" s="1" t="s">
        <v>165</v>
      </c>
      <c r="Q53" s="74">
        <f>SUM(O50:O52)</f>
        <v>11803824</v>
      </c>
      <c r="R53" s="32" t="s">
        <v>170</v>
      </c>
    </row>
    <row r="54" s="1" customFormat="1" ht="12.75"/>
    <row r="55" s="1" customFormat="1" ht="12.75"/>
    <row r="56" spans="3:18" s="1" customFormat="1" ht="16.5" thickBot="1">
      <c r="C56" s="32" t="s">
        <v>8</v>
      </c>
      <c r="D56" s="32"/>
      <c r="P56" s="1" t="s">
        <v>175</v>
      </c>
      <c r="Q56" s="75">
        <f>IF(Q53-Q47&gt;0,Q53-Q47,0)</f>
        <v>5236548.711979328</v>
      </c>
      <c r="R56" s="32" t="s">
        <v>171</v>
      </c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dataValidations count="2">
    <dataValidation type="list" allowBlank="1" showInputMessage="1" showErrorMessage="1" sqref="E8 O8 I8 K8 M8 G8">
      <formula1>"Actual,Forecast,Re-Basing,Re-Basing Plus,Proposed"</formula1>
    </dataValidation>
    <dataValidation type="list" allowBlank="1" showInputMessage="1" showErrorMessage="1" sqref="E7 O7 I7 K7 M7 G7">
      <formula1>"2003,2004,2005,2006,2007,2008,2009,2010,2011,2012"</formula1>
    </dataValidation>
  </dataValidations>
  <printOptions/>
  <pageMargins left="0.75" right="0.75" top="1" bottom="1" header="0.5" footer="0.5"/>
  <pageSetup fitToHeight="0" fitToWidth="1" horizontalDpi="600" verticalDpi="600" orientation="landscape" paperSize="5" scale="74" r:id="rId1"/>
  <headerFooter alignWithMargins="0">
    <oddHeader>&amp;RIncludes $12,500 / yr for costs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4"/>
  <sheetViews>
    <sheetView zoomScale="65" zoomScaleNormal="65" workbookViewId="0" topLeftCell="A1">
      <selection activeCell="C68" sqref="C68"/>
    </sheetView>
  </sheetViews>
  <sheetFormatPr defaultColWidth="0" defaultRowHeight="15" customHeight="1" zeroHeight="1"/>
  <cols>
    <col min="1" max="1" width="3.28125" style="2" customWidth="1"/>
    <col min="2" max="2" width="10.8515625" style="2" hidden="1" customWidth="1"/>
    <col min="3" max="3" width="71.7109375" style="2" customWidth="1"/>
    <col min="4" max="4" width="3.28125" style="2" customWidth="1"/>
    <col min="5" max="5" width="14.8515625" style="2" bestFit="1" customWidth="1"/>
    <col min="6" max="6" width="3.28125" style="2" customWidth="1"/>
    <col min="7" max="7" width="14.8515625" style="2" bestFit="1" customWidth="1"/>
    <col min="8" max="8" width="3.28125" style="2" customWidth="1"/>
    <col min="9" max="9" width="14.8515625" style="2" bestFit="1" customWidth="1"/>
    <col min="10" max="10" width="3.28125" style="2" customWidth="1"/>
    <col min="11" max="11" width="14.8515625" style="2" bestFit="1" customWidth="1"/>
    <col min="12" max="12" width="3.28125" style="2" customWidth="1"/>
    <col min="13" max="13" width="14.8515625" style="2" bestFit="1" customWidth="1"/>
    <col min="14" max="14" width="3.28125" style="2" customWidth="1"/>
    <col min="15" max="15" width="17.140625" style="2" customWidth="1"/>
    <col min="16" max="16" width="10.8515625" style="2" bestFit="1" customWidth="1"/>
    <col min="17" max="17" width="17.8515625" style="2" customWidth="1"/>
    <col min="18" max="26" width="17.8515625" style="2" hidden="1" customWidth="1"/>
    <col min="27" max="16384" width="10.8515625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="1" customFormat="1" ht="12.75"/>
    <row r="4" spans="3:4" s="1" customFormat="1" ht="18">
      <c r="C4" s="33" t="s">
        <v>78</v>
      </c>
      <c r="D4" s="33"/>
    </row>
    <row r="5" s="1" customFormat="1" ht="12.75"/>
    <row r="6" spans="3:15" s="1" customFormat="1" ht="12.75">
      <c r="C6" s="1" t="s">
        <v>79</v>
      </c>
      <c r="E6" s="34">
        <f>'[1]G2.1 Threshold Test'!E20</f>
        <v>2005</v>
      </c>
      <c r="G6" s="34">
        <f>'[1]G2.1 Threshold Test'!G20</f>
        <v>2006</v>
      </c>
      <c r="I6" s="34">
        <f>'[1]G2.1 Threshold Test'!I20</f>
        <v>2007</v>
      </c>
      <c r="K6" s="34">
        <f>'[1]G2.1 Threshold Test'!K20</f>
        <v>2008</v>
      </c>
      <c r="M6" s="34">
        <f>'[1]G2.1 Threshold Test'!M20</f>
        <v>2008</v>
      </c>
      <c r="O6" s="34">
        <f>'[1]G2.1 Threshold Test'!O20</f>
        <v>2009</v>
      </c>
    </row>
    <row r="7" spans="3:15" s="1" customFormat="1" ht="12.75">
      <c r="C7" s="1" t="s">
        <v>80</v>
      </c>
      <c r="E7" s="34" t="str">
        <f>'[1]G2.1 Threshold Test'!E21</f>
        <v>Actual</v>
      </c>
      <c r="G7" s="34" t="str">
        <f>'[1]G2.1 Threshold Test'!G21</f>
        <v>Actual</v>
      </c>
      <c r="I7" s="34" t="str">
        <f>'[1]G2.1 Threshold Test'!I21</f>
        <v>Actual</v>
      </c>
      <c r="K7" s="34" t="str">
        <f>'[1]G2.1 Threshold Test'!K21</f>
        <v>Re-Basing</v>
      </c>
      <c r="M7" s="34" t="str">
        <f>'[1]G2.1 Threshold Test'!M21</f>
        <v>Forecast</v>
      </c>
      <c r="O7" s="34" t="str">
        <f>'[1]G2.1 Threshold Test'!O21</f>
        <v>Proposed</v>
      </c>
    </row>
    <row r="8" s="1" customFormat="1" ht="12.75"/>
    <row r="9" spans="3:13" s="1" customFormat="1" ht="18">
      <c r="C9" s="33" t="s">
        <v>81</v>
      </c>
      <c r="D9" s="33"/>
      <c r="E9" s="35"/>
      <c r="G9" s="36"/>
      <c r="I9" s="36"/>
      <c r="K9" s="36"/>
      <c r="M9" s="36"/>
    </row>
    <row r="10" spans="3:15" s="1" customFormat="1" ht="15">
      <c r="C10" s="37" t="s">
        <v>82</v>
      </c>
      <c r="D10" s="37"/>
      <c r="E10" s="38">
        <f>'[1]G2.1 Threshold Test'!E27</f>
        <v>42296955</v>
      </c>
      <c r="G10" s="38">
        <f>'[1]G2.1 Threshold Test'!G27</f>
        <v>51935955</v>
      </c>
      <c r="I10" s="38">
        <f>'[1]G2.1 Threshold Test'!I27</f>
        <v>60919955</v>
      </c>
      <c r="K10" s="38">
        <f>'[1]G2.1 Threshold Test'!K27</f>
        <v>71763140</v>
      </c>
      <c r="M10" s="38">
        <f>'[1]G2.1 Threshold Test'!M27</f>
        <v>72098955</v>
      </c>
      <c r="O10" s="38">
        <f>'[1]G2.1 Threshold Test'!O27</f>
        <v>81389197</v>
      </c>
    </row>
    <row r="11" spans="3:15" s="1" customFormat="1" ht="15">
      <c r="C11" s="37" t="s">
        <v>83</v>
      </c>
      <c r="D11" s="37"/>
      <c r="E11" s="38">
        <f>'[1]G2.1 Threshold Test'!E28</f>
        <v>0</v>
      </c>
      <c r="G11" s="38">
        <f>'[1]G2.1 Threshold Test'!G28</f>
        <v>0</v>
      </c>
      <c r="I11" s="38">
        <f>'[1]G2.1 Threshold Test'!I28</f>
        <v>0</v>
      </c>
      <c r="K11" s="38">
        <f>'[1]G2.1 Threshold Test'!K28</f>
        <v>0</v>
      </c>
      <c r="M11" s="38">
        <f>'[1]G2.1 Threshold Test'!M28</f>
        <v>0</v>
      </c>
      <c r="O11" s="38">
        <f>'[1]G2.1 Threshold Test'!O28</f>
        <v>0</v>
      </c>
    </row>
    <row r="12" spans="3:15" s="1" customFormat="1" ht="15">
      <c r="C12" s="37" t="s">
        <v>84</v>
      </c>
      <c r="D12" s="37"/>
      <c r="E12" s="38">
        <f>'[1]G2.1 Threshold Test'!E29</f>
        <v>10239000</v>
      </c>
      <c r="G12" s="38">
        <f>'[1]G2.1 Threshold Test'!G29</f>
        <v>9519000</v>
      </c>
      <c r="I12" s="38">
        <f>'[1]G2.1 Threshold Test'!I29</f>
        <v>11388000</v>
      </c>
      <c r="K12" s="38">
        <f>'[1]G2.1 Threshold Test'!K29</f>
        <v>10993345</v>
      </c>
      <c r="M12" s="38">
        <f>'[1]G2.1 Threshold Test'!M29</f>
        <v>9290242</v>
      </c>
      <c r="O12" s="38">
        <v>11803824</v>
      </c>
    </row>
    <row r="13" spans="3:15" s="1" customFormat="1" ht="15">
      <c r="C13" s="37" t="s">
        <v>85</v>
      </c>
      <c r="D13" s="37"/>
      <c r="E13" s="38">
        <f>'[1]G2.1 Threshold Test'!E30</f>
        <v>-600000</v>
      </c>
      <c r="G13" s="38">
        <f>'[1]G2.1 Threshold Test'!G30</f>
        <v>-535000</v>
      </c>
      <c r="I13" s="38">
        <f>'[1]G2.1 Threshold Test'!I30</f>
        <v>-209000</v>
      </c>
      <c r="K13" s="38">
        <f>'[1]G2.1 Threshold Test'!K30</f>
        <v>0</v>
      </c>
      <c r="M13" s="38">
        <f>'[1]G2.1 Threshold Test'!M30</f>
        <v>0</v>
      </c>
      <c r="O13" s="38"/>
    </row>
    <row r="14" spans="3:17" s="1" customFormat="1" ht="15">
      <c r="C14" s="37" t="s">
        <v>86</v>
      </c>
      <c r="D14" s="37"/>
      <c r="E14" s="38">
        <f>'[1]G2.1 Threshold Test'!E31</f>
        <v>0</v>
      </c>
      <c r="G14" s="38">
        <f>'[1]G2.1 Threshold Test'!G31</f>
        <v>0</v>
      </c>
      <c r="I14" s="38">
        <f>'[1]G2.1 Threshold Test'!I31</f>
        <v>0</v>
      </c>
      <c r="K14" s="38">
        <f>'[1]G2.1 Threshold Test'!K31</f>
        <v>0</v>
      </c>
      <c r="M14" s="38">
        <f>'[1]G2.1 Threshold Test'!M31</f>
        <v>0</v>
      </c>
      <c r="O14" s="38"/>
      <c r="Q14" s="21" t="s">
        <v>29</v>
      </c>
    </row>
    <row r="15" spans="3:15" s="1" customFormat="1" ht="15">
      <c r="C15" s="37" t="s">
        <v>87</v>
      </c>
      <c r="D15" s="37"/>
      <c r="E15" s="38">
        <f>'[1]G2.1 Threshold Test'!E32</f>
        <v>0</v>
      </c>
      <c r="G15" s="38">
        <f>'[1]G2.1 Threshold Test'!G32</f>
        <v>0</v>
      </c>
      <c r="I15" s="38">
        <f>'[1]G2.1 Threshold Test'!I32</f>
        <v>0</v>
      </c>
      <c r="K15" s="38">
        <f>'[1]G2.1 Threshold Test'!K32</f>
        <v>0</v>
      </c>
      <c r="M15" s="38">
        <f>'[1]G2.1 Threshold Test'!M32</f>
        <v>0</v>
      </c>
      <c r="O15" s="38">
        <f>'[1]G2.1 Threshold Test'!O32</f>
        <v>0</v>
      </c>
    </row>
    <row r="16" spans="3:15" s="1" customFormat="1" ht="15">
      <c r="C16" s="37" t="s">
        <v>88</v>
      </c>
      <c r="D16" s="37"/>
      <c r="E16" s="38">
        <f>'[1]G2.1 Threshold Test'!E33</f>
        <v>51935955</v>
      </c>
      <c r="G16" s="38">
        <f>'[1]G2.1 Threshold Test'!G33</f>
        <v>60919955</v>
      </c>
      <c r="I16" s="38">
        <f>'[1]G2.1 Threshold Test'!I33</f>
        <v>72098955</v>
      </c>
      <c r="K16" s="38">
        <f>'[1]G2.1 Threshold Test'!K33</f>
        <v>82756485</v>
      </c>
      <c r="M16" s="38">
        <f>'[1]G2.1 Threshold Test'!M33</f>
        <v>81389197</v>
      </c>
      <c r="O16" s="38">
        <f>'[1]G2.1 Threshold Test'!O33</f>
        <v>93193021</v>
      </c>
    </row>
    <row r="17" s="1" customFormat="1" ht="12.75"/>
    <row r="18" spans="3:15" s="1" customFormat="1" ht="15">
      <c r="C18" s="37" t="s">
        <v>89</v>
      </c>
      <c r="D18" s="37"/>
      <c r="E18" s="38">
        <f>'[1]G2.1 Threshold Test'!E37</f>
        <v>12138000</v>
      </c>
      <c r="G18" s="38">
        <f>'[1]G2.1 Threshold Test'!G37</f>
        <v>15599000</v>
      </c>
      <c r="I18" s="38">
        <f>'[1]G2.1 Threshold Test'!I37</f>
        <v>19422000</v>
      </c>
      <c r="K18" s="38">
        <f>'[1]G2.1 Threshold Test'!K37</f>
        <v>25551378</v>
      </c>
      <c r="M18" s="38">
        <f>'[1]G2.1 Threshold Test'!M37</f>
        <v>23996000</v>
      </c>
      <c r="O18" s="38">
        <f>'[1]G2.1 Threshold Test'!O37</f>
        <v>29212362.5577</v>
      </c>
    </row>
    <row r="19" spans="3:15" s="1" customFormat="1" ht="15">
      <c r="C19" s="37" t="s">
        <v>90</v>
      </c>
      <c r="D19" s="37"/>
      <c r="E19" s="38">
        <f>'[1]G2.1 Threshold Test'!E38</f>
        <v>4061000</v>
      </c>
      <c r="G19" s="38">
        <f>'[1]G2.1 Threshold Test'!G38</f>
        <v>4342000</v>
      </c>
      <c r="I19" s="38">
        <f>'[1]G2.1 Threshold Test'!I38</f>
        <v>4783000</v>
      </c>
      <c r="K19" s="38">
        <f>'[1]G2.1 Threshold Test'!K38</f>
        <v>4395489</v>
      </c>
      <c r="M19" s="38">
        <f>'[1]G2.1 Threshold Test'!M38</f>
        <v>5216362.5577</v>
      </c>
      <c r="O19" s="38">
        <f>'[1]G2.1 Threshold Test'!O38</f>
        <v>5672984.7785</v>
      </c>
    </row>
    <row r="20" spans="3:15" s="1" customFormat="1" ht="15">
      <c r="C20" s="37" t="s">
        <v>91</v>
      </c>
      <c r="D20" s="37"/>
      <c r="E20" s="38">
        <f>'[1]G2.1 Threshold Test'!E39</f>
        <v>-600000</v>
      </c>
      <c r="G20" s="38">
        <f>'[1]G2.1 Threshold Test'!G39</f>
        <v>-519000</v>
      </c>
      <c r="I20" s="38">
        <f>'[1]G2.1 Threshold Test'!I39</f>
        <v>-209000</v>
      </c>
      <c r="K20" s="38">
        <f>'[1]G2.1 Threshold Test'!K39</f>
        <v>0</v>
      </c>
      <c r="M20" s="38">
        <f>'[1]G2.1 Threshold Test'!M39</f>
        <v>0</v>
      </c>
      <c r="O20" s="38">
        <f>'[1]G2.1 Threshold Test'!O39</f>
        <v>0</v>
      </c>
    </row>
    <row r="21" spans="3:15" s="1" customFormat="1" ht="15">
      <c r="C21" s="37" t="s">
        <v>92</v>
      </c>
      <c r="D21" s="37"/>
      <c r="E21" s="38">
        <f>'[1]G2.1 Threshold Test'!E40</f>
        <v>0</v>
      </c>
      <c r="G21" s="38">
        <f>'[1]G2.1 Threshold Test'!G40</f>
        <v>0</v>
      </c>
      <c r="I21" s="38">
        <f>'[1]G2.1 Threshold Test'!I40</f>
        <v>0</v>
      </c>
      <c r="K21" s="38">
        <f>'[1]G2.1 Threshold Test'!K40</f>
        <v>0</v>
      </c>
      <c r="M21" s="38">
        <f>'[1]G2.1 Threshold Test'!M40</f>
        <v>0</v>
      </c>
      <c r="O21" s="38">
        <f>'[1]G2.1 Threshold Test'!O40</f>
        <v>0</v>
      </c>
    </row>
    <row r="22" spans="3:15" s="1" customFormat="1" ht="15">
      <c r="C22" s="37" t="s">
        <v>93</v>
      </c>
      <c r="D22" s="37"/>
      <c r="E22" s="38">
        <f>'[1]G2.1 Threshold Test'!E41</f>
        <v>15599000</v>
      </c>
      <c r="G22" s="38">
        <f>'[1]G2.1 Threshold Test'!G41</f>
        <v>19422000</v>
      </c>
      <c r="I22" s="38">
        <f>'[1]G2.1 Threshold Test'!I41</f>
        <v>23996000</v>
      </c>
      <c r="K22" s="38">
        <f>'[1]G2.1 Threshold Test'!K41</f>
        <v>29946867</v>
      </c>
      <c r="M22" s="38">
        <f>'[1]G2.1 Threshold Test'!M41</f>
        <v>29212362.5577</v>
      </c>
      <c r="O22" s="38">
        <f>'[1]G2.1 Threshold Test'!O41</f>
        <v>34885347.3362</v>
      </c>
    </row>
    <row r="23" s="1" customFormat="1" ht="12.75"/>
    <row r="24" s="1" customFormat="1" ht="12.75"/>
    <row r="25" spans="3:16" s="1" customFormat="1" ht="18">
      <c r="C25" s="33" t="s">
        <v>94</v>
      </c>
      <c r="D25" s="33"/>
      <c r="P25" s="32"/>
    </row>
    <row r="26" spans="3:15" s="1" customFormat="1" ht="15">
      <c r="C26" s="37" t="s">
        <v>95</v>
      </c>
      <c r="D26" s="37"/>
      <c r="E26" s="38">
        <f>E28-E27</f>
        <v>3859190</v>
      </c>
      <c r="G26" s="38">
        <f>G28-G27</f>
        <v>4168033</v>
      </c>
      <c r="I26" s="38">
        <f>I28-I27</f>
        <v>4525090</v>
      </c>
      <c r="K26" s="38">
        <f>K28-K27</f>
        <v>4101126.5</v>
      </c>
      <c r="M26" s="38">
        <f>M28-M27</f>
        <v>4962181.278849999</v>
      </c>
      <c r="O26" s="38">
        <f>O28-O27</f>
        <v>5407173.6681</v>
      </c>
    </row>
    <row r="27" spans="3:16" s="1" customFormat="1" ht="15.75">
      <c r="C27" s="37" t="s">
        <v>96</v>
      </c>
      <c r="D27" s="37"/>
      <c r="E27" s="39">
        <f>403620/2</f>
        <v>201810</v>
      </c>
      <c r="G27" s="39">
        <f>347934/2</f>
        <v>173967</v>
      </c>
      <c r="I27" s="39">
        <f>515820/2</f>
        <v>257910</v>
      </c>
      <c r="K27" s="39">
        <f>588725/2</f>
        <v>294362.5</v>
      </c>
      <c r="M27" s="39">
        <f>+('[2]Sheet1'!$M$46)/2</f>
        <v>254181.27885</v>
      </c>
      <c r="O27" s="39">
        <f>+('[2]Sheet1'!$O$46+(245000*0.04))/2</f>
        <v>265811.1104</v>
      </c>
      <c r="P27" s="32" t="s">
        <v>2</v>
      </c>
    </row>
    <row r="28" spans="3:15" s="1" customFormat="1" ht="15.75" thickBot="1">
      <c r="C28" s="37" t="s">
        <v>97</v>
      </c>
      <c r="D28" s="37"/>
      <c r="E28" s="40">
        <f>E19</f>
        <v>4061000</v>
      </c>
      <c r="G28" s="40">
        <f>G19</f>
        <v>4342000</v>
      </c>
      <c r="I28" s="40">
        <f>I19</f>
        <v>4783000</v>
      </c>
      <c r="K28" s="40">
        <f>K19</f>
        <v>4395489</v>
      </c>
      <c r="M28" s="40">
        <f>M19</f>
        <v>5216362.5577</v>
      </c>
      <c r="O28" s="40">
        <f>O19</f>
        <v>5672984.7785</v>
      </c>
    </row>
    <row r="29" s="1" customFormat="1" ht="12.75"/>
    <row r="30" s="1" customFormat="1" ht="12.75"/>
    <row r="31" spans="3:15" s="1" customFormat="1" ht="15">
      <c r="C31" s="37" t="s">
        <v>98</v>
      </c>
      <c r="D31" s="37"/>
      <c r="E31" s="38">
        <f aca="true" t="shared" si="0" ref="E31:O31">E16-E32</f>
        <v>41696955</v>
      </c>
      <c r="G31" s="38">
        <f t="shared" si="0"/>
        <v>51400955</v>
      </c>
      <c r="I31" s="38">
        <f t="shared" si="0"/>
        <v>60710955</v>
      </c>
      <c r="K31" s="38">
        <f t="shared" si="0"/>
        <v>71763140</v>
      </c>
      <c r="M31" s="38">
        <f t="shared" si="0"/>
        <v>72098955</v>
      </c>
      <c r="O31" s="38">
        <f t="shared" si="0"/>
        <v>81389197</v>
      </c>
    </row>
    <row r="32" spans="3:16" s="1" customFormat="1" ht="15.75">
      <c r="C32" s="37" t="s">
        <v>99</v>
      </c>
      <c r="D32" s="37"/>
      <c r="E32" s="38">
        <f aca="true" t="shared" si="1" ref="E32:M32">E11+E12+E15</f>
        <v>10239000</v>
      </c>
      <c r="G32" s="38">
        <f t="shared" si="1"/>
        <v>9519000</v>
      </c>
      <c r="I32" s="38">
        <f t="shared" si="1"/>
        <v>11388000</v>
      </c>
      <c r="K32" s="38">
        <f t="shared" si="1"/>
        <v>10993345</v>
      </c>
      <c r="M32" s="38">
        <f t="shared" si="1"/>
        <v>9290242</v>
      </c>
      <c r="O32" s="41">
        <f>O11+O12+O15+O13</f>
        <v>11803824</v>
      </c>
      <c r="P32" s="32" t="s">
        <v>4</v>
      </c>
    </row>
    <row r="33" spans="3:15" s="1" customFormat="1" ht="15.75" thickBot="1">
      <c r="C33" s="37" t="s">
        <v>88</v>
      </c>
      <c r="D33" s="37"/>
      <c r="E33" s="40">
        <f aca="true" t="shared" si="2" ref="E33:O33">SUM(E31:E32)</f>
        <v>51935955</v>
      </c>
      <c r="G33" s="40">
        <f t="shared" si="2"/>
        <v>60919955</v>
      </c>
      <c r="I33" s="40">
        <f t="shared" si="2"/>
        <v>72098955</v>
      </c>
      <c r="K33" s="40">
        <f t="shared" si="2"/>
        <v>82756485</v>
      </c>
      <c r="M33" s="40">
        <f t="shared" si="2"/>
        <v>81389197</v>
      </c>
      <c r="O33" s="40">
        <f t="shared" si="2"/>
        <v>93193021</v>
      </c>
    </row>
    <row r="34" s="1" customFormat="1" ht="12.75"/>
    <row r="35" s="1" customFormat="1" ht="12.75"/>
    <row r="36" spans="3:15" s="1" customFormat="1" ht="12.75">
      <c r="C36" s="37" t="s">
        <v>100</v>
      </c>
      <c r="D36" s="37"/>
      <c r="E36" s="76">
        <f aca="true" t="shared" si="3" ref="E36:O37">IF(ISERROR(E26/E31),0,E26/E31)</f>
        <v>0.09255328116885274</v>
      </c>
      <c r="F36" s="77"/>
      <c r="G36" s="76">
        <f t="shared" si="3"/>
        <v>0.08108862957896405</v>
      </c>
      <c r="H36" s="77"/>
      <c r="I36" s="76">
        <f t="shared" si="3"/>
        <v>0.07453498301912727</v>
      </c>
      <c r="J36" s="77"/>
      <c r="K36" s="76">
        <f t="shared" si="3"/>
        <v>0.057148091624753324</v>
      </c>
      <c r="L36" s="77"/>
      <c r="M36" s="76">
        <f t="shared" si="3"/>
        <v>0.06882459362760528</v>
      </c>
      <c r="N36" s="77"/>
      <c r="O36" s="76">
        <f t="shared" si="3"/>
        <v>0.0664360119943191</v>
      </c>
    </row>
    <row r="37" spans="3:16" s="1" customFormat="1" ht="15.75">
      <c r="C37" s="37" t="s">
        <v>10</v>
      </c>
      <c r="D37" s="37"/>
      <c r="E37" s="76">
        <f t="shared" si="3"/>
        <v>0.019709932610606506</v>
      </c>
      <c r="F37" s="77"/>
      <c r="G37" s="76">
        <f t="shared" si="3"/>
        <v>0.01827576426095178</v>
      </c>
      <c r="H37" s="77"/>
      <c r="I37" s="76">
        <f t="shared" si="3"/>
        <v>0.022647523709167543</v>
      </c>
      <c r="J37" s="77"/>
      <c r="K37" s="76">
        <f t="shared" si="3"/>
        <v>0.02677642701106897</v>
      </c>
      <c r="L37" s="77"/>
      <c r="M37" s="76">
        <f t="shared" si="3"/>
        <v>0.027360027742011458</v>
      </c>
      <c r="N37" s="77"/>
      <c r="O37" s="78">
        <f>IF(ISERROR(O27/O32),0,O27/O32)</f>
        <v>0.022519067583522085</v>
      </c>
      <c r="P37" s="32" t="s">
        <v>101</v>
      </c>
    </row>
    <row r="38" spans="3:15" s="1" customFormat="1" ht="15.75">
      <c r="C38" s="37"/>
      <c r="D38" s="37"/>
      <c r="E38" s="42"/>
      <c r="G38" s="42"/>
      <c r="I38" s="42"/>
      <c r="K38" s="42"/>
      <c r="M38" s="42"/>
      <c r="O38" s="43"/>
    </row>
    <row r="39" spans="3:16" s="1" customFormat="1" ht="47.25">
      <c r="C39" s="44" t="s">
        <v>102</v>
      </c>
      <c r="D39" s="44"/>
      <c r="O39" s="88">
        <f>O37*2</f>
        <v>0.04503813516704417</v>
      </c>
      <c r="P39" s="32" t="s">
        <v>103</v>
      </c>
    </row>
    <row r="40" s="1" customFormat="1" ht="12.75"/>
    <row r="41" s="1" customFormat="1" ht="12.75"/>
    <row r="42" spans="3:4" s="1" customFormat="1" ht="18">
      <c r="C42" s="33" t="s">
        <v>104</v>
      </c>
      <c r="D42" s="33"/>
    </row>
    <row r="43" spans="3:15" s="1" customFormat="1" ht="12.75">
      <c r="C43" s="1" t="s">
        <v>79</v>
      </c>
      <c r="E43" s="34">
        <f>'[1]G2.1 Threshold Test'!E20</f>
        <v>2005</v>
      </c>
      <c r="G43" s="34">
        <f>'[1]G2.1 Threshold Test'!G20</f>
        <v>2006</v>
      </c>
      <c r="I43" s="34">
        <f>'[1]G2.1 Threshold Test'!I20</f>
        <v>2007</v>
      </c>
      <c r="K43" s="34">
        <f>'[1]G2.1 Threshold Test'!K20</f>
        <v>2008</v>
      </c>
      <c r="M43" s="34">
        <f>'[1]G2.1 Threshold Test'!M20</f>
        <v>2008</v>
      </c>
      <c r="O43" s="34">
        <f>'[1]G2.1 Threshold Test'!O20</f>
        <v>2009</v>
      </c>
    </row>
    <row r="44" spans="3:15" s="1" customFormat="1" ht="12.75">
      <c r="C44" s="1" t="s">
        <v>80</v>
      </c>
      <c r="E44" s="34" t="str">
        <f>'[1]G2.1 Threshold Test'!E21</f>
        <v>Actual</v>
      </c>
      <c r="G44" s="34" t="str">
        <f>'[1]G2.1 Threshold Test'!G21</f>
        <v>Actual</v>
      </c>
      <c r="I44" s="34" t="str">
        <f>'[1]G2.1 Threshold Test'!I21</f>
        <v>Actual</v>
      </c>
      <c r="K44" s="34" t="str">
        <f>'[1]G2.1 Threshold Test'!K21</f>
        <v>Re-Basing</v>
      </c>
      <c r="M44" s="34" t="str">
        <f>'[1]G2.1 Threshold Test'!M21</f>
        <v>Forecast</v>
      </c>
      <c r="O44" s="34" t="str">
        <f>'[1]G2.1 Threshold Test'!O21</f>
        <v>Proposed</v>
      </c>
    </row>
    <row r="45" s="1" customFormat="1" ht="12.75"/>
    <row r="46" spans="3:4" s="1" customFormat="1" ht="49.5">
      <c r="C46" s="45" t="s">
        <v>105</v>
      </c>
      <c r="D46" s="33"/>
    </row>
    <row r="47" spans="3:15" s="1" customFormat="1" ht="15.75">
      <c r="C47" s="1" t="s">
        <v>106</v>
      </c>
      <c r="D47" s="7">
        <v>2</v>
      </c>
      <c r="E47" s="46">
        <f>57570205+2654000</f>
        <v>60224205</v>
      </c>
      <c r="G47" s="46">
        <v>61587172</v>
      </c>
      <c r="I47" s="46">
        <v>62377495</v>
      </c>
      <c r="K47" s="46">
        <f>+I57</f>
        <v>65924360</v>
      </c>
      <c r="M47" s="46">
        <f>+K57</f>
        <v>73064121</v>
      </c>
      <c r="O47" s="46">
        <f>+M57</f>
        <v>78368704.685</v>
      </c>
    </row>
    <row r="48" spans="3:15" s="1" customFormat="1" ht="15.75">
      <c r="C48" s="1" t="s">
        <v>107</v>
      </c>
      <c r="D48" s="7">
        <v>3</v>
      </c>
      <c r="E48" s="46">
        <v>4449223</v>
      </c>
      <c r="G48" s="46">
        <v>4045270</v>
      </c>
      <c r="I48" s="46">
        <v>8451569</v>
      </c>
      <c r="K48" s="46">
        <f>+'[1]G2.1 Threshold Test'!K29</f>
        <v>10993345</v>
      </c>
      <c r="M48" s="46">
        <f>+M32</f>
        <v>9290242</v>
      </c>
      <c r="O48" s="46">
        <v>11803824</v>
      </c>
    </row>
    <row r="49" spans="3:15" s="1" customFormat="1" ht="15.75">
      <c r="C49" s="1" t="s">
        <v>108</v>
      </c>
      <c r="D49" s="7">
        <v>4</v>
      </c>
      <c r="E49" s="46">
        <v>0</v>
      </c>
      <c r="G49" s="46">
        <v>-67603</v>
      </c>
      <c r="I49" s="46">
        <v>-1479010</v>
      </c>
      <c r="K49" s="46">
        <v>0</v>
      </c>
      <c r="M49" s="46">
        <v>0</v>
      </c>
      <c r="O49" s="46">
        <v>0</v>
      </c>
    </row>
    <row r="50" spans="3:15" s="1" customFormat="1" ht="15.75">
      <c r="C50" s="1" t="s">
        <v>109</v>
      </c>
      <c r="D50" s="7">
        <v>5</v>
      </c>
      <c r="E50" s="46">
        <v>-35437</v>
      </c>
      <c r="G50" s="46">
        <v>-64000</v>
      </c>
      <c r="I50" s="46">
        <v>-36000</v>
      </c>
      <c r="K50" s="46">
        <v>0</v>
      </c>
      <c r="M50" s="46">
        <v>0</v>
      </c>
      <c r="O50" s="46">
        <v>0</v>
      </c>
    </row>
    <row r="51" spans="3:15" s="1" customFormat="1" ht="15.75" customHeight="1">
      <c r="C51" s="1" t="s">
        <v>110</v>
      </c>
      <c r="D51" s="7">
        <v>6</v>
      </c>
      <c r="E51" s="47">
        <f>SUM(E47:E50)</f>
        <v>64637991</v>
      </c>
      <c r="G51" s="47">
        <f>SUM(G47:G50)</f>
        <v>65500839</v>
      </c>
      <c r="I51" s="47">
        <f>SUM(I47:I50)</f>
        <v>69314054</v>
      </c>
      <c r="K51" s="47">
        <f>SUM(K47:K50)</f>
        <v>76917705</v>
      </c>
      <c r="M51" s="47">
        <f>SUM(M47:M50)</f>
        <v>82354363</v>
      </c>
      <c r="O51" s="47">
        <f>SUM(O47:O50)</f>
        <v>90172528.685</v>
      </c>
    </row>
    <row r="52" spans="3:15" s="48" customFormat="1" ht="15.75">
      <c r="C52" s="48" t="s">
        <v>111</v>
      </c>
      <c r="D52" s="7">
        <v>7</v>
      </c>
      <c r="E52" s="49">
        <v>2206894</v>
      </c>
      <c r="G52" s="49">
        <v>2022636</v>
      </c>
      <c r="I52" s="49">
        <v>4207785</v>
      </c>
      <c r="K52" s="49">
        <f>+K48/2</f>
        <v>5496672.5</v>
      </c>
      <c r="M52" s="49">
        <f>+M48/2</f>
        <v>4645121</v>
      </c>
      <c r="O52" s="49">
        <f>+O48/2</f>
        <v>5901912</v>
      </c>
    </row>
    <row r="53" spans="3:15" s="1" customFormat="1" ht="15.75">
      <c r="C53" s="1" t="s">
        <v>112</v>
      </c>
      <c r="D53" s="7">
        <v>8</v>
      </c>
      <c r="E53" s="46">
        <v>59777097</v>
      </c>
      <c r="G53" s="46">
        <v>63478203</v>
      </c>
      <c r="I53" s="46">
        <v>65106269</v>
      </c>
      <c r="K53" s="46">
        <f>+K51-K52</f>
        <v>71421032.5</v>
      </c>
      <c r="M53" s="46">
        <f>+M51-M52</f>
        <v>77709242</v>
      </c>
      <c r="O53" s="46">
        <f>+O51-O52</f>
        <v>84270616.685</v>
      </c>
    </row>
    <row r="54" spans="3:15" s="1" customFormat="1" ht="15.75">
      <c r="C54" s="1" t="s">
        <v>113</v>
      </c>
      <c r="D54" s="7">
        <v>10</v>
      </c>
      <c r="E54" s="46">
        <v>0</v>
      </c>
      <c r="G54" s="46">
        <v>0</v>
      </c>
      <c r="I54" s="46">
        <v>0</v>
      </c>
      <c r="K54" s="46">
        <v>0</v>
      </c>
      <c r="M54" s="46">
        <v>0</v>
      </c>
      <c r="O54" s="46">
        <v>0</v>
      </c>
    </row>
    <row r="55" spans="3:15" s="1" customFormat="1" ht="15.75">
      <c r="C55" s="1" t="s">
        <v>114</v>
      </c>
      <c r="D55" s="7">
        <v>11</v>
      </c>
      <c r="E55" s="46">
        <v>0</v>
      </c>
      <c r="G55" s="46">
        <v>0</v>
      </c>
      <c r="I55" s="46">
        <v>0</v>
      </c>
      <c r="K55" s="46">
        <v>0</v>
      </c>
      <c r="M55" s="46">
        <v>0</v>
      </c>
      <c r="O55" s="46">
        <v>0</v>
      </c>
    </row>
    <row r="56" spans="3:15" s="1" customFormat="1" ht="15.75">
      <c r="C56" s="1" t="s">
        <v>115</v>
      </c>
      <c r="D56" s="7">
        <v>12</v>
      </c>
      <c r="E56" s="46">
        <v>3050819</v>
      </c>
      <c r="G56" s="46">
        <v>3123344</v>
      </c>
      <c r="I56" s="46">
        <v>3389694</v>
      </c>
      <c r="K56" s="46">
        <v>3853584</v>
      </c>
      <c r="M56" s="46">
        <f>+M62</f>
        <v>3985658.315</v>
      </c>
      <c r="O56" s="46">
        <f>+O62</f>
        <v>4658269.987252104</v>
      </c>
    </row>
    <row r="57" spans="3:16" s="1" customFormat="1" ht="16.5" thickBot="1">
      <c r="C57" s="1" t="s">
        <v>116</v>
      </c>
      <c r="D57" s="7">
        <v>13</v>
      </c>
      <c r="E57" s="50">
        <f>E51-E56</f>
        <v>61587172</v>
      </c>
      <c r="G57" s="50">
        <f>G51-G56</f>
        <v>62377495</v>
      </c>
      <c r="I57" s="50">
        <f>I51-I56</f>
        <v>65924360</v>
      </c>
      <c r="K57" s="50">
        <f>K51-K56</f>
        <v>73064121</v>
      </c>
      <c r="M57" s="50">
        <f>M51-M56</f>
        <v>78368704.685</v>
      </c>
      <c r="O57" s="50">
        <f>O51-O56</f>
        <v>85514258.6977479</v>
      </c>
      <c r="P57" s="51"/>
    </row>
    <row r="58" s="1" customFormat="1" ht="12.75"/>
    <row r="59" spans="3:15" s="1" customFormat="1" ht="12.75">
      <c r="C59" s="1" t="s">
        <v>117</v>
      </c>
      <c r="E59" s="46">
        <v>2780032.4</v>
      </c>
      <c r="G59" s="46">
        <v>2981108.12</v>
      </c>
      <c r="I59" s="46">
        <v>2935387.94</v>
      </c>
      <c r="K59" s="46">
        <f>3853584-225145*2</f>
        <v>3403294</v>
      </c>
      <c r="M59" s="46">
        <v>3493682</v>
      </c>
      <c r="O59" s="46">
        <f>+'[3]CCA'!$O$67</f>
        <v>4056949.027252104</v>
      </c>
    </row>
    <row r="60" spans="3:16" s="1" customFormat="1" ht="15.75">
      <c r="C60" s="1" t="s">
        <v>118</v>
      </c>
      <c r="E60" s="46">
        <f>(223566*0.04+173256*0.2+58650*1+366962*0.45+3626789*0.08)/2</f>
        <v>278759.93</v>
      </c>
      <c r="G60" s="46">
        <f>+(166946*0.2+22555+111789*0.45+2433980*0.08)/2</f>
        <v>150483.825</v>
      </c>
      <c r="I60" s="46">
        <f>+(144500*0.2+402780*0.3+11676*1+7623266*0.08+269347*0.55)/2</f>
        <v>459706.065</v>
      </c>
      <c r="K60" s="46">
        <f>225145*2</f>
        <v>450290</v>
      </c>
      <c r="M60" s="46">
        <f>+'[3]CCA'!$O$31</f>
        <v>491976.31499999994</v>
      </c>
      <c r="O60" s="52">
        <f>+'[3]CCA'!$O$65</f>
        <v>601320.96</v>
      </c>
      <c r="P60" s="32" t="s">
        <v>11</v>
      </c>
    </row>
    <row r="61" spans="3:16" s="1" customFormat="1" ht="15.75">
      <c r="C61" s="1" t="s">
        <v>119</v>
      </c>
      <c r="E61" s="46">
        <f>-35437*0.45/2</f>
        <v>-7973.325</v>
      </c>
      <c r="G61" s="46">
        <f>+(67603*0.04-64000*0.3)/2</f>
        <v>-8247.94</v>
      </c>
      <c r="I61" s="46">
        <f>-(36000*0.3)/2</f>
        <v>-5400</v>
      </c>
      <c r="K61" s="46">
        <v>0</v>
      </c>
      <c r="M61" s="46">
        <v>0</v>
      </c>
      <c r="O61" s="52">
        <v>0</v>
      </c>
      <c r="P61" s="32"/>
    </row>
    <row r="62" spans="3:15" s="1" customFormat="1" ht="13.5" thickBot="1">
      <c r="C62" s="1" t="s">
        <v>120</v>
      </c>
      <c r="E62" s="50">
        <f>SUM(E59:E61)</f>
        <v>3050819.005</v>
      </c>
      <c r="G62" s="50">
        <f>SUM(G59:G61)</f>
        <v>3123344.0050000004</v>
      </c>
      <c r="I62" s="50">
        <f>SUM(I59:I61)</f>
        <v>3389694.005</v>
      </c>
      <c r="K62" s="50">
        <f>SUM(K59:K61)</f>
        <v>3853584</v>
      </c>
      <c r="M62" s="50">
        <f>SUM(M59:M61)</f>
        <v>3985658.315</v>
      </c>
      <c r="O62" s="50">
        <f>SUM(O59:O60)</f>
        <v>4658269.987252104</v>
      </c>
    </row>
    <row r="63" spans="5:15" s="1" customFormat="1" ht="12.75">
      <c r="E63" s="53">
        <f>E56-E62</f>
        <v>-0.004999999888241291</v>
      </c>
      <c r="G63" s="53">
        <f>G56-G62</f>
        <v>-0.005000000353902578</v>
      </c>
      <c r="I63" s="53">
        <f>I56-I62</f>
        <v>-0.004999999888241291</v>
      </c>
      <c r="K63" s="53">
        <f>K56-K62</f>
        <v>0</v>
      </c>
      <c r="M63" s="53">
        <f>M56-M62</f>
        <v>0</v>
      </c>
      <c r="O63" s="53">
        <f>O56-O62</f>
        <v>0</v>
      </c>
    </row>
    <row r="64" s="1" customFormat="1" ht="12.75"/>
    <row r="65" spans="3:4" s="1" customFormat="1" ht="18">
      <c r="C65" s="33" t="s">
        <v>121</v>
      </c>
      <c r="D65" s="33"/>
    </row>
    <row r="66" s="1" customFormat="1" ht="12.75"/>
    <row r="67" spans="3:15" s="1" customFormat="1" ht="15.75">
      <c r="C67" s="1" t="s">
        <v>122</v>
      </c>
      <c r="D67" s="7">
        <v>2</v>
      </c>
      <c r="E67" s="54">
        <f>E47</f>
        <v>60224205</v>
      </c>
      <c r="G67" s="54">
        <f>G47</f>
        <v>61587172</v>
      </c>
      <c r="I67" s="54">
        <f>I47</f>
        <v>62377495</v>
      </c>
      <c r="K67" s="54">
        <f>K47</f>
        <v>65924360</v>
      </c>
      <c r="M67" s="54">
        <f>M47</f>
        <v>73064121</v>
      </c>
      <c r="O67" s="54">
        <f>O47</f>
        <v>78368704.685</v>
      </c>
    </row>
    <row r="68" spans="3:16" s="1" customFormat="1" ht="15.75">
      <c r="C68" s="1" t="s">
        <v>107</v>
      </c>
      <c r="D68" s="7">
        <v>3</v>
      </c>
      <c r="E68" s="54">
        <f>E48</f>
        <v>4449223</v>
      </c>
      <c r="G68" s="54">
        <f>G48</f>
        <v>4045270</v>
      </c>
      <c r="I68" s="54">
        <f>I48</f>
        <v>8451569</v>
      </c>
      <c r="K68" s="54">
        <f>K48</f>
        <v>10993345</v>
      </c>
      <c r="M68" s="54">
        <f>M48</f>
        <v>9290242</v>
      </c>
      <c r="O68" s="41">
        <f>O48</f>
        <v>11803824</v>
      </c>
      <c r="P68" s="32" t="s">
        <v>123</v>
      </c>
    </row>
    <row r="69" spans="3:16" s="1" customFormat="1" ht="15.75">
      <c r="C69" s="1" t="s">
        <v>124</v>
      </c>
      <c r="D69" s="7"/>
      <c r="E69" s="54">
        <f>E70-E68-E67</f>
        <v>-3086256</v>
      </c>
      <c r="G69" s="54">
        <f>G70-G68-G67</f>
        <v>-3254947</v>
      </c>
      <c r="I69" s="54">
        <f>I70-I68-I67</f>
        <v>-4904704</v>
      </c>
      <c r="K69" s="54">
        <f>K70-K68-K67</f>
        <v>-3853584</v>
      </c>
      <c r="M69" s="54">
        <f>M70-M68-M67</f>
        <v>-3985658.3149999976</v>
      </c>
      <c r="O69" s="54">
        <f>O70-O68-O67</f>
        <v>-4658269.987252101</v>
      </c>
      <c r="P69" s="32"/>
    </row>
    <row r="70" spans="3:15" s="1" customFormat="1" ht="16.5" thickBot="1">
      <c r="C70" s="1" t="s">
        <v>125</v>
      </c>
      <c r="D70" s="7">
        <v>13</v>
      </c>
      <c r="E70" s="50">
        <f>E57</f>
        <v>61587172</v>
      </c>
      <c r="G70" s="50">
        <f>G57</f>
        <v>62377495</v>
      </c>
      <c r="I70" s="50">
        <f>I57</f>
        <v>65924360</v>
      </c>
      <c r="K70" s="50">
        <f>K57</f>
        <v>73064121</v>
      </c>
      <c r="M70" s="50">
        <f>M57</f>
        <v>78368704.685</v>
      </c>
      <c r="O70" s="50">
        <f>O57</f>
        <v>85514258.6977479</v>
      </c>
    </row>
    <row r="71" s="1" customFormat="1" ht="12.75"/>
    <row r="72" s="1" customFormat="1" ht="12.75"/>
    <row r="73" spans="3:15" s="1" customFormat="1" ht="12.75">
      <c r="C73" s="1" t="s">
        <v>126</v>
      </c>
      <c r="E73" s="79">
        <f>IF(ISERROR(E59/E67),0,E59/E67)</f>
        <v>0.04616137979737549</v>
      </c>
      <c r="F73" s="77"/>
      <c r="G73" s="79">
        <f>IF(ISERROR(G59/G67),0,G59/G67)</f>
        <v>0.048404692457708565</v>
      </c>
      <c r="H73" s="77"/>
      <c r="I73" s="79">
        <f>IF(ISERROR(I59/I67),0,I59/I67)</f>
        <v>0.04705844535757648</v>
      </c>
      <c r="J73" s="77"/>
      <c r="K73" s="79">
        <f>IF(ISERROR(K59/K67),0,K59/K67)</f>
        <v>0.05162422509676241</v>
      </c>
      <c r="L73" s="77"/>
      <c r="M73" s="79">
        <f>IF(ISERROR(M59/M67),0,M59/M67)</f>
        <v>0.04781665682394236</v>
      </c>
      <c r="N73" s="77"/>
      <c r="O73" s="79">
        <f>IF(ISERROR(O59/O67),0,O59/O67)</f>
        <v>0.051767463090768885</v>
      </c>
    </row>
    <row r="74" spans="3:16" s="1" customFormat="1" ht="15.75">
      <c r="C74" s="32" t="s">
        <v>127</v>
      </c>
      <c r="D74" s="32"/>
      <c r="E74" s="79">
        <f>IF(ISERROR(E60/E68),0,E60/E68)</f>
        <v>0.06265362064342471</v>
      </c>
      <c r="F74" s="77"/>
      <c r="G74" s="79">
        <f>IF(ISERROR(G60/G68),0,G60/G68)</f>
        <v>0.03719994586269891</v>
      </c>
      <c r="H74" s="77"/>
      <c r="I74" s="79">
        <f>IF(ISERROR(I60/I68),0,I60/I68)</f>
        <v>0.05439298490020019</v>
      </c>
      <c r="J74" s="77"/>
      <c r="K74" s="79">
        <f>IF(ISERROR(K60/K68),0,K60/K68)</f>
        <v>0.04096023548792474</v>
      </c>
      <c r="L74" s="77"/>
      <c r="M74" s="79">
        <f>IF(ISERROR(M60/M68),0,M60/M68)</f>
        <v>0.05295624322810966</v>
      </c>
      <c r="N74" s="77"/>
      <c r="O74" s="80">
        <f>IF(ISERROR(O60/O68),0,O60/O68)</f>
        <v>0.05094289443827695</v>
      </c>
      <c r="P74" s="32" t="s">
        <v>128</v>
      </c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printOptions/>
  <pageMargins left="0.75" right="0.75" top="1" bottom="1" header="0.5" footer="0.5"/>
  <pageSetup fitToHeight="0" fitToWidth="1"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86"/>
  <sheetViews>
    <sheetView zoomScale="75" zoomScaleNormal="75" workbookViewId="0" topLeftCell="A69">
      <selection activeCell="F87" sqref="F87"/>
    </sheetView>
  </sheetViews>
  <sheetFormatPr defaultColWidth="0" defaultRowHeight="15" customHeight="1" zeroHeight="1"/>
  <cols>
    <col min="1" max="2" width="12.28125" style="2" customWidth="1"/>
    <col min="3" max="3" width="48.421875" style="2" customWidth="1"/>
    <col min="4" max="4" width="20.7109375" style="2" customWidth="1"/>
    <col min="5" max="5" width="12.28125" style="2" customWidth="1"/>
    <col min="6" max="6" width="21.28125" style="2" customWidth="1"/>
    <col min="7" max="7" width="21.8515625" style="2" customWidth="1"/>
    <col min="8" max="13" width="12.28125" style="2" customWidth="1"/>
    <col min="14" max="16384" width="12.28125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="1" customFormat="1" ht="12.75"/>
    <row r="4" s="1" customFormat="1" ht="12.75">
      <c r="C4" s="1" t="s">
        <v>176</v>
      </c>
    </row>
    <row r="5" s="1" customFormat="1" ht="13.5" thickBot="1">
      <c r="C5" s="1" t="s">
        <v>177</v>
      </c>
    </row>
    <row r="6" s="1" customFormat="1" ht="18.75" thickBot="1">
      <c r="C6" s="3" t="s">
        <v>0</v>
      </c>
    </row>
    <row r="7" spans="3:7" s="1" customFormat="1" ht="15.75">
      <c r="C7" s="4" t="s">
        <v>1</v>
      </c>
      <c r="D7" s="5"/>
      <c r="E7" s="5"/>
      <c r="F7" s="6">
        <f>'[1]B1.1 Re-Basing Revenue - Gen'!T47</f>
        <v>18879309.692099996</v>
      </c>
      <c r="G7" s="7" t="s">
        <v>2</v>
      </c>
    </row>
    <row r="8" spans="3:7" s="1" customFormat="1" ht="15.75">
      <c r="C8" s="8"/>
      <c r="D8" s="9"/>
      <c r="E8" s="9"/>
      <c r="F8" s="10"/>
      <c r="G8" s="7"/>
    </row>
    <row r="9" spans="3:7" s="1" customFormat="1" ht="15.75">
      <c r="C9" s="8" t="s">
        <v>3</v>
      </c>
      <c r="D9" s="9"/>
      <c r="E9" s="9"/>
      <c r="F9" s="11">
        <f>'[1]B2.1 Re-Basing Revenue - Unique'!T32</f>
        <v>0</v>
      </c>
      <c r="G9" s="7" t="s">
        <v>4</v>
      </c>
    </row>
    <row r="10" spans="3:7" s="1" customFormat="1" ht="15.75">
      <c r="C10" s="8"/>
      <c r="D10" s="9"/>
      <c r="E10" s="9"/>
      <c r="F10" s="10"/>
      <c r="G10" s="7"/>
    </row>
    <row r="11" spans="3:7" s="1" customFormat="1" ht="16.5" thickBot="1">
      <c r="C11" s="8" t="s">
        <v>5</v>
      </c>
      <c r="D11" s="9"/>
      <c r="E11" s="9"/>
      <c r="F11" s="12">
        <f>SUM(F7,F9)</f>
        <v>18879309.692099996</v>
      </c>
      <c r="G11" s="7" t="s">
        <v>6</v>
      </c>
    </row>
    <row r="12" spans="3:7" s="1" customFormat="1" ht="16.5" thickBot="1">
      <c r="C12" s="13"/>
      <c r="D12" s="14"/>
      <c r="E12" s="14"/>
      <c r="F12" s="15"/>
      <c r="G12" s="7"/>
    </row>
    <row r="13" spans="6:7" s="1" customFormat="1" ht="16.5" thickBot="1">
      <c r="F13" s="16"/>
      <c r="G13" s="7"/>
    </row>
    <row r="14" spans="3:7" s="1" customFormat="1" ht="18.75" thickBot="1">
      <c r="C14" s="3" t="s">
        <v>7</v>
      </c>
      <c r="F14" s="16"/>
      <c r="G14" s="7"/>
    </row>
    <row r="15" spans="3:7" s="1" customFormat="1" ht="15.75">
      <c r="C15" s="4" t="s">
        <v>8</v>
      </c>
      <c r="D15" s="5"/>
      <c r="E15" s="83" t="s">
        <v>175</v>
      </c>
      <c r="F15" s="6">
        <v>2221500</v>
      </c>
      <c r="G15" s="7" t="s">
        <v>9</v>
      </c>
    </row>
    <row r="16" spans="3:7" s="1" customFormat="1" ht="25.5">
      <c r="C16" s="17" t="s">
        <v>10</v>
      </c>
      <c r="D16" s="55">
        <f>+'G3.1 Incremental Depn CCA Facto'!O39</f>
        <v>0.04503813516704417</v>
      </c>
      <c r="E16" s="7" t="s">
        <v>11</v>
      </c>
      <c r="F16" s="11">
        <f>F15*D16</f>
        <v>100052.21727358863</v>
      </c>
      <c r="G16" s="7" t="s">
        <v>12</v>
      </c>
    </row>
    <row r="17" spans="3:7" s="1" customFormat="1" ht="16.5" thickBot="1">
      <c r="C17" s="17" t="s">
        <v>13</v>
      </c>
      <c r="D17" s="9"/>
      <c r="E17" s="7"/>
      <c r="F17" s="12">
        <f>F15-F16</f>
        <v>2121447.7827264112</v>
      </c>
      <c r="G17" s="7" t="s">
        <v>14</v>
      </c>
    </row>
    <row r="18" spans="3:7" s="1" customFormat="1" ht="15.75">
      <c r="C18" s="8"/>
      <c r="D18" s="9"/>
      <c r="E18" s="7"/>
      <c r="F18" s="10"/>
      <c r="G18" s="7"/>
    </row>
    <row r="19" spans="3:7" s="1" customFormat="1" ht="15.75">
      <c r="C19" s="8" t="s">
        <v>15</v>
      </c>
      <c r="D19" s="18">
        <f>'[1]E1.2 K-Factor Adjustment'!E48</f>
        <v>0.04</v>
      </c>
      <c r="E19" s="7" t="s">
        <v>16</v>
      </c>
      <c r="F19" s="11">
        <f>F17*D19</f>
        <v>84857.91130905645</v>
      </c>
      <c r="G19" s="7" t="s">
        <v>17</v>
      </c>
    </row>
    <row r="20" spans="3:7" s="1" customFormat="1" ht="15.75">
      <c r="C20" s="8" t="s">
        <v>18</v>
      </c>
      <c r="D20" s="18">
        <f>'[1]E1.2 K-Factor Adjustment'!E49</f>
        <v>0.527</v>
      </c>
      <c r="E20" s="7" t="s">
        <v>19</v>
      </c>
      <c r="F20" s="11">
        <f>F17*D20</f>
        <v>1118002.9814968188</v>
      </c>
      <c r="G20" s="7" t="s">
        <v>20</v>
      </c>
    </row>
    <row r="21" spans="3:7" s="1" customFormat="1" ht="15.75">
      <c r="C21" s="8"/>
      <c r="D21" s="19"/>
      <c r="E21" s="7"/>
      <c r="F21" s="10"/>
      <c r="G21" s="7"/>
    </row>
    <row r="22" spans="3:7" s="1" customFormat="1" ht="15.75">
      <c r="C22" s="8" t="s">
        <v>21</v>
      </c>
      <c r="D22" s="20">
        <f>'[1]E1.2 K-Factor Adjustment'!E52</f>
        <v>0.0447</v>
      </c>
      <c r="E22" s="7" t="s">
        <v>22</v>
      </c>
      <c r="F22" s="11">
        <f>F19*D22</f>
        <v>3793.148635514823</v>
      </c>
      <c r="G22" s="7" t="s">
        <v>23</v>
      </c>
    </row>
    <row r="23" spans="3:7" s="1" customFormat="1" ht="15.75">
      <c r="C23" s="8" t="s">
        <v>24</v>
      </c>
      <c r="D23" s="20">
        <f>'[1]E1.2 K-Factor Adjustment'!E53</f>
        <v>0.058206</v>
      </c>
      <c r="E23" s="7" t="s">
        <v>25</v>
      </c>
      <c r="F23" s="11">
        <f>F20*D23</f>
        <v>65074.481541003835</v>
      </c>
      <c r="G23" s="7" t="s">
        <v>26</v>
      </c>
    </row>
    <row r="24" spans="3:7" s="1" customFormat="1" ht="15.75">
      <c r="C24" s="8"/>
      <c r="D24" s="9"/>
      <c r="E24" s="7"/>
      <c r="F24" s="10"/>
      <c r="G24" s="7"/>
    </row>
    <row r="25" spans="3:7" s="1" customFormat="1" ht="16.5" thickBot="1">
      <c r="C25" s="8" t="s">
        <v>27</v>
      </c>
      <c r="D25" s="9"/>
      <c r="E25" s="7"/>
      <c r="F25" s="12">
        <f>SUM(F22:F23)</f>
        <v>68867.63017651867</v>
      </c>
      <c r="G25" s="7" t="s">
        <v>28</v>
      </c>
    </row>
    <row r="26" spans="3:7" s="1" customFormat="1" ht="15.75">
      <c r="C26" s="8"/>
      <c r="D26" s="9"/>
      <c r="E26" s="7"/>
      <c r="F26" s="10"/>
      <c r="G26" s="7"/>
    </row>
    <row r="27" spans="3:13" s="1" customFormat="1" ht="15.75">
      <c r="C27" s="8"/>
      <c r="D27" s="9"/>
      <c r="E27" s="7"/>
      <c r="F27" s="10"/>
      <c r="G27" s="7"/>
      <c r="M27" s="21" t="s">
        <v>29</v>
      </c>
    </row>
    <row r="28" spans="3:7" s="1" customFormat="1" ht="15.75">
      <c r="C28" s="8" t="s">
        <v>30</v>
      </c>
      <c r="D28" s="18">
        <f>'[1]E1.2 K-Factor Adjustment'!E50</f>
        <v>0.433</v>
      </c>
      <c r="E28" s="7" t="s">
        <v>31</v>
      </c>
      <c r="F28" s="11">
        <f>F17*D28</f>
        <v>918586.8899205361</v>
      </c>
      <c r="G28" s="7" t="s">
        <v>32</v>
      </c>
    </row>
    <row r="29" spans="3:7" s="1" customFormat="1" ht="15.75">
      <c r="C29" s="8"/>
      <c r="D29" s="9"/>
      <c r="E29" s="7"/>
      <c r="F29" s="10"/>
      <c r="G29" s="7"/>
    </row>
    <row r="30" spans="3:7" s="1" customFormat="1" ht="15.75">
      <c r="C30" s="8" t="s">
        <v>33</v>
      </c>
      <c r="D30" s="20">
        <f>'[1]E1.2 K-Factor Adjustment'!E54</f>
        <v>0.0857</v>
      </c>
      <c r="E30" s="7" t="s">
        <v>34</v>
      </c>
      <c r="F30" s="11">
        <f>F28*D30</f>
        <v>78722.89646618994</v>
      </c>
      <c r="G30" s="7" t="s">
        <v>35</v>
      </c>
    </row>
    <row r="31" spans="3:7" s="1" customFormat="1" ht="15.75">
      <c r="C31" s="8"/>
      <c r="D31" s="9"/>
      <c r="E31" s="9"/>
      <c r="F31" s="10"/>
      <c r="G31" s="7"/>
    </row>
    <row r="32" spans="3:7" s="1" customFormat="1" ht="16.5" thickBot="1">
      <c r="C32" s="8" t="s">
        <v>36</v>
      </c>
      <c r="E32" s="9"/>
      <c r="F32" s="12">
        <f>F25+F30</f>
        <v>147590.5266427086</v>
      </c>
      <c r="G32" s="7" t="s">
        <v>37</v>
      </c>
    </row>
    <row r="33" spans="3:7" s="1" customFormat="1" ht="16.5" thickBot="1">
      <c r="C33" s="13"/>
      <c r="D33" s="14"/>
      <c r="E33" s="14"/>
      <c r="F33" s="15"/>
      <c r="G33" s="7"/>
    </row>
    <row r="34" spans="6:7" s="1" customFormat="1" ht="15.75">
      <c r="F34" s="16"/>
      <c r="G34" s="7"/>
    </row>
    <row r="35" spans="6:7" s="1" customFormat="1" ht="16.5" thickBot="1">
      <c r="F35" s="16"/>
      <c r="G35" s="7"/>
    </row>
    <row r="36" spans="3:7" s="1" customFormat="1" ht="18.75" thickBot="1">
      <c r="C36" s="22" t="s">
        <v>38</v>
      </c>
      <c r="D36" s="5"/>
      <c r="E36" s="5"/>
      <c r="F36" s="23"/>
      <c r="G36" s="7"/>
    </row>
    <row r="37" spans="3:7" s="1" customFormat="1" ht="18">
      <c r="C37" s="24"/>
      <c r="D37" s="9"/>
      <c r="E37" s="9"/>
      <c r="F37" s="10"/>
      <c r="G37" s="7"/>
    </row>
    <row r="38" spans="3:7" s="1" customFormat="1" ht="15.75">
      <c r="C38" s="8" t="s">
        <v>8</v>
      </c>
      <c r="D38" s="25">
        <f>F15</f>
        <v>2221500</v>
      </c>
      <c r="E38" s="7" t="s">
        <v>39</v>
      </c>
      <c r="F38" s="10"/>
      <c r="G38" s="7"/>
    </row>
    <row r="39" spans="3:7" s="1" customFormat="1" ht="15.75">
      <c r="C39" s="8"/>
      <c r="D39" s="9"/>
      <c r="E39" s="7"/>
      <c r="F39" s="10"/>
      <c r="G39" s="7"/>
    </row>
    <row r="40" spans="3:7" s="1" customFormat="1" ht="25.5">
      <c r="C40" s="17" t="s">
        <v>10</v>
      </c>
      <c r="D40" s="56">
        <f>+D16</f>
        <v>0.04503813516704417</v>
      </c>
      <c r="E40" s="7" t="s">
        <v>40</v>
      </c>
      <c r="F40" s="10"/>
      <c r="G40" s="7"/>
    </row>
    <row r="41" spans="3:7" s="1" customFormat="1" ht="15.75">
      <c r="C41" s="17"/>
      <c r="D41" s="9"/>
      <c r="E41" s="9"/>
      <c r="F41" s="10"/>
      <c r="G41" s="7"/>
    </row>
    <row r="42" spans="3:7" s="1" customFormat="1" ht="15.75">
      <c r="C42" s="8" t="s">
        <v>41</v>
      </c>
      <c r="D42" s="9"/>
      <c r="E42" s="9"/>
      <c r="F42" s="11">
        <f>D38*D40</f>
        <v>100052.21727358863</v>
      </c>
      <c r="G42" s="7" t="s">
        <v>42</v>
      </c>
    </row>
    <row r="43" spans="3:7" s="1" customFormat="1" ht="16.5" thickBot="1">
      <c r="C43" s="13"/>
      <c r="D43" s="14"/>
      <c r="E43" s="14"/>
      <c r="F43" s="15"/>
      <c r="G43" s="7"/>
    </row>
    <row r="44" spans="6:7" s="1" customFormat="1" ht="16.5" thickBot="1">
      <c r="F44" s="16"/>
      <c r="G44" s="7"/>
    </row>
    <row r="45" spans="3:7" s="1" customFormat="1" ht="18.75" thickBot="1">
      <c r="C45" s="3" t="s">
        <v>43</v>
      </c>
      <c r="D45" s="5"/>
      <c r="E45" s="5"/>
      <c r="F45" s="23"/>
      <c r="G45" s="7"/>
    </row>
    <row r="46" spans="3:7" s="1" customFormat="1" ht="18">
      <c r="C46" s="26"/>
      <c r="D46" s="9"/>
      <c r="E46" s="9"/>
      <c r="F46" s="10"/>
      <c r="G46" s="7"/>
    </row>
    <row r="47" spans="3:7" s="1" customFormat="1" ht="15.75">
      <c r="C47" s="8" t="s">
        <v>44</v>
      </c>
      <c r="D47" s="9"/>
      <c r="E47" s="9"/>
      <c r="F47" s="11">
        <f>+F30</f>
        <v>78722.89646618994</v>
      </c>
      <c r="G47" s="7" t="s">
        <v>45</v>
      </c>
    </row>
    <row r="48" spans="3:7" s="1" customFormat="1" ht="15.75">
      <c r="C48" s="8"/>
      <c r="D48" s="9"/>
      <c r="E48" s="9"/>
      <c r="F48" s="10"/>
      <c r="G48" s="7"/>
    </row>
    <row r="49" spans="3:7" s="1" customFormat="1" ht="15.75">
      <c r="C49" s="8" t="s">
        <v>46</v>
      </c>
      <c r="D49" s="9"/>
      <c r="E49" s="9"/>
      <c r="F49" s="11">
        <f>F42</f>
        <v>100052.21727358863</v>
      </c>
      <c r="G49" s="7" t="s">
        <v>47</v>
      </c>
    </row>
    <row r="50" spans="3:7" s="1" customFormat="1" ht="15.75">
      <c r="C50" s="8"/>
      <c r="D50" s="9"/>
      <c r="E50" s="9"/>
      <c r="F50" s="10"/>
      <c r="G50" s="7"/>
    </row>
    <row r="51" spans="3:7" s="1" customFormat="1" ht="15.75">
      <c r="C51" s="8" t="s">
        <v>8</v>
      </c>
      <c r="D51" s="25">
        <f>F15</f>
        <v>2221500</v>
      </c>
      <c r="E51" s="27" t="s">
        <v>48</v>
      </c>
      <c r="F51" s="10"/>
      <c r="G51" s="7"/>
    </row>
    <row r="52" spans="3:7" s="1" customFormat="1" ht="15.75">
      <c r="C52" s="8"/>
      <c r="D52" s="9"/>
      <c r="E52" s="27"/>
      <c r="F52" s="10"/>
      <c r="G52" s="7"/>
    </row>
    <row r="53" spans="3:7" s="1" customFormat="1" ht="15.75">
      <c r="C53" s="17" t="s">
        <v>49</v>
      </c>
      <c r="D53" s="57">
        <f>+'G3.1 Incremental Depn CCA Facto'!O74</f>
        <v>0.05094289443827695</v>
      </c>
      <c r="E53" s="27" t="s">
        <v>50</v>
      </c>
      <c r="F53" s="10"/>
      <c r="G53" s="7"/>
    </row>
    <row r="54" spans="3:7" s="1" customFormat="1" ht="15.75">
      <c r="C54" s="8"/>
      <c r="D54" s="9"/>
      <c r="E54" s="27"/>
      <c r="F54" s="10"/>
      <c r="G54" s="7"/>
    </row>
    <row r="55" spans="3:7" s="1" customFormat="1" ht="15.75">
      <c r="C55" s="8" t="s">
        <v>51</v>
      </c>
      <c r="D55" s="9"/>
      <c r="E55" s="27"/>
      <c r="F55" s="11">
        <f>D51*D53</f>
        <v>113169.63999463225</v>
      </c>
      <c r="G55" s="7" t="s">
        <v>52</v>
      </c>
    </row>
    <row r="56" spans="3:7" s="1" customFormat="1" ht="15.75">
      <c r="C56" s="8"/>
      <c r="D56" s="9"/>
      <c r="E56" s="27"/>
      <c r="F56" s="10"/>
      <c r="G56" s="7"/>
    </row>
    <row r="57" spans="3:7" s="1" customFormat="1" ht="15.75">
      <c r="C57" s="8" t="s">
        <v>53</v>
      </c>
      <c r="D57" s="9"/>
      <c r="E57" s="27"/>
      <c r="F57" s="11">
        <f>F47+F49-F55</f>
        <v>65605.47374514633</v>
      </c>
      <c r="G57" s="7" t="s">
        <v>54</v>
      </c>
    </row>
    <row r="58" spans="3:7" s="1" customFormat="1" ht="15.75">
      <c r="C58" s="8"/>
      <c r="D58" s="9"/>
      <c r="E58" s="27"/>
      <c r="F58" s="10"/>
      <c r="G58" s="7"/>
    </row>
    <row r="59" spans="3:7" s="1" customFormat="1" ht="15.75">
      <c r="C59" s="8" t="s">
        <v>55</v>
      </c>
      <c r="D59" s="18">
        <f>'[1]F1.1 Z-Factor Tax Changes'!G133</f>
        <v>0.33</v>
      </c>
      <c r="E59" s="27" t="s">
        <v>56</v>
      </c>
      <c r="F59" s="10"/>
      <c r="G59" s="7"/>
    </row>
    <row r="60" spans="3:7" s="1" customFormat="1" ht="15.75">
      <c r="C60" s="8"/>
      <c r="D60" s="9"/>
      <c r="E60" s="9"/>
      <c r="F60" s="10"/>
      <c r="G60" s="7"/>
    </row>
    <row r="61" spans="3:7" s="1" customFormat="1" ht="15.75">
      <c r="C61" s="8" t="s">
        <v>57</v>
      </c>
      <c r="D61" s="9"/>
      <c r="E61" s="9"/>
      <c r="F61" s="11">
        <f>F57*D59</f>
        <v>21649.80633589829</v>
      </c>
      <c r="G61" s="7" t="s">
        <v>58</v>
      </c>
    </row>
    <row r="62" spans="3:7" s="1" customFormat="1" ht="15.75">
      <c r="C62" s="8"/>
      <c r="D62" s="9"/>
      <c r="E62" s="9"/>
      <c r="F62" s="10"/>
      <c r="G62" s="7"/>
    </row>
    <row r="63" spans="3:7" s="1" customFormat="1" ht="15.75">
      <c r="C63" s="8" t="s">
        <v>59</v>
      </c>
      <c r="D63" s="9"/>
      <c r="E63" s="9"/>
      <c r="F63" s="11">
        <f>F61/(1-D59)</f>
        <v>32313.143784922824</v>
      </c>
      <c r="G63" s="7" t="s">
        <v>60</v>
      </c>
    </row>
    <row r="64" spans="3:7" s="1" customFormat="1" ht="16.5" thickBot="1">
      <c r="C64" s="13"/>
      <c r="D64" s="14"/>
      <c r="E64" s="14"/>
      <c r="F64" s="15"/>
      <c r="G64" s="7"/>
    </row>
    <row r="65" spans="6:7" s="1" customFormat="1" ht="16.5" thickBot="1">
      <c r="F65" s="16"/>
      <c r="G65" s="7"/>
    </row>
    <row r="66" spans="3:7" s="1" customFormat="1" ht="18.75" thickBot="1">
      <c r="C66" s="3" t="s">
        <v>61</v>
      </c>
      <c r="F66" s="16"/>
      <c r="G66" s="7"/>
    </row>
    <row r="67" spans="3:7" s="1" customFormat="1" ht="15.75">
      <c r="C67" s="8" t="s">
        <v>8</v>
      </c>
      <c r="D67" s="5"/>
      <c r="E67" s="5"/>
      <c r="F67" s="6">
        <f>F15</f>
        <v>2221500</v>
      </c>
      <c r="G67" s="7" t="s">
        <v>62</v>
      </c>
    </row>
    <row r="68" spans="3:7" s="1" customFormat="1" ht="15.75">
      <c r="C68" s="8"/>
      <c r="D68" s="9"/>
      <c r="E68" s="9"/>
      <c r="F68" s="10"/>
      <c r="G68" s="7"/>
    </row>
    <row r="69" spans="3:7" s="1" customFormat="1" ht="15.75">
      <c r="C69" s="8" t="s">
        <v>63</v>
      </c>
      <c r="D69" s="9" t="s">
        <v>218</v>
      </c>
      <c r="E69" s="9"/>
      <c r="F69" s="28">
        <v>0</v>
      </c>
      <c r="G69" s="7" t="s">
        <v>64</v>
      </c>
    </row>
    <row r="70" spans="3:7" s="1" customFormat="1" ht="15.75">
      <c r="C70" s="8"/>
      <c r="D70" s="9"/>
      <c r="E70" s="9"/>
      <c r="F70" s="10"/>
      <c r="G70" s="7"/>
    </row>
    <row r="71" spans="3:7" s="1" customFormat="1" ht="15.75">
      <c r="C71" s="8" t="s">
        <v>65</v>
      </c>
      <c r="D71" s="9"/>
      <c r="E71" s="9"/>
      <c r="F71" s="29">
        <f>F67-F69</f>
        <v>2221500</v>
      </c>
      <c r="G71" s="7" t="s">
        <v>66</v>
      </c>
    </row>
    <row r="72" spans="3:7" s="1" customFormat="1" ht="15.75">
      <c r="C72" s="8"/>
      <c r="D72" s="9"/>
      <c r="E72" s="9"/>
      <c r="F72" s="10"/>
      <c r="G72" s="7"/>
    </row>
    <row r="73" spans="3:7" s="1" customFormat="1" ht="15.75">
      <c r="C73" s="8" t="s">
        <v>67</v>
      </c>
      <c r="D73" s="30">
        <f>'[1]F1.1 Z-Factor Tax Changes'!G126</f>
        <v>0.00225</v>
      </c>
      <c r="E73" s="7" t="s">
        <v>68</v>
      </c>
      <c r="F73" s="10"/>
      <c r="G73" s="7"/>
    </row>
    <row r="74" spans="3:7" s="1" customFormat="1" ht="15.75">
      <c r="C74" s="31"/>
      <c r="D74" s="9"/>
      <c r="E74" s="9"/>
      <c r="F74" s="10"/>
      <c r="G74" s="7"/>
    </row>
    <row r="75" spans="3:7" s="1" customFormat="1" ht="16.5" thickBot="1">
      <c r="C75" s="8" t="s">
        <v>69</v>
      </c>
      <c r="D75" s="9"/>
      <c r="E75" s="9"/>
      <c r="F75" s="12">
        <f>F71*D73</f>
        <v>4998.375</v>
      </c>
      <c r="G75" s="7" t="s">
        <v>70</v>
      </c>
    </row>
    <row r="76" spans="3:10" s="1" customFormat="1" ht="16.5" thickBot="1">
      <c r="C76" s="13"/>
      <c r="D76" s="14"/>
      <c r="E76" s="14"/>
      <c r="F76" s="15"/>
      <c r="G76" s="7"/>
      <c r="J76" s="32"/>
    </row>
    <row r="77" spans="6:7" s="1" customFormat="1" ht="16.5" thickBot="1">
      <c r="F77" s="16"/>
      <c r="G77" s="7"/>
    </row>
    <row r="78" spans="3:7" s="1" customFormat="1" ht="18.75" thickBot="1">
      <c r="C78" s="3" t="s">
        <v>71</v>
      </c>
      <c r="F78" s="16"/>
      <c r="G78" s="7"/>
    </row>
    <row r="79" spans="3:7" s="1" customFormat="1" ht="15.75">
      <c r="C79" s="4" t="s">
        <v>36</v>
      </c>
      <c r="D79" s="5"/>
      <c r="E79" s="5"/>
      <c r="F79" s="6">
        <f>F32</f>
        <v>147590.5266427086</v>
      </c>
      <c r="G79" s="7" t="s">
        <v>72</v>
      </c>
    </row>
    <row r="80" spans="3:7" s="1" customFormat="1" ht="15.75">
      <c r="C80" s="8" t="s">
        <v>73</v>
      </c>
      <c r="D80" s="9"/>
      <c r="E80" s="9"/>
      <c r="F80" s="11">
        <f>F42</f>
        <v>100052.21727358863</v>
      </c>
      <c r="G80" s="7" t="s">
        <v>74</v>
      </c>
    </row>
    <row r="81" spans="3:7" s="1" customFormat="1" ht="15.75">
      <c r="C81" s="8" t="s">
        <v>59</v>
      </c>
      <c r="D81" s="9"/>
      <c r="E81" s="9"/>
      <c r="F81" s="11">
        <f>F63</f>
        <v>32313.143784922824</v>
      </c>
      <c r="G81" s="7" t="s">
        <v>75</v>
      </c>
    </row>
    <row r="82" spans="3:7" s="1" customFormat="1" ht="15.75">
      <c r="C82" s="8" t="s">
        <v>69</v>
      </c>
      <c r="D82" s="9"/>
      <c r="E82" s="9"/>
      <c r="F82" s="11">
        <f>F75</f>
        <v>4998.375</v>
      </c>
      <c r="G82" s="7" t="s">
        <v>76</v>
      </c>
    </row>
    <row r="83" spans="3:7" s="1" customFormat="1" ht="15.75">
      <c r="C83" s="8"/>
      <c r="D83" s="9"/>
      <c r="E83" s="9"/>
      <c r="F83" s="10"/>
      <c r="G83" s="7"/>
    </row>
    <row r="84" spans="3:7" s="1" customFormat="1" ht="16.5" thickBot="1">
      <c r="C84" s="8" t="s">
        <v>71</v>
      </c>
      <c r="D84" s="9"/>
      <c r="E84" s="9"/>
      <c r="F84" s="12">
        <f>SUM(F79:F82)</f>
        <v>284954.26270122005</v>
      </c>
      <c r="G84" s="7" t="s">
        <v>77</v>
      </c>
    </row>
    <row r="85" spans="3:7" s="1" customFormat="1" ht="16.5" thickBot="1">
      <c r="C85" s="13"/>
      <c r="D85" s="14"/>
      <c r="E85" s="14"/>
      <c r="F85" s="15"/>
      <c r="G85" s="7"/>
    </row>
    <row r="86" s="1" customFormat="1" ht="15.75">
      <c r="G86" s="7"/>
    </row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printOptions/>
  <pageMargins left="0.75" right="0.75" top="1" bottom="1" header="0.5" footer="0.5"/>
  <pageSetup fitToHeight="1" fitToWidth="1" horizontalDpi="600" verticalDpi="600" orientation="portrait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5" zoomScaleNormal="75" workbookViewId="0" topLeftCell="A1">
      <selection activeCell="K5" sqref="K5"/>
    </sheetView>
  </sheetViews>
  <sheetFormatPr defaultColWidth="0" defaultRowHeight="15" customHeight="1" zeroHeight="1"/>
  <cols>
    <col min="1" max="1" width="3.28125" style="2" customWidth="1"/>
    <col min="2" max="2" width="10.8515625" style="2" hidden="1" customWidth="1"/>
    <col min="3" max="3" width="36.140625" style="2" bestFit="1" customWidth="1"/>
    <col min="4" max="4" width="11.7109375" style="2" bestFit="1" customWidth="1"/>
    <col min="5" max="5" width="6.28125" style="2" bestFit="1" customWidth="1"/>
    <col min="6" max="6" width="3.28125" style="2" customWidth="1"/>
    <col min="7" max="7" width="16.8515625" style="2" bestFit="1" customWidth="1"/>
    <col min="8" max="8" width="3.7109375" style="2" customWidth="1"/>
    <col min="9" max="9" width="12.28125" style="2" bestFit="1" customWidth="1"/>
    <col min="10" max="10" width="3.28125" style="2" customWidth="1"/>
    <col min="11" max="11" width="12.421875" style="2" bestFit="1" customWidth="1"/>
    <col min="12" max="12" width="4.7109375" style="2" customWidth="1"/>
    <col min="13" max="13" width="13.28125" style="2" bestFit="1" customWidth="1"/>
    <col min="14" max="14" width="4.421875" style="2" customWidth="1"/>
    <col min="15" max="15" width="11.28125" style="2" customWidth="1"/>
    <col min="16" max="16" width="4.00390625" style="2" customWidth="1"/>
    <col min="17" max="17" width="11.140625" style="2" bestFit="1" customWidth="1"/>
    <col min="18" max="18" width="3.140625" style="2" customWidth="1"/>
    <col min="19" max="19" width="10.28125" style="2" customWidth="1"/>
    <col min="20" max="20" width="14.7109375" style="2" bestFit="1" customWidth="1"/>
    <col min="21" max="22" width="12.28125" style="2" bestFit="1" customWidth="1"/>
    <col min="23" max="16384" width="10.8515625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="1" customFormat="1" ht="12.75"/>
    <row r="4" s="1" customFormat="1" ht="12.75">
      <c r="K4" s="89">
        <f>'G4.1 IncrementalCapitalAdj'!F84+12500</f>
        <v>297454.26270122005</v>
      </c>
    </row>
    <row r="5" spans="2:19" s="1" customFormat="1" ht="64.5" customHeight="1">
      <c r="B5" s="58" t="s">
        <v>129</v>
      </c>
      <c r="C5" s="59" t="s">
        <v>130</v>
      </c>
      <c r="D5" s="59" t="s">
        <v>131</v>
      </c>
      <c r="E5" s="59" t="s">
        <v>132</v>
      </c>
      <c r="F5" s="59"/>
      <c r="G5" s="59" t="s">
        <v>178</v>
      </c>
      <c r="I5" s="59" t="s">
        <v>179</v>
      </c>
      <c r="K5" s="59" t="s">
        <v>180</v>
      </c>
      <c r="M5" s="59" t="s">
        <v>133</v>
      </c>
      <c r="O5" s="59" t="s">
        <v>134</v>
      </c>
      <c r="Q5" s="59" t="s">
        <v>135</v>
      </c>
      <c r="S5" s="59" t="s">
        <v>136</v>
      </c>
    </row>
    <row r="6" spans="2:19" s="1" customFormat="1" ht="15.75">
      <c r="B6" s="58"/>
      <c r="C6" s="59"/>
      <c r="D6" s="59"/>
      <c r="E6" s="59"/>
      <c r="F6" s="59"/>
      <c r="G6" s="59" t="s">
        <v>2</v>
      </c>
      <c r="I6" s="59" t="s">
        <v>181</v>
      </c>
      <c r="K6" s="59" t="s">
        <v>182</v>
      </c>
      <c r="M6" s="59" t="s">
        <v>9</v>
      </c>
      <c r="O6" s="59" t="s">
        <v>11</v>
      </c>
      <c r="Q6" s="7" t="s">
        <v>183</v>
      </c>
      <c r="S6" s="7" t="s">
        <v>184</v>
      </c>
    </row>
    <row r="7" spans="2:19" s="1" customFormat="1" ht="12.75">
      <c r="B7" s="60">
        <v>1</v>
      </c>
      <c r="C7" s="61" t="s">
        <v>185</v>
      </c>
      <c r="D7" s="61" t="s">
        <v>186</v>
      </c>
      <c r="E7" s="61" t="s">
        <v>187</v>
      </c>
      <c r="G7" s="84">
        <v>10688834.187800001</v>
      </c>
      <c r="I7" s="85">
        <v>0.5665829040344559</v>
      </c>
      <c r="K7" s="84">
        <f>+I7*$K$4</f>
        <v>168532.4999786852</v>
      </c>
      <c r="M7" s="62">
        <v>487192399</v>
      </c>
      <c r="O7" s="62">
        <v>0</v>
      </c>
      <c r="Q7" s="63">
        <f>+K7/M7</f>
        <v>0.0003459259633865618</v>
      </c>
      <c r="S7" s="63" t="s">
        <v>188</v>
      </c>
    </row>
    <row r="8" spans="2:19" s="1" customFormat="1" ht="12.75">
      <c r="B8" s="60">
        <v>2</v>
      </c>
      <c r="C8" s="61" t="s">
        <v>189</v>
      </c>
      <c r="D8" s="61" t="s">
        <v>186</v>
      </c>
      <c r="E8" s="61" t="s">
        <v>187</v>
      </c>
      <c r="G8" s="84">
        <v>2894686.5464</v>
      </c>
      <c r="I8" s="85">
        <v>0.15343861462466438</v>
      </c>
      <c r="K8" s="84">
        <f aca="true" t="shared" si="0" ref="K8:K14">+I8*$K$4</f>
        <v>45640.96998307618</v>
      </c>
      <c r="M8" s="62">
        <v>140097188</v>
      </c>
      <c r="O8" s="62">
        <v>0</v>
      </c>
      <c r="Q8" s="63">
        <f>+K8/M8</f>
        <v>0.0003257807714390112</v>
      </c>
      <c r="S8" s="63" t="s">
        <v>188</v>
      </c>
    </row>
    <row r="9" spans="2:19" s="1" customFormat="1" ht="12.75">
      <c r="B9" s="60">
        <v>3</v>
      </c>
      <c r="C9" s="61" t="s">
        <v>190</v>
      </c>
      <c r="D9" s="61" t="s">
        <v>186</v>
      </c>
      <c r="E9" s="61" t="s">
        <v>191</v>
      </c>
      <c r="G9" s="84">
        <v>3607738.1373</v>
      </c>
      <c r="I9" s="85">
        <v>0.19123533164733378</v>
      </c>
      <c r="K9" s="84">
        <f t="shared" si="0"/>
        <v>56883.764577580965</v>
      </c>
      <c r="M9" s="62">
        <v>0</v>
      </c>
      <c r="O9" s="62">
        <v>893941</v>
      </c>
      <c r="Q9" s="63" t="s">
        <v>188</v>
      </c>
      <c r="S9" s="63">
        <f>+K9/O9</f>
        <v>0.06363257147572488</v>
      </c>
    </row>
    <row r="10" spans="2:19" s="1" customFormat="1" ht="12.75">
      <c r="B10" s="60">
        <v>4</v>
      </c>
      <c r="C10" s="61" t="s">
        <v>192</v>
      </c>
      <c r="D10" s="61" t="s">
        <v>186</v>
      </c>
      <c r="E10" s="61" t="s">
        <v>191</v>
      </c>
      <c r="G10" s="84">
        <v>614068.9478</v>
      </c>
      <c r="I10" s="85">
        <v>0.03254994526147819</v>
      </c>
      <c r="K10" s="84">
        <f t="shared" si="0"/>
        <v>9682.119968718067</v>
      </c>
      <c r="M10" s="62">
        <v>0</v>
      </c>
      <c r="O10" s="62">
        <v>171299</v>
      </c>
      <c r="Q10" s="63" t="s">
        <v>188</v>
      </c>
      <c r="S10" s="63">
        <f>+K10/O10</f>
        <v>0.05652175417672063</v>
      </c>
    </row>
    <row r="11" spans="2:19" s="1" customFormat="1" ht="12.75">
      <c r="B11" s="60">
        <v>5</v>
      </c>
      <c r="C11" s="61" t="s">
        <v>193</v>
      </c>
      <c r="D11" s="61" t="s">
        <v>186</v>
      </c>
      <c r="E11" s="61" t="s">
        <v>191</v>
      </c>
      <c r="G11" s="84">
        <v>484637.11100000003</v>
      </c>
      <c r="I11" s="85">
        <v>0.025689153459472373</v>
      </c>
      <c r="K11" s="84">
        <f t="shared" si="0"/>
        <v>7641.348201705851</v>
      </c>
      <c r="M11" s="62">
        <v>0</v>
      </c>
      <c r="O11" s="62">
        <v>140182</v>
      </c>
      <c r="Q11" s="63" t="s">
        <v>188</v>
      </c>
      <c r="S11" s="63">
        <f>+K11/O11</f>
        <v>0.05451019532968463</v>
      </c>
    </row>
    <row r="12" spans="2:19" s="1" customFormat="1" ht="12.75">
      <c r="B12" s="60">
        <v>6</v>
      </c>
      <c r="C12" s="61" t="s">
        <v>194</v>
      </c>
      <c r="D12" s="61" t="s">
        <v>186</v>
      </c>
      <c r="E12" s="61" t="s">
        <v>187</v>
      </c>
      <c r="G12" s="84">
        <v>78800.4648</v>
      </c>
      <c r="I12" s="85">
        <v>0.0041769752810468345</v>
      </c>
      <c r="K12" s="84">
        <f t="shared" si="0"/>
        <v>1242.4591025450077</v>
      </c>
      <c r="M12" s="62">
        <v>3841944</v>
      </c>
      <c r="O12" s="62">
        <v>0</v>
      </c>
      <c r="Q12" s="63">
        <f>+K12/M12</f>
        <v>0.0003233933400760156</v>
      </c>
      <c r="S12" s="63" t="s">
        <v>188</v>
      </c>
    </row>
    <row r="13" spans="2:19" s="1" customFormat="1" ht="12.75">
      <c r="B13" s="60">
        <v>7</v>
      </c>
      <c r="C13" s="61" t="s">
        <v>195</v>
      </c>
      <c r="D13" s="61" t="s">
        <v>196</v>
      </c>
      <c r="E13" s="61" t="s">
        <v>191</v>
      </c>
      <c r="G13" s="84">
        <v>4237.6219</v>
      </c>
      <c r="I13" s="85">
        <v>0.0002246235726102306</v>
      </c>
      <c r="K13" s="84">
        <f t="shared" si="0"/>
        <v>66.81523917609012</v>
      </c>
      <c r="M13" s="62">
        <v>0</v>
      </c>
      <c r="O13" s="62">
        <v>139</v>
      </c>
      <c r="Q13" s="63" t="s">
        <v>188</v>
      </c>
      <c r="S13" s="63">
        <f>+K13/O13</f>
        <v>0.48068517392870586</v>
      </c>
    </row>
    <row r="14" spans="2:19" s="1" customFormat="1" ht="12.75">
      <c r="B14" s="60">
        <v>8</v>
      </c>
      <c r="C14" s="61" t="s">
        <v>197</v>
      </c>
      <c r="D14" s="61" t="s">
        <v>196</v>
      </c>
      <c r="E14" s="61" t="s">
        <v>191</v>
      </c>
      <c r="G14" s="84">
        <v>492434.1709</v>
      </c>
      <c r="I14" s="85">
        <v>0.02610245211893842</v>
      </c>
      <c r="K14" s="84">
        <f t="shared" si="0"/>
        <v>7764.285649732727</v>
      </c>
      <c r="M14" s="62">
        <v>0</v>
      </c>
      <c r="O14" s="62">
        <v>26213</v>
      </c>
      <c r="Q14" s="63" t="s">
        <v>188</v>
      </c>
      <c r="S14" s="63">
        <f>+K14/O14</f>
        <v>0.2961998111522041</v>
      </c>
    </row>
    <row r="15" spans="2:19" s="1" customFormat="1" ht="12.75">
      <c r="B15" s="60">
        <v>9</v>
      </c>
      <c r="C15" s="61" t="s">
        <v>198</v>
      </c>
      <c r="D15" s="61" t="s">
        <v>199</v>
      </c>
      <c r="E15" s="61" t="s">
        <v>199</v>
      </c>
      <c r="G15" s="84">
        <v>0</v>
      </c>
      <c r="I15" s="85">
        <v>0</v>
      </c>
      <c r="K15" s="84">
        <v>0</v>
      </c>
      <c r="M15" s="62">
        <v>0</v>
      </c>
      <c r="O15" s="62">
        <v>0</v>
      </c>
      <c r="Q15" s="63" t="s">
        <v>188</v>
      </c>
      <c r="S15" s="63" t="s">
        <v>188</v>
      </c>
    </row>
    <row r="16" spans="2:20" s="1" customFormat="1" ht="15">
      <c r="B16" s="60">
        <v>10</v>
      </c>
      <c r="C16" s="61" t="s">
        <v>200</v>
      </c>
      <c r="D16" s="61" t="s">
        <v>199</v>
      </c>
      <c r="E16" s="61" t="s">
        <v>199</v>
      </c>
      <c r="G16" s="84">
        <v>0</v>
      </c>
      <c r="I16" s="85">
        <v>0</v>
      </c>
      <c r="K16" s="84">
        <v>0</v>
      </c>
      <c r="M16" s="62">
        <v>0</v>
      </c>
      <c r="O16" s="62">
        <v>0</v>
      </c>
      <c r="Q16" s="63" t="s">
        <v>188</v>
      </c>
      <c r="S16" s="63" t="s">
        <v>188</v>
      </c>
      <c r="T16" s="21" t="s">
        <v>29</v>
      </c>
    </row>
    <row r="17" spans="2:19" s="1" customFormat="1" ht="12.75">
      <c r="B17" s="60">
        <v>11</v>
      </c>
      <c r="C17" s="61" t="s">
        <v>201</v>
      </c>
      <c r="D17" s="61" t="s">
        <v>199</v>
      </c>
      <c r="E17" s="61" t="s">
        <v>199</v>
      </c>
      <c r="G17" s="84">
        <v>0</v>
      </c>
      <c r="I17" s="85">
        <v>0</v>
      </c>
      <c r="K17" s="84">
        <v>0</v>
      </c>
      <c r="M17" s="62">
        <v>0</v>
      </c>
      <c r="O17" s="62">
        <v>0</v>
      </c>
      <c r="Q17" s="63" t="s">
        <v>188</v>
      </c>
      <c r="S17" s="63" t="s">
        <v>188</v>
      </c>
    </row>
    <row r="18" spans="2:19" s="1" customFormat="1" ht="12.75">
      <c r="B18" s="60">
        <v>12</v>
      </c>
      <c r="C18" s="61" t="s">
        <v>202</v>
      </c>
      <c r="D18" s="61" t="s">
        <v>199</v>
      </c>
      <c r="E18" s="61" t="s">
        <v>199</v>
      </c>
      <c r="G18" s="84">
        <v>0</v>
      </c>
      <c r="I18" s="85">
        <v>0</v>
      </c>
      <c r="K18" s="84">
        <v>0</v>
      </c>
      <c r="M18" s="62">
        <v>0</v>
      </c>
      <c r="O18" s="62">
        <v>0</v>
      </c>
      <c r="Q18" s="63" t="s">
        <v>188</v>
      </c>
      <c r="S18" s="63" t="s">
        <v>188</v>
      </c>
    </row>
    <row r="19" spans="2:19" s="1" customFormat="1" ht="12.75">
      <c r="B19" s="60">
        <v>13</v>
      </c>
      <c r="C19" s="61" t="s">
        <v>203</v>
      </c>
      <c r="D19" s="61" t="s">
        <v>199</v>
      </c>
      <c r="E19" s="61" t="s">
        <v>199</v>
      </c>
      <c r="G19" s="84">
        <v>0</v>
      </c>
      <c r="I19" s="85">
        <v>0</v>
      </c>
      <c r="K19" s="84">
        <v>0</v>
      </c>
      <c r="M19" s="62">
        <v>0</v>
      </c>
      <c r="O19" s="62">
        <v>0</v>
      </c>
      <c r="Q19" s="63" t="s">
        <v>188</v>
      </c>
      <c r="S19" s="63" t="s">
        <v>188</v>
      </c>
    </row>
    <row r="20" spans="2:19" s="1" customFormat="1" ht="12.75">
      <c r="B20" s="60">
        <v>14</v>
      </c>
      <c r="C20" s="61" t="s">
        <v>204</v>
      </c>
      <c r="D20" s="61" t="s">
        <v>199</v>
      </c>
      <c r="E20" s="61" t="s">
        <v>199</v>
      </c>
      <c r="G20" s="84">
        <v>0</v>
      </c>
      <c r="I20" s="85">
        <v>0</v>
      </c>
      <c r="K20" s="84">
        <v>0</v>
      </c>
      <c r="M20" s="62">
        <v>0</v>
      </c>
      <c r="O20" s="62">
        <v>0</v>
      </c>
      <c r="Q20" s="63" t="s">
        <v>188</v>
      </c>
      <c r="S20" s="63" t="s">
        <v>188</v>
      </c>
    </row>
    <row r="21" spans="2:19" s="1" customFormat="1" ht="12.75">
      <c r="B21" s="60">
        <v>15</v>
      </c>
      <c r="C21" s="61" t="s">
        <v>205</v>
      </c>
      <c r="D21" s="61" t="s">
        <v>199</v>
      </c>
      <c r="E21" s="61" t="s">
        <v>199</v>
      </c>
      <c r="G21" s="84">
        <v>0</v>
      </c>
      <c r="I21" s="85">
        <v>0</v>
      </c>
      <c r="K21" s="84">
        <v>0</v>
      </c>
      <c r="M21" s="62">
        <v>0</v>
      </c>
      <c r="O21" s="62">
        <v>0</v>
      </c>
      <c r="Q21" s="63" t="s">
        <v>188</v>
      </c>
      <c r="S21" s="63" t="s">
        <v>188</v>
      </c>
    </row>
    <row r="22" spans="2:19" s="1" customFormat="1" ht="12.75">
      <c r="B22" s="60">
        <v>16</v>
      </c>
      <c r="C22" s="61" t="s">
        <v>206</v>
      </c>
      <c r="D22" s="61" t="s">
        <v>199</v>
      </c>
      <c r="E22" s="61" t="s">
        <v>199</v>
      </c>
      <c r="G22" s="84">
        <v>0</v>
      </c>
      <c r="I22" s="85">
        <v>0</v>
      </c>
      <c r="K22" s="84">
        <v>0</v>
      </c>
      <c r="M22" s="62">
        <v>0</v>
      </c>
      <c r="O22" s="62">
        <v>0</v>
      </c>
      <c r="Q22" s="63" t="s">
        <v>188</v>
      </c>
      <c r="S22" s="63" t="s">
        <v>188</v>
      </c>
    </row>
    <row r="23" spans="2:19" s="1" customFormat="1" ht="12.75">
      <c r="B23" s="60">
        <v>17</v>
      </c>
      <c r="C23" s="61" t="s">
        <v>207</v>
      </c>
      <c r="D23" s="61" t="s">
        <v>199</v>
      </c>
      <c r="E23" s="61" t="s">
        <v>199</v>
      </c>
      <c r="G23" s="84">
        <v>0</v>
      </c>
      <c r="I23" s="85">
        <v>0</v>
      </c>
      <c r="K23" s="84">
        <v>0</v>
      </c>
      <c r="M23" s="62">
        <v>0</v>
      </c>
      <c r="O23" s="62">
        <v>0</v>
      </c>
      <c r="Q23" s="63" t="s">
        <v>188</v>
      </c>
      <c r="S23" s="63" t="s">
        <v>188</v>
      </c>
    </row>
    <row r="24" spans="2:19" s="1" customFormat="1" ht="12.75">
      <c r="B24" s="60">
        <v>18</v>
      </c>
      <c r="C24" s="61" t="s">
        <v>208</v>
      </c>
      <c r="D24" s="61" t="s">
        <v>199</v>
      </c>
      <c r="E24" s="61" t="s">
        <v>199</v>
      </c>
      <c r="G24" s="84">
        <v>0</v>
      </c>
      <c r="I24" s="85">
        <v>0</v>
      </c>
      <c r="K24" s="84">
        <v>0</v>
      </c>
      <c r="M24" s="62">
        <v>0</v>
      </c>
      <c r="O24" s="62">
        <v>0</v>
      </c>
      <c r="Q24" s="63" t="s">
        <v>188</v>
      </c>
      <c r="S24" s="63" t="s">
        <v>188</v>
      </c>
    </row>
    <row r="25" spans="2:19" s="1" customFormat="1" ht="12.75">
      <c r="B25" s="60">
        <v>19</v>
      </c>
      <c r="C25" s="61" t="s">
        <v>209</v>
      </c>
      <c r="D25" s="61" t="s">
        <v>199</v>
      </c>
      <c r="E25" s="61" t="s">
        <v>199</v>
      </c>
      <c r="G25" s="84">
        <v>0</v>
      </c>
      <c r="I25" s="85">
        <v>0</v>
      </c>
      <c r="K25" s="84">
        <v>0</v>
      </c>
      <c r="M25" s="62">
        <v>0</v>
      </c>
      <c r="O25" s="62">
        <v>0</v>
      </c>
      <c r="Q25" s="63" t="s">
        <v>188</v>
      </c>
      <c r="S25" s="63" t="s">
        <v>188</v>
      </c>
    </row>
    <row r="26" spans="2:19" s="1" customFormat="1" ht="12.75">
      <c r="B26" s="60">
        <v>20</v>
      </c>
      <c r="C26" s="61" t="s">
        <v>210</v>
      </c>
      <c r="D26" s="61" t="s">
        <v>199</v>
      </c>
      <c r="E26" s="61" t="s">
        <v>199</v>
      </c>
      <c r="G26" s="84">
        <v>0</v>
      </c>
      <c r="I26" s="85">
        <v>0</v>
      </c>
      <c r="K26" s="84">
        <v>0</v>
      </c>
      <c r="M26" s="62">
        <v>0</v>
      </c>
      <c r="O26" s="62">
        <v>0</v>
      </c>
      <c r="Q26" s="63" t="s">
        <v>188</v>
      </c>
      <c r="S26" s="63" t="s">
        <v>188</v>
      </c>
    </row>
    <row r="27" spans="2:19" s="1" customFormat="1" ht="12.75">
      <c r="B27" s="60">
        <v>21</v>
      </c>
      <c r="C27" s="61" t="s">
        <v>211</v>
      </c>
      <c r="D27" s="61" t="s">
        <v>199</v>
      </c>
      <c r="E27" s="61" t="s">
        <v>199</v>
      </c>
      <c r="G27" s="84">
        <v>0</v>
      </c>
      <c r="I27" s="85">
        <v>0</v>
      </c>
      <c r="K27" s="84">
        <v>0</v>
      </c>
      <c r="M27" s="62">
        <v>0</v>
      </c>
      <c r="O27" s="62">
        <v>0</v>
      </c>
      <c r="Q27" s="63" t="s">
        <v>188</v>
      </c>
      <c r="S27" s="63" t="s">
        <v>188</v>
      </c>
    </row>
    <row r="28" spans="2:19" s="1" customFormat="1" ht="12.75">
      <c r="B28" s="60">
        <v>22</v>
      </c>
      <c r="C28" s="61" t="s">
        <v>212</v>
      </c>
      <c r="D28" s="61" t="s">
        <v>199</v>
      </c>
      <c r="E28" s="61" t="s">
        <v>199</v>
      </c>
      <c r="G28" s="84">
        <v>0</v>
      </c>
      <c r="I28" s="85">
        <v>0</v>
      </c>
      <c r="K28" s="84">
        <v>0</v>
      </c>
      <c r="M28" s="62">
        <v>0</v>
      </c>
      <c r="O28" s="62">
        <v>0</v>
      </c>
      <c r="Q28" s="63" t="s">
        <v>188</v>
      </c>
      <c r="S28" s="63" t="s">
        <v>188</v>
      </c>
    </row>
    <row r="29" spans="2:19" s="1" customFormat="1" ht="12.75">
      <c r="B29" s="60">
        <v>23</v>
      </c>
      <c r="C29" s="61" t="s">
        <v>213</v>
      </c>
      <c r="D29" s="61" t="s">
        <v>199</v>
      </c>
      <c r="E29" s="61" t="s">
        <v>199</v>
      </c>
      <c r="G29" s="84">
        <v>0</v>
      </c>
      <c r="I29" s="85">
        <v>0</v>
      </c>
      <c r="K29" s="84">
        <v>0</v>
      </c>
      <c r="M29" s="62">
        <v>0</v>
      </c>
      <c r="O29" s="62">
        <v>0</v>
      </c>
      <c r="Q29" s="63" t="s">
        <v>188</v>
      </c>
      <c r="S29" s="63" t="s">
        <v>188</v>
      </c>
    </row>
    <row r="30" spans="2:19" s="1" customFormat="1" ht="12.75">
      <c r="B30" s="60">
        <v>24</v>
      </c>
      <c r="C30" s="61" t="s">
        <v>214</v>
      </c>
      <c r="D30" s="61" t="s">
        <v>199</v>
      </c>
      <c r="E30" s="61" t="s">
        <v>199</v>
      </c>
      <c r="G30" s="84">
        <v>0</v>
      </c>
      <c r="I30" s="85">
        <v>0</v>
      </c>
      <c r="K30" s="84">
        <v>0</v>
      </c>
      <c r="M30" s="62">
        <v>0</v>
      </c>
      <c r="O30" s="62">
        <v>0</v>
      </c>
      <c r="Q30" s="63" t="s">
        <v>188</v>
      </c>
      <c r="S30" s="63" t="s">
        <v>188</v>
      </c>
    </row>
    <row r="31" spans="2:19" s="1" customFormat="1" ht="12.75">
      <c r="B31" s="60">
        <v>25</v>
      </c>
      <c r="C31" s="61" t="s">
        <v>215</v>
      </c>
      <c r="D31" s="61" t="s">
        <v>199</v>
      </c>
      <c r="E31" s="61" t="s">
        <v>199</v>
      </c>
      <c r="G31" s="84">
        <v>0</v>
      </c>
      <c r="I31" s="85">
        <v>0</v>
      </c>
      <c r="K31" s="84">
        <v>0</v>
      </c>
      <c r="M31" s="62">
        <v>0</v>
      </c>
      <c r="O31" s="62">
        <v>0</v>
      </c>
      <c r="Q31" s="63" t="s">
        <v>188</v>
      </c>
      <c r="S31" s="63" t="s">
        <v>188</v>
      </c>
    </row>
    <row r="32" spans="7:19" s="1" customFormat="1" ht="15.75" thickBot="1">
      <c r="G32" s="86">
        <v>18865437.1879</v>
      </c>
      <c r="I32" s="87">
        <v>1</v>
      </c>
      <c r="K32" s="86">
        <f>SUM(K7:K31)</f>
        <v>297454.2627012201</v>
      </c>
      <c r="M32" s="64"/>
      <c r="O32" s="64"/>
      <c r="Q32" s="64"/>
      <c r="S32" s="64"/>
    </row>
    <row r="33" spans="7:11" s="1" customFormat="1" ht="15.75">
      <c r="G33" s="59" t="s">
        <v>16</v>
      </c>
      <c r="K33" s="59" t="s">
        <v>138</v>
      </c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printOptions/>
  <pageMargins left="0.75" right="0.75" top="1" bottom="1" header="0.5" footer="0.5"/>
  <pageSetup fitToHeight="0" fitToWidth="1"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Oshawa PUC Networks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mchase</dc:creator>
  <cp:keywords/>
  <dc:description/>
  <cp:lastModifiedBy>Vivian</cp:lastModifiedBy>
  <cp:lastPrinted>2009-04-05T20:53:06Z</cp:lastPrinted>
  <dcterms:created xsi:type="dcterms:W3CDTF">2008-11-06T22:16:29Z</dcterms:created>
  <dcterms:modified xsi:type="dcterms:W3CDTF">2009-04-07T19:45:46Z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