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5" yWindow="-15" windowWidth="15480" windowHeight="6045" tabRatio="908" activeTab="4"/>
  </bookViews>
  <sheets>
    <sheet name="File ID" sheetId="27" r:id="rId1"/>
    <sheet name="Exhibit 3 Tables" sheetId="25" r:id="rId2"/>
    <sheet name="Chart3" sheetId="26" r:id="rId3"/>
    <sheet name="Summary" sheetId="11" r:id="rId4"/>
    <sheet name="Loss Factors" sheetId="20" r:id="rId5"/>
    <sheet name="Regression Results" sheetId="22" r:id="rId6"/>
    <sheet name="Purchased Power Model" sheetId="7" r:id="rId7"/>
    <sheet name="Rate Class Energy Model" sheetId="9" r:id="rId8"/>
    <sheet name="Rate Class Customer Model" sheetId="17" r:id="rId9"/>
    <sheet name="Rate Class Load Model" sheetId="18" r:id="rId10"/>
    <sheet name="Weather Data" sheetId="28" r:id="rId11"/>
    <sheet name="Revision Notes" sheetId="21" r:id="rId12"/>
  </sheets>
  <externalReferences>
    <externalReference r:id="rId13"/>
    <externalReference r:id="rId14"/>
  </externalReferences>
  <definedNames>
    <definedName name="_Fill" hidden="1">'[1]Old MEA Statistics'!$B$250</definedName>
    <definedName name="_Order1" hidden="1">255</definedName>
    <definedName name="_Order2" localSheetId="0" hidden="1">255</definedName>
    <definedName name="_Order2" hidden="1">0</definedName>
    <definedName name="_Sort" hidden="1">[2]Sheet1!$G$40:$K$40</definedName>
    <definedName name="_xlnm.Print_Area" localSheetId="5" xml:space="preserve">  'Regression Results'!$B$1:$L$28</definedName>
  </definedNames>
  <calcPr calcId="125725"/>
</workbook>
</file>

<file path=xl/calcChain.xml><?xml version="1.0" encoding="utf-8"?>
<calcChain xmlns="http://schemas.openxmlformats.org/spreadsheetml/2006/main">
  <c r="I51" i="20"/>
  <c r="I18" s="1"/>
  <c r="I7" s="1"/>
  <c r="I9" s="1"/>
  <c r="I10"/>
  <c r="I12" s="1"/>
  <c r="J51"/>
  <c r="J18" s="1"/>
  <c r="J7" s="1"/>
  <c r="J9" s="1"/>
  <c r="J10"/>
  <c r="J12" s="1"/>
  <c r="K51"/>
  <c r="K18" s="1"/>
  <c r="K10"/>
  <c r="K12" s="1"/>
  <c r="M77" i="11" s="1"/>
  <c r="E51" i="20"/>
  <c r="E18" s="1"/>
  <c r="E10"/>
  <c r="E12" s="1"/>
  <c r="F51"/>
  <c r="F18" s="1"/>
  <c r="F7" s="1"/>
  <c r="F9" s="1"/>
  <c r="F10"/>
  <c r="F12" s="1"/>
  <c r="G51"/>
  <c r="G18" s="1"/>
  <c r="G7" s="1"/>
  <c r="G9" s="1"/>
  <c r="G13" s="1"/>
  <c r="G10"/>
  <c r="G12" s="1"/>
  <c r="E49"/>
  <c r="E17" s="1"/>
  <c r="F49"/>
  <c r="F17" s="1"/>
  <c r="G49"/>
  <c r="G17" s="1"/>
  <c r="I76" i="11" s="1"/>
  <c r="I49" i="20"/>
  <c r="I17" s="1"/>
  <c r="J49"/>
  <c r="J17" s="1"/>
  <c r="K49"/>
  <c r="K17" s="1"/>
  <c r="D218" i="7"/>
  <c r="E218"/>
  <c r="F218"/>
  <c r="I188"/>
  <c r="I189" s="1"/>
  <c r="I190" s="1"/>
  <c r="D219"/>
  <c r="E219"/>
  <c r="F219"/>
  <c r="M231"/>
  <c r="D220"/>
  <c r="E220"/>
  <c r="F220"/>
  <c r="M232"/>
  <c r="D221"/>
  <c r="E221"/>
  <c r="F221"/>
  <c r="M233"/>
  <c r="D222"/>
  <c r="E222"/>
  <c r="F222"/>
  <c r="M234"/>
  <c r="D223"/>
  <c r="E223"/>
  <c r="F223"/>
  <c r="M235"/>
  <c r="D224"/>
  <c r="E224"/>
  <c r="F224"/>
  <c r="M236"/>
  <c r="D225"/>
  <c r="E225"/>
  <c r="F225"/>
  <c r="M237"/>
  <c r="D226"/>
  <c r="E226"/>
  <c r="F226"/>
  <c r="M238"/>
  <c r="D227"/>
  <c r="E227"/>
  <c r="F227"/>
  <c r="M239"/>
  <c r="D228"/>
  <c r="E228"/>
  <c r="F228"/>
  <c r="M240"/>
  <c r="D229"/>
  <c r="E229"/>
  <c r="F229"/>
  <c r="M241"/>
  <c r="N10" i="11"/>
  <c r="I53" i="20"/>
  <c r="J53"/>
  <c r="K53"/>
  <c r="L53"/>
  <c r="M53" s="1"/>
  <c r="E13" i="28"/>
  <c r="F13"/>
  <c r="G13"/>
  <c r="H13"/>
  <c r="I13"/>
  <c r="J13"/>
  <c r="K13"/>
  <c r="L13"/>
  <c r="M13"/>
  <c r="N13"/>
  <c r="O13"/>
  <c r="P13"/>
  <c r="Q13"/>
  <c r="R13"/>
  <c r="S13"/>
  <c r="T13"/>
  <c r="U13"/>
  <c r="V13"/>
  <c r="W13"/>
  <c r="X13"/>
  <c r="Y13"/>
  <c r="D309" i="7" s="1"/>
  <c r="E27" i="28"/>
  <c r="F27"/>
  <c r="G27"/>
  <c r="H27"/>
  <c r="I27"/>
  <c r="J27"/>
  <c r="K27"/>
  <c r="L27"/>
  <c r="M27"/>
  <c r="N27"/>
  <c r="O27"/>
  <c r="P27"/>
  <c r="Q27"/>
  <c r="R27"/>
  <c r="S27"/>
  <c r="T27"/>
  <c r="U27"/>
  <c r="V27"/>
  <c r="W27"/>
  <c r="X27"/>
  <c r="F293" i="7"/>
  <c r="F309" s="1"/>
  <c r="E12" i="28"/>
  <c r="F12"/>
  <c r="G12"/>
  <c r="H12"/>
  <c r="I12"/>
  <c r="J12"/>
  <c r="K12"/>
  <c r="L12"/>
  <c r="M12"/>
  <c r="N12"/>
  <c r="O12"/>
  <c r="P12"/>
  <c r="Q12"/>
  <c r="R12"/>
  <c r="S12"/>
  <c r="T12"/>
  <c r="U12"/>
  <c r="V12"/>
  <c r="W12"/>
  <c r="X12"/>
  <c r="E26"/>
  <c r="F26"/>
  <c r="G26"/>
  <c r="H26"/>
  <c r="I26"/>
  <c r="J26"/>
  <c r="K26"/>
  <c r="L26"/>
  <c r="M26"/>
  <c r="N26"/>
  <c r="O26"/>
  <c r="P26"/>
  <c r="Q26"/>
  <c r="R26"/>
  <c r="S26"/>
  <c r="T26"/>
  <c r="U26"/>
  <c r="V26"/>
  <c r="W26"/>
  <c r="X26"/>
  <c r="F292" i="7"/>
  <c r="F308" s="1"/>
  <c r="E11" i="28"/>
  <c r="F11"/>
  <c r="G11"/>
  <c r="H11"/>
  <c r="I11"/>
  <c r="J11"/>
  <c r="K11"/>
  <c r="L11"/>
  <c r="M11"/>
  <c r="N11"/>
  <c r="O11"/>
  <c r="P11"/>
  <c r="Q11"/>
  <c r="R11"/>
  <c r="S11"/>
  <c r="T11"/>
  <c r="U11"/>
  <c r="V11"/>
  <c r="W11"/>
  <c r="X11"/>
  <c r="E25"/>
  <c r="F25"/>
  <c r="G25"/>
  <c r="H25"/>
  <c r="I25"/>
  <c r="J25"/>
  <c r="K25"/>
  <c r="L25"/>
  <c r="M25"/>
  <c r="N25"/>
  <c r="O25"/>
  <c r="P25"/>
  <c r="Q25"/>
  <c r="R25"/>
  <c r="S25"/>
  <c r="T25"/>
  <c r="U25"/>
  <c r="V25"/>
  <c r="W25"/>
  <c r="X25"/>
  <c r="Y25"/>
  <c r="E307" i="7" s="1"/>
  <c r="F291"/>
  <c r="F307" s="1"/>
  <c r="E10" i="28"/>
  <c r="F10"/>
  <c r="G10"/>
  <c r="H10"/>
  <c r="I10"/>
  <c r="J10"/>
  <c r="K10"/>
  <c r="L10"/>
  <c r="M10"/>
  <c r="N10"/>
  <c r="O10"/>
  <c r="P10"/>
  <c r="Q10"/>
  <c r="R10"/>
  <c r="S10"/>
  <c r="T10"/>
  <c r="U10"/>
  <c r="V10"/>
  <c r="W10"/>
  <c r="X10"/>
  <c r="E24"/>
  <c r="F24"/>
  <c r="G24"/>
  <c r="H24"/>
  <c r="I24"/>
  <c r="J24"/>
  <c r="K24"/>
  <c r="L24"/>
  <c r="M24"/>
  <c r="N24"/>
  <c r="O24"/>
  <c r="P24"/>
  <c r="Q24"/>
  <c r="R24"/>
  <c r="S24"/>
  <c r="T24"/>
  <c r="U24"/>
  <c r="V24"/>
  <c r="W24"/>
  <c r="X24"/>
  <c r="F290" i="7"/>
  <c r="F306" s="1"/>
  <c r="E9" i="28"/>
  <c r="F9"/>
  <c r="Y9" s="1"/>
  <c r="D305" i="7" s="1"/>
  <c r="G9" i="28"/>
  <c r="H9"/>
  <c r="I9"/>
  <c r="J9"/>
  <c r="K9"/>
  <c r="L9"/>
  <c r="M9"/>
  <c r="N9"/>
  <c r="O9"/>
  <c r="P9"/>
  <c r="Q9"/>
  <c r="R9"/>
  <c r="S9"/>
  <c r="T9"/>
  <c r="U9"/>
  <c r="V9"/>
  <c r="W9"/>
  <c r="X9"/>
  <c r="E23"/>
  <c r="F23"/>
  <c r="G23"/>
  <c r="H23"/>
  <c r="I23"/>
  <c r="J23"/>
  <c r="K23"/>
  <c r="L23"/>
  <c r="M23"/>
  <c r="N23"/>
  <c r="O23"/>
  <c r="P23"/>
  <c r="Q23"/>
  <c r="R23"/>
  <c r="S23"/>
  <c r="T23"/>
  <c r="U23"/>
  <c r="V23"/>
  <c r="W23"/>
  <c r="X23"/>
  <c r="F289" i="7"/>
  <c r="F305" s="1"/>
  <c r="E8" i="28"/>
  <c r="F8"/>
  <c r="G8"/>
  <c r="H8"/>
  <c r="I8"/>
  <c r="J8"/>
  <c r="K8"/>
  <c r="L8"/>
  <c r="M8"/>
  <c r="N8"/>
  <c r="O8"/>
  <c r="P8"/>
  <c r="Q8"/>
  <c r="R8"/>
  <c r="S8"/>
  <c r="T8"/>
  <c r="U8"/>
  <c r="V8"/>
  <c r="W8"/>
  <c r="X8"/>
  <c r="E22"/>
  <c r="F22"/>
  <c r="G22"/>
  <c r="H22"/>
  <c r="I22"/>
  <c r="J22"/>
  <c r="K22"/>
  <c r="L22"/>
  <c r="M22"/>
  <c r="N22"/>
  <c r="O22"/>
  <c r="P22"/>
  <c r="Q22"/>
  <c r="R22"/>
  <c r="S22"/>
  <c r="T22"/>
  <c r="U22"/>
  <c r="V22"/>
  <c r="W22"/>
  <c r="X22"/>
  <c r="F288" i="7"/>
  <c r="F304"/>
  <c r="E7" i="28"/>
  <c r="F7"/>
  <c r="G7"/>
  <c r="H7"/>
  <c r="I7"/>
  <c r="J7"/>
  <c r="K7"/>
  <c r="L7"/>
  <c r="M7"/>
  <c r="N7"/>
  <c r="O7"/>
  <c r="P7"/>
  <c r="Q7"/>
  <c r="R7"/>
  <c r="S7"/>
  <c r="T7"/>
  <c r="U7"/>
  <c r="V7"/>
  <c r="W7"/>
  <c r="X7"/>
  <c r="E21"/>
  <c r="F21"/>
  <c r="Y21" s="1"/>
  <c r="E303" i="7" s="1"/>
  <c r="G21" i="28"/>
  <c r="H21"/>
  <c r="I21"/>
  <c r="J21"/>
  <c r="K21"/>
  <c r="L21"/>
  <c r="M21"/>
  <c r="N21"/>
  <c r="O21"/>
  <c r="P21"/>
  <c r="Q21"/>
  <c r="R21"/>
  <c r="S21"/>
  <c r="T21"/>
  <c r="U21"/>
  <c r="V21"/>
  <c r="W21"/>
  <c r="X21"/>
  <c r="F287" i="7"/>
  <c r="F303" s="1"/>
  <c r="E6" i="28"/>
  <c r="F6"/>
  <c r="G6"/>
  <c r="H6"/>
  <c r="I6"/>
  <c r="J6"/>
  <c r="K6"/>
  <c r="L6"/>
  <c r="M6"/>
  <c r="N6"/>
  <c r="O6"/>
  <c r="P6"/>
  <c r="Q6"/>
  <c r="R6"/>
  <c r="S6"/>
  <c r="T6"/>
  <c r="U6"/>
  <c r="V6"/>
  <c r="W6"/>
  <c r="X6"/>
  <c r="E20"/>
  <c r="F20"/>
  <c r="G20"/>
  <c r="H20"/>
  <c r="I20"/>
  <c r="J20"/>
  <c r="K20"/>
  <c r="L20"/>
  <c r="M20"/>
  <c r="N20"/>
  <c r="O20"/>
  <c r="P20"/>
  <c r="Q20"/>
  <c r="R20"/>
  <c r="S20"/>
  <c r="T20"/>
  <c r="U20"/>
  <c r="V20"/>
  <c r="W20"/>
  <c r="X20"/>
  <c r="F286" i="7"/>
  <c r="F302" s="1"/>
  <c r="E5" i="28"/>
  <c r="F5"/>
  <c r="G5"/>
  <c r="H5"/>
  <c r="I5"/>
  <c r="J5"/>
  <c r="K5"/>
  <c r="L5"/>
  <c r="M5"/>
  <c r="N5"/>
  <c r="O5"/>
  <c r="P5"/>
  <c r="Q5"/>
  <c r="R5"/>
  <c r="S5"/>
  <c r="T5"/>
  <c r="U5"/>
  <c r="V5"/>
  <c r="W5"/>
  <c r="X5"/>
  <c r="Y5"/>
  <c r="D301" i="7" s="1"/>
  <c r="E19" i="28"/>
  <c r="F19"/>
  <c r="G19"/>
  <c r="H19"/>
  <c r="I19"/>
  <c r="J19"/>
  <c r="K19"/>
  <c r="L19"/>
  <c r="M19"/>
  <c r="N19"/>
  <c r="O19"/>
  <c r="P19"/>
  <c r="Q19"/>
  <c r="R19"/>
  <c r="S19"/>
  <c r="T19"/>
  <c r="U19"/>
  <c r="V19"/>
  <c r="W19"/>
  <c r="X19"/>
  <c r="F285" i="7"/>
  <c r="F301" s="1"/>
  <c r="E4" i="28"/>
  <c r="F4"/>
  <c r="G4"/>
  <c r="H4"/>
  <c r="I4"/>
  <c r="J4"/>
  <c r="K4"/>
  <c r="L4"/>
  <c r="M4"/>
  <c r="N4"/>
  <c r="O4"/>
  <c r="P4"/>
  <c r="Q4"/>
  <c r="R4"/>
  <c r="S4"/>
  <c r="T4"/>
  <c r="U4"/>
  <c r="V4"/>
  <c r="W4"/>
  <c r="X4"/>
  <c r="E18"/>
  <c r="F18"/>
  <c r="G18"/>
  <c r="H18"/>
  <c r="I18"/>
  <c r="J18"/>
  <c r="K18"/>
  <c r="L18"/>
  <c r="M18"/>
  <c r="N18"/>
  <c r="O18"/>
  <c r="P18"/>
  <c r="Q18"/>
  <c r="R18"/>
  <c r="S18"/>
  <c r="T18"/>
  <c r="U18"/>
  <c r="V18"/>
  <c r="W18"/>
  <c r="X18"/>
  <c r="F284" i="7"/>
  <c r="F300" s="1"/>
  <c r="E3" i="28"/>
  <c r="F3"/>
  <c r="G3"/>
  <c r="H3"/>
  <c r="I3"/>
  <c r="J3"/>
  <c r="K3"/>
  <c r="L3"/>
  <c r="M3"/>
  <c r="N3"/>
  <c r="O3"/>
  <c r="P3"/>
  <c r="Q3"/>
  <c r="R3"/>
  <c r="S3"/>
  <c r="T3"/>
  <c r="U3"/>
  <c r="V3"/>
  <c r="W3"/>
  <c r="X3"/>
  <c r="E17"/>
  <c r="F17"/>
  <c r="G17"/>
  <c r="H17"/>
  <c r="I17"/>
  <c r="J17"/>
  <c r="K17"/>
  <c r="L17"/>
  <c r="M17"/>
  <c r="N17"/>
  <c r="O17"/>
  <c r="P17"/>
  <c r="Q17"/>
  <c r="R17"/>
  <c r="S17"/>
  <c r="T17"/>
  <c r="U17"/>
  <c r="V17"/>
  <c r="W17"/>
  <c r="X17"/>
  <c r="Y17"/>
  <c r="E299" i="7" s="1"/>
  <c r="F283"/>
  <c r="F299" s="1"/>
  <c r="E2" i="28"/>
  <c r="F2"/>
  <c r="G2"/>
  <c r="H2"/>
  <c r="I2"/>
  <c r="J2"/>
  <c r="K2"/>
  <c r="L2"/>
  <c r="M2"/>
  <c r="N2"/>
  <c r="O2"/>
  <c r="P2"/>
  <c r="Q2"/>
  <c r="R2"/>
  <c r="S2"/>
  <c r="T2"/>
  <c r="U2"/>
  <c r="V2"/>
  <c r="W2"/>
  <c r="X2"/>
  <c r="E16"/>
  <c r="F16"/>
  <c r="G16"/>
  <c r="H16"/>
  <c r="I16"/>
  <c r="J16"/>
  <c r="K16"/>
  <c r="L16"/>
  <c r="M16"/>
  <c r="N16"/>
  <c r="O16"/>
  <c r="P16"/>
  <c r="Q16"/>
  <c r="R16"/>
  <c r="S16"/>
  <c r="T16"/>
  <c r="U16"/>
  <c r="V16"/>
  <c r="W16"/>
  <c r="X16"/>
  <c r="F282" i="7"/>
  <c r="F298" s="1"/>
  <c r="D293"/>
  <c r="E293"/>
  <c r="D292"/>
  <c r="E292"/>
  <c r="D291"/>
  <c r="E291"/>
  <c r="D290"/>
  <c r="E290"/>
  <c r="D289"/>
  <c r="E289"/>
  <c r="D288"/>
  <c r="E288"/>
  <c r="D287"/>
  <c r="E287"/>
  <c r="D286"/>
  <c r="E286"/>
  <c r="D285"/>
  <c r="E285"/>
  <c r="D284"/>
  <c r="E284"/>
  <c r="D283"/>
  <c r="E283"/>
  <c r="D282"/>
  <c r="E282"/>
  <c r="L189"/>
  <c r="L188"/>
  <c r="L187"/>
  <c r="I128"/>
  <c r="I129" s="1"/>
  <c r="L128"/>
  <c r="L127"/>
  <c r="I68"/>
  <c r="L67"/>
  <c r="I66"/>
  <c r="L66" s="1"/>
  <c r="I65"/>
  <c r="L65" s="1"/>
  <c r="I64"/>
  <c r="L64" s="1"/>
  <c r="I63"/>
  <c r="L63" s="1"/>
  <c r="I62"/>
  <c r="L62" s="1"/>
  <c r="M44" i="9"/>
  <c r="M45"/>
  <c r="M48"/>
  <c r="M243" i="7"/>
  <c r="M244" s="1"/>
  <c r="M245" s="1"/>
  <c r="M246" s="1"/>
  <c r="M247" s="1"/>
  <c r="M248" s="1"/>
  <c r="M249" s="1"/>
  <c r="M250" s="1"/>
  <c r="M251" s="1"/>
  <c r="M252" s="1"/>
  <c r="M253" s="1"/>
  <c r="B34" i="9"/>
  <c r="B27"/>
  <c r="B26"/>
  <c r="B43" s="1"/>
  <c r="B28"/>
  <c r="B44" s="1"/>
  <c r="B29"/>
  <c r="B45" s="1"/>
  <c r="B30"/>
  <c r="B46" s="1"/>
  <c r="B31"/>
  <c r="B47" s="1"/>
  <c r="B32"/>
  <c r="B48" s="1"/>
  <c r="B33"/>
  <c r="B49" s="1"/>
  <c r="B50"/>
  <c r="B21" i="17"/>
  <c r="B22"/>
  <c r="B23"/>
  <c r="B24"/>
  <c r="B25"/>
  <c r="B26"/>
  <c r="B27"/>
  <c r="B28"/>
  <c r="B29"/>
  <c r="B30"/>
  <c r="B31"/>
  <c r="B32"/>
  <c r="C34" i="9"/>
  <c r="F215" i="25" s="1"/>
  <c r="C27" i="9"/>
  <c r="C7" i="17"/>
  <c r="C26" i="9" s="1"/>
  <c r="C28"/>
  <c r="C44" s="1"/>
  <c r="C29"/>
  <c r="C30"/>
  <c r="C31"/>
  <c r="C32"/>
  <c r="C33"/>
  <c r="C4" i="17"/>
  <c r="C3"/>
  <c r="C5"/>
  <c r="C22" s="1"/>
  <c r="C6"/>
  <c r="C25"/>
  <c r="C26"/>
  <c r="C27"/>
  <c r="C28"/>
  <c r="C29"/>
  <c r="C30"/>
  <c r="C31"/>
  <c r="C32"/>
  <c r="D34" i="9"/>
  <c r="D27"/>
  <c r="D26"/>
  <c r="D43" s="1"/>
  <c r="D28"/>
  <c r="D44" s="1"/>
  <c r="D29"/>
  <c r="D45" s="1"/>
  <c r="D30"/>
  <c r="D31"/>
  <c r="D47" s="1"/>
  <c r="D32"/>
  <c r="D33"/>
  <c r="D49" s="1"/>
  <c r="D21" i="17"/>
  <c r="D22"/>
  <c r="D23"/>
  <c r="D24"/>
  <c r="D25"/>
  <c r="D26"/>
  <c r="D27"/>
  <c r="D28"/>
  <c r="D29"/>
  <c r="D30"/>
  <c r="D31"/>
  <c r="D32"/>
  <c r="E21"/>
  <c r="E22"/>
  <c r="E23"/>
  <c r="E24"/>
  <c r="E25"/>
  <c r="E26"/>
  <c r="E27"/>
  <c r="E28"/>
  <c r="E29"/>
  <c r="E30"/>
  <c r="E31"/>
  <c r="E32"/>
  <c r="F34" i="9"/>
  <c r="F27"/>
  <c r="F26"/>
  <c r="F28"/>
  <c r="F44" s="1"/>
  <c r="F29"/>
  <c r="F30"/>
  <c r="F46" s="1"/>
  <c r="F31"/>
  <c r="F32"/>
  <c r="F48" s="1"/>
  <c r="F33"/>
  <c r="F50"/>
  <c r="F21" i="17"/>
  <c r="F22"/>
  <c r="F34" s="1"/>
  <c r="F23"/>
  <c r="F24"/>
  <c r="F25"/>
  <c r="F26"/>
  <c r="F27"/>
  <c r="F28"/>
  <c r="F29"/>
  <c r="F30"/>
  <c r="F31"/>
  <c r="F32"/>
  <c r="G34" i="9"/>
  <c r="G50" s="1"/>
  <c r="G27"/>
  <c r="G26"/>
  <c r="G28"/>
  <c r="G44" s="1"/>
  <c r="G29"/>
  <c r="G30"/>
  <c r="G31"/>
  <c r="G32"/>
  <c r="G33"/>
  <c r="G21" i="17"/>
  <c r="G22"/>
  <c r="G23"/>
  <c r="G24"/>
  <c r="G25"/>
  <c r="G26"/>
  <c r="G27"/>
  <c r="G28"/>
  <c r="G29"/>
  <c r="G30"/>
  <c r="G31"/>
  <c r="G32"/>
  <c r="H34" i="9"/>
  <c r="J215" i="25" s="1"/>
  <c r="H27" i="9"/>
  <c r="H26"/>
  <c r="H43" s="1"/>
  <c r="H28"/>
  <c r="H44" s="1"/>
  <c r="H29"/>
  <c r="H45" s="1"/>
  <c r="H30"/>
  <c r="H31"/>
  <c r="H47" s="1"/>
  <c r="H32"/>
  <c r="H33"/>
  <c r="H49" s="1"/>
  <c r="H21" i="17"/>
  <c r="H22"/>
  <c r="H23"/>
  <c r="H24"/>
  <c r="H25"/>
  <c r="H26"/>
  <c r="H27"/>
  <c r="H28"/>
  <c r="H29"/>
  <c r="H30"/>
  <c r="H31"/>
  <c r="H32"/>
  <c r="H34"/>
  <c r="H36" s="1"/>
  <c r="H16" s="1"/>
  <c r="H17" s="1"/>
  <c r="O49" i="11" s="1"/>
  <c r="J50" i="25" s="1"/>
  <c r="E292"/>
  <c r="F292"/>
  <c r="H292"/>
  <c r="I292"/>
  <c r="J292"/>
  <c r="F291"/>
  <c r="H291"/>
  <c r="I291"/>
  <c r="J291"/>
  <c r="E291"/>
  <c r="C242" i="28"/>
  <c r="B242"/>
  <c r="B94" i="25"/>
  <c r="B102"/>
  <c r="E102"/>
  <c r="B101"/>
  <c r="E101"/>
  <c r="B100"/>
  <c r="E95"/>
  <c r="E96"/>
  <c r="E97"/>
  <c r="E98"/>
  <c r="E99"/>
  <c r="E100"/>
  <c r="E94"/>
  <c r="B95"/>
  <c r="B96"/>
  <c r="B97"/>
  <c r="B98"/>
  <c r="B99"/>
  <c r="E92"/>
  <c r="E91"/>
  <c r="E90"/>
  <c r="B91"/>
  <c r="B90"/>
  <c r="K35" i="11"/>
  <c r="F32" i="25" s="1"/>
  <c r="K33" i="11"/>
  <c r="F46" i="25" s="1"/>
  <c r="F27"/>
  <c r="F41"/>
  <c r="K39" i="11"/>
  <c r="G32" i="25" s="1"/>
  <c r="K37" i="11"/>
  <c r="G46" i="25" s="1"/>
  <c r="E390"/>
  <c r="G27" s="1"/>
  <c r="E388"/>
  <c r="G41" s="1"/>
  <c r="K43" i="11"/>
  <c r="H32" i="25" s="1"/>
  <c r="K41" i="11"/>
  <c r="H46" i="25" s="1"/>
  <c r="H27"/>
  <c r="H41"/>
  <c r="K47" i="11"/>
  <c r="I32" i="25" s="1"/>
  <c r="K45" i="11"/>
  <c r="I46" i="25" s="1"/>
  <c r="I27"/>
  <c r="I41"/>
  <c r="K51" i="11"/>
  <c r="J32" i="25" s="1"/>
  <c r="K49" i="11"/>
  <c r="J46" i="25" s="1"/>
  <c r="J27"/>
  <c r="J41"/>
  <c r="K31" i="11"/>
  <c r="E32" i="25" s="1"/>
  <c r="K29" i="11"/>
  <c r="E46" i="25" s="1"/>
  <c r="E27"/>
  <c r="E41"/>
  <c r="E61"/>
  <c r="O10" i="11"/>
  <c r="N53" i="20"/>
  <c r="N63" s="1"/>
  <c r="I56"/>
  <c r="I60" s="1"/>
  <c r="I64" s="1"/>
  <c r="J56"/>
  <c r="J60" s="1"/>
  <c r="J64" s="1"/>
  <c r="J65" s="1"/>
  <c r="K56"/>
  <c r="K60" s="1"/>
  <c r="K64" s="1"/>
  <c r="M63"/>
  <c r="N47"/>
  <c r="I46"/>
  <c r="J46"/>
  <c r="K46"/>
  <c r="N43"/>
  <c r="I39"/>
  <c r="J39"/>
  <c r="K39"/>
  <c r="C45" i="17"/>
  <c r="C44"/>
  <c r="C43"/>
  <c r="C42"/>
  <c r="C41"/>
  <c r="I111"/>
  <c r="I110"/>
  <c r="I109"/>
  <c r="I108"/>
  <c r="I107"/>
  <c r="I106"/>
  <c r="I105"/>
  <c r="I104"/>
  <c r="C103"/>
  <c r="I103" s="1"/>
  <c r="C102"/>
  <c r="I102" s="1"/>
  <c r="C101"/>
  <c r="I101" s="1"/>
  <c r="C100"/>
  <c r="I100" s="1"/>
  <c r="C99"/>
  <c r="I99" s="1"/>
  <c r="B15" i="25"/>
  <c r="B12" i="18"/>
  <c r="E322" i="25" s="1"/>
  <c r="F322"/>
  <c r="G322"/>
  <c r="B13" i="18"/>
  <c r="E323" i="25" s="1"/>
  <c r="F323"/>
  <c r="G323"/>
  <c r="B14" i="18"/>
  <c r="E324" i="25" s="1"/>
  <c r="F324"/>
  <c r="G324"/>
  <c r="E325"/>
  <c r="F325"/>
  <c r="G325"/>
  <c r="H325"/>
  <c r="B323"/>
  <c r="B324"/>
  <c r="G39" i="11"/>
  <c r="G37"/>
  <c r="C169" i="7"/>
  <c r="C266"/>
  <c r="I7" i="11" s="1"/>
  <c r="F373" i="25"/>
  <c r="C268" i="7"/>
  <c r="E31" i="11"/>
  <c r="E35"/>
  <c r="E39"/>
  <c r="E43"/>
  <c r="E47"/>
  <c r="E51"/>
  <c r="I7" i="9"/>
  <c r="E15" i="11" s="1"/>
  <c r="E17" s="1"/>
  <c r="F31"/>
  <c r="F35"/>
  <c r="F39"/>
  <c r="F43"/>
  <c r="F47"/>
  <c r="F51"/>
  <c r="I8" i="9"/>
  <c r="F15" i="11" s="1"/>
  <c r="F17" s="1"/>
  <c r="G31"/>
  <c r="G35"/>
  <c r="G43"/>
  <c r="G47"/>
  <c r="G51"/>
  <c r="I9" i="9"/>
  <c r="H31" i="11"/>
  <c r="H35"/>
  <c r="H39"/>
  <c r="H43"/>
  <c r="H47"/>
  <c r="H51"/>
  <c r="I10" i="9"/>
  <c r="H15" i="11" s="1"/>
  <c r="I31"/>
  <c r="I35"/>
  <c r="I39"/>
  <c r="I43"/>
  <c r="I47"/>
  <c r="I51"/>
  <c r="I11" i="9"/>
  <c r="I15" i="11"/>
  <c r="J31"/>
  <c r="J35"/>
  <c r="J39"/>
  <c r="J43"/>
  <c r="J47"/>
  <c r="J51"/>
  <c r="I12" i="9"/>
  <c r="J15" i="11" s="1"/>
  <c r="I13" i="9"/>
  <c r="L31" i="11"/>
  <c r="G381" i="25" s="1"/>
  <c r="L35" i="11"/>
  <c r="L39"/>
  <c r="G390" i="25" s="1"/>
  <c r="L43" i="11"/>
  <c r="G395" i="25" s="1"/>
  <c r="L47" i="11"/>
  <c r="G400" i="25" s="1"/>
  <c r="L51" i="11"/>
  <c r="I14" i="9"/>
  <c r="L15" i="11" s="1"/>
  <c r="M31"/>
  <c r="M35"/>
  <c r="M39"/>
  <c r="M43"/>
  <c r="M47"/>
  <c r="M51"/>
  <c r="I15" i="9"/>
  <c r="M15" i="11" s="1"/>
  <c r="M17" s="1"/>
  <c r="E389" i="25"/>
  <c r="E409" s="1"/>
  <c r="G385"/>
  <c r="G404"/>
  <c r="H373"/>
  <c r="C270" i="7"/>
  <c r="M7" i="11" s="1"/>
  <c r="H371" i="25" s="1"/>
  <c r="H51" i="20"/>
  <c r="H18" s="1"/>
  <c r="H7" s="1"/>
  <c r="L63"/>
  <c r="F46"/>
  <c r="D20" i="18"/>
  <c r="D21"/>
  <c r="D22"/>
  <c r="F338" i="25" s="1"/>
  <c r="D23" i="18"/>
  <c r="D24"/>
  <c r="F340" i="25" s="1"/>
  <c r="D25" i="18"/>
  <c r="D26"/>
  <c r="F342" i="25" s="1"/>
  <c r="D27" i="18"/>
  <c r="D28"/>
  <c r="F344" i="25" s="1"/>
  <c r="D29" i="18"/>
  <c r="D30"/>
  <c r="F346" i="25" s="1"/>
  <c r="D31" i="18"/>
  <c r="D32"/>
  <c r="F348" i="25" s="1"/>
  <c r="L42" i="9"/>
  <c r="L44" s="1"/>
  <c r="L49"/>
  <c r="B258" i="7"/>
  <c r="I3" i="9"/>
  <c r="J373" i="25"/>
  <c r="B20" i="18"/>
  <c r="B21"/>
  <c r="B22"/>
  <c r="B6"/>
  <c r="B23" s="1"/>
  <c r="B7"/>
  <c r="B8"/>
  <c r="B9"/>
  <c r="B10"/>
  <c r="F10" s="1"/>
  <c r="H65" i="11" s="1"/>
  <c r="B11" i="18"/>
  <c r="B29"/>
  <c r="B32"/>
  <c r="E20"/>
  <c r="G336" i="25" s="1"/>
  <c r="E21" i="18"/>
  <c r="E22"/>
  <c r="G338" i="25" s="1"/>
  <c r="E23" i="18"/>
  <c r="E24"/>
  <c r="G340" i="25" s="1"/>
  <c r="E25" i="18"/>
  <c r="E26"/>
  <c r="G342" i="25" s="1"/>
  <c r="E27" i="18"/>
  <c r="E28"/>
  <c r="G344" i="25" s="1"/>
  <c r="E29" i="18"/>
  <c r="E30"/>
  <c r="G346" i="25" s="1"/>
  <c r="E31" i="18"/>
  <c r="E32"/>
  <c r="G348" i="25" s="1"/>
  <c r="B348"/>
  <c r="E348"/>
  <c r="B156"/>
  <c r="B179" s="1"/>
  <c r="B215" s="1"/>
  <c r="B238" s="1"/>
  <c r="E215"/>
  <c r="E214"/>
  <c r="F214"/>
  <c r="H215"/>
  <c r="J214"/>
  <c r="E148"/>
  <c r="E147"/>
  <c r="E171" s="1"/>
  <c r="F147"/>
  <c r="G148"/>
  <c r="G147"/>
  <c r="G171" s="1"/>
  <c r="E156"/>
  <c r="E155"/>
  <c r="E179" s="1"/>
  <c r="F156"/>
  <c r="F155"/>
  <c r="G156"/>
  <c r="G155"/>
  <c r="H156"/>
  <c r="H155"/>
  <c r="I156"/>
  <c r="I155"/>
  <c r="I179" s="1"/>
  <c r="J156"/>
  <c r="J155"/>
  <c r="E123"/>
  <c r="B16"/>
  <c r="B36" s="1"/>
  <c r="L77" i="11"/>
  <c r="C269" i="7"/>
  <c r="L7" i="11" s="1"/>
  <c r="L76"/>
  <c r="L80" s="1"/>
  <c r="M76"/>
  <c r="M66"/>
  <c r="M49"/>
  <c r="M46"/>
  <c r="M45"/>
  <c r="M42"/>
  <c r="M41"/>
  <c r="M37"/>
  <c r="H388" i="25" s="1"/>
  <c r="M33" i="11"/>
  <c r="M29"/>
  <c r="M38"/>
  <c r="A68" i="9"/>
  <c r="A76" s="1"/>
  <c r="A64" s="1"/>
  <c r="E27"/>
  <c r="E26"/>
  <c r="E33"/>
  <c r="A17"/>
  <c r="A36" s="1"/>
  <c r="L8" i="20"/>
  <c r="H10"/>
  <c r="L10" s="1"/>
  <c r="L12" s="1"/>
  <c r="L11"/>
  <c r="J63"/>
  <c r="J57"/>
  <c r="J36"/>
  <c r="J43"/>
  <c r="J50" s="1"/>
  <c r="J19"/>
  <c r="F15" i="18"/>
  <c r="C258" i="7"/>
  <c r="C259"/>
  <c r="C260"/>
  <c r="C261"/>
  <c r="C262"/>
  <c r="C263"/>
  <c r="J8" i="9" s="1"/>
  <c r="N8" s="1"/>
  <c r="C264" i="7"/>
  <c r="C157"/>
  <c r="C265" s="1"/>
  <c r="C181"/>
  <c r="C267" s="1"/>
  <c r="B259"/>
  <c r="J4" i="9" s="1"/>
  <c r="N4" s="1"/>
  <c r="B260" i="7"/>
  <c r="B261"/>
  <c r="B262"/>
  <c r="B263"/>
  <c r="B264"/>
  <c r="B265"/>
  <c r="B266"/>
  <c r="B267"/>
  <c r="B268"/>
  <c r="B269"/>
  <c r="B270"/>
  <c r="H12" i="20"/>
  <c r="J77" i="11" s="1"/>
  <c r="H49" i="20"/>
  <c r="H17"/>
  <c r="G53"/>
  <c r="G63"/>
  <c r="G56"/>
  <c r="G60"/>
  <c r="G64" s="1"/>
  <c r="G65" s="1"/>
  <c r="P32"/>
  <c r="H56"/>
  <c r="H60" s="1"/>
  <c r="H64" s="1"/>
  <c r="H46"/>
  <c r="H39"/>
  <c r="E56"/>
  <c r="E60" s="1"/>
  <c r="E64" s="1"/>
  <c r="K36"/>
  <c r="K43"/>
  <c r="K50" s="1"/>
  <c r="K63"/>
  <c r="I63"/>
  <c r="F53"/>
  <c r="F63" s="1"/>
  <c r="F56"/>
  <c r="F60" s="1"/>
  <c r="F64" s="1"/>
  <c r="E53"/>
  <c r="E63" s="1"/>
  <c r="I57"/>
  <c r="G57"/>
  <c r="I36"/>
  <c r="I43"/>
  <c r="H36"/>
  <c r="H43"/>
  <c r="G36"/>
  <c r="G43"/>
  <c r="F36"/>
  <c r="F43"/>
  <c r="F50"/>
  <c r="E36"/>
  <c r="E43"/>
  <c r="E50" s="1"/>
  <c r="G46"/>
  <c r="E46"/>
  <c r="G39"/>
  <c r="F39"/>
  <c r="E39"/>
  <c r="I19"/>
  <c r="I4" i="17"/>
  <c r="I5"/>
  <c r="I7"/>
  <c r="E64" i="11" s="1"/>
  <c r="I8" i="17"/>
  <c r="F64" i="11" s="1"/>
  <c r="I9" i="17"/>
  <c r="I10"/>
  <c r="H64" i="11" s="1"/>
  <c r="I11" i="17"/>
  <c r="I12"/>
  <c r="J64" i="11" s="1"/>
  <c r="I13" i="17"/>
  <c r="I14"/>
  <c r="L64" i="11" s="1"/>
  <c r="I6" i="17"/>
  <c r="J67"/>
  <c r="J68"/>
  <c r="B67"/>
  <c r="B77" s="1"/>
  <c r="I77" s="1"/>
  <c r="H67"/>
  <c r="H77" s="1"/>
  <c r="H68"/>
  <c r="H78" s="1"/>
  <c r="G67"/>
  <c r="G77" s="1"/>
  <c r="F67"/>
  <c r="F77"/>
  <c r="D66"/>
  <c r="D76" s="1"/>
  <c r="C67"/>
  <c r="C77" s="1"/>
  <c r="N42" i="9"/>
  <c r="F93" s="1"/>
  <c r="N43"/>
  <c r="N45"/>
  <c r="N47"/>
  <c r="N48"/>
  <c r="G23"/>
  <c r="G22"/>
  <c r="I203" i="25" s="1"/>
  <c r="G24" i="9"/>
  <c r="G40" s="1"/>
  <c r="G25"/>
  <c r="F23"/>
  <c r="F22"/>
  <c r="F24"/>
  <c r="F25"/>
  <c r="A15"/>
  <c r="I6"/>
  <c r="J14"/>
  <c r="N14" s="1"/>
  <c r="J11"/>
  <c r="N11" s="1"/>
  <c r="B23"/>
  <c r="E204" i="25" s="1"/>
  <c r="B22" i="9"/>
  <c r="B39" s="1"/>
  <c r="C23"/>
  <c r="C22"/>
  <c r="D23"/>
  <c r="G204" i="25" s="1"/>
  <c r="D22" i="9"/>
  <c r="E22"/>
  <c r="E23"/>
  <c r="H23"/>
  <c r="J204" i="25" s="1"/>
  <c r="J227" s="1"/>
  <c r="H22" i="9"/>
  <c r="J203" i="25" s="1"/>
  <c r="B24" i="9"/>
  <c r="E205" i="25" s="1"/>
  <c r="E228" s="1"/>
  <c r="C24" i="9"/>
  <c r="D24"/>
  <c r="D40" s="1"/>
  <c r="E24"/>
  <c r="H24"/>
  <c r="H40" s="1"/>
  <c r="B25"/>
  <c r="D25"/>
  <c r="D41" s="1"/>
  <c r="E25"/>
  <c r="H25"/>
  <c r="J206" i="25" s="1"/>
  <c r="A3" i="9"/>
  <c r="A22" s="1"/>
  <c r="A4"/>
  <c r="A23" s="1"/>
  <c r="A5"/>
  <c r="A24" s="1"/>
  <c r="J6"/>
  <c r="N6" s="1"/>
  <c r="I4"/>
  <c r="I5"/>
  <c r="J5"/>
  <c r="E28"/>
  <c r="E29"/>
  <c r="E30"/>
  <c r="E31"/>
  <c r="E32"/>
  <c r="A6"/>
  <c r="A25" s="1"/>
  <c r="A7"/>
  <c r="A26" s="1"/>
  <c r="A8"/>
  <c r="A27" s="1"/>
  <c r="A9"/>
  <c r="A28" s="1"/>
  <c r="A10"/>
  <c r="A29" s="1"/>
  <c r="A11"/>
  <c r="A30" s="1"/>
  <c r="A12"/>
  <c r="A31" s="1"/>
  <c r="A13"/>
  <c r="A32" s="1"/>
  <c r="A14"/>
  <c r="A33" s="1"/>
  <c r="A34"/>
  <c r="A16"/>
  <c r="A35" s="1"/>
  <c r="F8" i="18"/>
  <c r="F65" i="11" s="1"/>
  <c r="F12" i="18"/>
  <c r="J65" i="11" s="1"/>
  <c r="F14" i="18"/>
  <c r="L65" i="11" s="1"/>
  <c r="F3" i="18"/>
  <c r="F4"/>
  <c r="F5"/>
  <c r="E1"/>
  <c r="K77" i="11"/>
  <c r="I77"/>
  <c r="H77"/>
  <c r="G77"/>
  <c r="K76"/>
  <c r="H76"/>
  <c r="F29"/>
  <c r="G29"/>
  <c r="H29"/>
  <c r="I29"/>
  <c r="J29"/>
  <c r="L29"/>
  <c r="F33"/>
  <c r="G33"/>
  <c r="H33"/>
  <c r="I33"/>
  <c r="J33"/>
  <c r="L33"/>
  <c r="F37"/>
  <c r="H37"/>
  <c r="I37"/>
  <c r="J37"/>
  <c r="L37"/>
  <c r="G47" i="25" s="1"/>
  <c r="G38" i="11"/>
  <c r="I38"/>
  <c r="K38"/>
  <c r="F41"/>
  <c r="G41"/>
  <c r="H41"/>
  <c r="I41"/>
  <c r="J41"/>
  <c r="L41"/>
  <c r="F42"/>
  <c r="G42"/>
  <c r="H42"/>
  <c r="I42"/>
  <c r="J42"/>
  <c r="K42"/>
  <c r="L42"/>
  <c r="F45"/>
  <c r="G45"/>
  <c r="G55" s="1"/>
  <c r="H45"/>
  <c r="I45"/>
  <c r="I55" s="1"/>
  <c r="J45"/>
  <c r="L45"/>
  <c r="G398" i="25" s="1"/>
  <c r="F46" i="11"/>
  <c r="G46"/>
  <c r="H46"/>
  <c r="I46"/>
  <c r="J46"/>
  <c r="K46"/>
  <c r="F399" i="25" s="1"/>
  <c r="L46" i="11"/>
  <c r="F49"/>
  <c r="G49"/>
  <c r="H49"/>
  <c r="I49"/>
  <c r="J49"/>
  <c r="J45" i="25" s="1"/>
  <c r="K45" s="1"/>
  <c r="L49" i="11"/>
  <c r="F55"/>
  <c r="K55"/>
  <c r="E33"/>
  <c r="E37"/>
  <c r="E38"/>
  <c r="E41"/>
  <c r="E42"/>
  <c r="E45"/>
  <c r="E46"/>
  <c r="E49"/>
  <c r="E29"/>
  <c r="E55" s="1"/>
  <c r="G64"/>
  <c r="I64"/>
  <c r="K64"/>
  <c r="K70" s="1"/>
  <c r="F66"/>
  <c r="H66"/>
  <c r="I66"/>
  <c r="J66"/>
  <c r="L66"/>
  <c r="E66"/>
  <c r="F385" i="25"/>
  <c r="F390"/>
  <c r="F395"/>
  <c r="F400"/>
  <c r="G394"/>
  <c r="G399"/>
  <c r="F394"/>
  <c r="G403"/>
  <c r="G393"/>
  <c r="G384"/>
  <c r="G380"/>
  <c r="H403"/>
  <c r="H398"/>
  <c r="H393"/>
  <c r="H384"/>
  <c r="F403"/>
  <c r="F398"/>
  <c r="F388"/>
  <c r="F380"/>
  <c r="G373"/>
  <c r="G371"/>
  <c r="I373"/>
  <c r="H310"/>
  <c r="H357" s="1"/>
  <c r="I58"/>
  <c r="I141" s="1"/>
  <c r="I164" s="1"/>
  <c r="I188" s="1"/>
  <c r="I200" s="1"/>
  <c r="I223" s="1"/>
  <c r="I247" s="1"/>
  <c r="I260" s="1"/>
  <c r="F272" s="1"/>
  <c r="I283" s="1"/>
  <c r="G310" s="1"/>
  <c r="G333" s="1"/>
  <c r="G357" s="1"/>
  <c r="H58"/>
  <c r="H141" s="1"/>
  <c r="H164" s="1"/>
  <c r="H188" s="1"/>
  <c r="H200" s="1"/>
  <c r="H223" s="1"/>
  <c r="H247" s="1"/>
  <c r="H260" s="1"/>
  <c r="E272" s="1"/>
  <c r="H283" s="1"/>
  <c r="F310" s="1"/>
  <c r="F333" s="1"/>
  <c r="F357" s="1"/>
  <c r="G58"/>
  <c r="G141"/>
  <c r="G164" s="1"/>
  <c r="G188" s="1"/>
  <c r="G200" s="1"/>
  <c r="G223" s="1"/>
  <c r="G247" s="1"/>
  <c r="G260" s="1"/>
  <c r="D272" s="1"/>
  <c r="G283" s="1"/>
  <c r="E310" s="1"/>
  <c r="E333" s="1"/>
  <c r="E357" s="1"/>
  <c r="G337"/>
  <c r="G339"/>
  <c r="G341"/>
  <c r="G343"/>
  <c r="G345"/>
  <c r="G347"/>
  <c r="F337"/>
  <c r="F339"/>
  <c r="F341"/>
  <c r="F343"/>
  <c r="F345"/>
  <c r="F347"/>
  <c r="E337"/>
  <c r="E338"/>
  <c r="E339"/>
  <c r="E345"/>
  <c r="E336"/>
  <c r="B349"/>
  <c r="B347"/>
  <c r="B337"/>
  <c r="B338"/>
  <c r="B339"/>
  <c r="B340"/>
  <c r="B341"/>
  <c r="B342"/>
  <c r="B343"/>
  <c r="B344"/>
  <c r="B345"/>
  <c r="B346"/>
  <c r="B336"/>
  <c r="E314"/>
  <c r="F314"/>
  <c r="G314"/>
  <c r="E315"/>
  <c r="F315"/>
  <c r="G315"/>
  <c r="E316"/>
  <c r="F316"/>
  <c r="G316"/>
  <c r="E317"/>
  <c r="F317"/>
  <c r="G317"/>
  <c r="E318"/>
  <c r="F318"/>
  <c r="G318"/>
  <c r="E319"/>
  <c r="F319"/>
  <c r="G319"/>
  <c r="E320"/>
  <c r="F320"/>
  <c r="G320"/>
  <c r="E321"/>
  <c r="F321"/>
  <c r="G321"/>
  <c r="E313"/>
  <c r="F313"/>
  <c r="G313"/>
  <c r="B314"/>
  <c r="B315"/>
  <c r="B316"/>
  <c r="B317"/>
  <c r="B318"/>
  <c r="B319"/>
  <c r="B320"/>
  <c r="B321"/>
  <c r="B322"/>
  <c r="B325"/>
  <c r="B313"/>
  <c r="E275"/>
  <c r="F275"/>
  <c r="G275"/>
  <c r="F58"/>
  <c r="F141" s="1"/>
  <c r="F164" s="1"/>
  <c r="F188" s="1"/>
  <c r="F200" s="1"/>
  <c r="F223" s="1"/>
  <c r="F247" s="1"/>
  <c r="F260" s="1"/>
  <c r="C272" s="1"/>
  <c r="F283" s="1"/>
  <c r="J58"/>
  <c r="J141" s="1"/>
  <c r="J164" s="1"/>
  <c r="J188" s="1"/>
  <c r="J200" s="1"/>
  <c r="J223" s="1"/>
  <c r="J247" s="1"/>
  <c r="J260" s="1"/>
  <c r="G272" s="1"/>
  <c r="J283" s="1"/>
  <c r="E58"/>
  <c r="E141" s="1"/>
  <c r="E164" s="1"/>
  <c r="E188" s="1"/>
  <c r="E200" s="1"/>
  <c r="E223" s="1"/>
  <c r="E247" s="1"/>
  <c r="E260" s="1"/>
  <c r="B272" s="1"/>
  <c r="E283" s="1"/>
  <c r="C275"/>
  <c r="D275"/>
  <c r="B275"/>
  <c r="F204"/>
  <c r="H204"/>
  <c r="H203"/>
  <c r="I204"/>
  <c r="H206"/>
  <c r="F207"/>
  <c r="G207"/>
  <c r="H207"/>
  <c r="H230" s="1"/>
  <c r="I207"/>
  <c r="J207"/>
  <c r="J230" s="1"/>
  <c r="F208"/>
  <c r="G208"/>
  <c r="G231" s="1"/>
  <c r="H208"/>
  <c r="I208"/>
  <c r="I231" s="1"/>
  <c r="J208"/>
  <c r="F209"/>
  <c r="F232" s="1"/>
  <c r="G209"/>
  <c r="H209"/>
  <c r="H232" s="1"/>
  <c r="I209"/>
  <c r="J209"/>
  <c r="J232" s="1"/>
  <c r="F210"/>
  <c r="G210"/>
  <c r="G233" s="1"/>
  <c r="H210"/>
  <c r="I210"/>
  <c r="I233" s="1"/>
  <c r="J210"/>
  <c r="F211"/>
  <c r="F234" s="1"/>
  <c r="G211"/>
  <c r="H211"/>
  <c r="H234" s="1"/>
  <c r="I211"/>
  <c r="J211"/>
  <c r="J234" s="1"/>
  <c r="F212"/>
  <c r="G212"/>
  <c r="G235" s="1"/>
  <c r="H212"/>
  <c r="I212"/>
  <c r="I235" s="1"/>
  <c r="J212"/>
  <c r="F213"/>
  <c r="F236" s="1"/>
  <c r="G213"/>
  <c r="H213"/>
  <c r="H236" s="1"/>
  <c r="I213"/>
  <c r="J213"/>
  <c r="J236" s="1"/>
  <c r="E207"/>
  <c r="E208"/>
  <c r="E231" s="1"/>
  <c r="E209"/>
  <c r="E232" s="1"/>
  <c r="E210"/>
  <c r="E233" s="1"/>
  <c r="E211"/>
  <c r="E234" s="1"/>
  <c r="E212"/>
  <c r="E235" s="1"/>
  <c r="E213"/>
  <c r="E236" s="1"/>
  <c r="B145"/>
  <c r="B168" s="1"/>
  <c r="B204" s="1"/>
  <c r="B227" s="1"/>
  <c r="B146"/>
  <c r="B169" s="1"/>
  <c r="B205" s="1"/>
  <c r="B228" s="1"/>
  <c r="B147"/>
  <c r="B170" s="1"/>
  <c r="B206" s="1"/>
  <c r="B229" s="1"/>
  <c r="B148"/>
  <c r="B171" s="1"/>
  <c r="B207" s="1"/>
  <c r="B230" s="1"/>
  <c r="B149"/>
  <c r="B172" s="1"/>
  <c r="B208" s="1"/>
  <c r="B231" s="1"/>
  <c r="B150"/>
  <c r="B173" s="1"/>
  <c r="B209" s="1"/>
  <c r="B232" s="1"/>
  <c r="B151"/>
  <c r="B174" s="1"/>
  <c r="B210" s="1"/>
  <c r="B233" s="1"/>
  <c r="B152"/>
  <c r="B175" s="1"/>
  <c r="B211" s="1"/>
  <c r="B234" s="1"/>
  <c r="B153"/>
  <c r="B176" s="1"/>
  <c r="B212" s="1"/>
  <c r="B235" s="1"/>
  <c r="B154"/>
  <c r="B177" s="1"/>
  <c r="B213" s="1"/>
  <c r="B236" s="1"/>
  <c r="B155"/>
  <c r="B178" s="1"/>
  <c r="B214" s="1"/>
  <c r="B237" s="1"/>
  <c r="B144"/>
  <c r="B167" s="1"/>
  <c r="B203" s="1"/>
  <c r="B226" s="1"/>
  <c r="E203"/>
  <c r="E227" s="1"/>
  <c r="J191"/>
  <c r="E146"/>
  <c r="E170" s="1"/>
  <c r="F146"/>
  <c r="G146"/>
  <c r="G170" s="1"/>
  <c r="J146"/>
  <c r="J145"/>
  <c r="J169" s="1"/>
  <c r="J144"/>
  <c r="I146"/>
  <c r="I145"/>
  <c r="I169"/>
  <c r="I144"/>
  <c r="I168"/>
  <c r="H146"/>
  <c r="H145"/>
  <c r="H169" s="1"/>
  <c r="H144"/>
  <c r="G145"/>
  <c r="G168" s="1"/>
  <c r="G144"/>
  <c r="F145"/>
  <c r="F168" s="1"/>
  <c r="F144"/>
  <c r="E145"/>
  <c r="E168" s="1"/>
  <c r="E144"/>
  <c r="J180"/>
  <c r="H147"/>
  <c r="H170" s="1"/>
  <c r="I147"/>
  <c r="J147"/>
  <c r="J170" s="1"/>
  <c r="H148"/>
  <c r="I148"/>
  <c r="J148"/>
  <c r="F149"/>
  <c r="G149"/>
  <c r="G172" s="1"/>
  <c r="H149"/>
  <c r="I149"/>
  <c r="J149"/>
  <c r="F150"/>
  <c r="G150"/>
  <c r="H150"/>
  <c r="I150"/>
  <c r="J150"/>
  <c r="F151"/>
  <c r="G151"/>
  <c r="H151"/>
  <c r="I151"/>
  <c r="J151"/>
  <c r="F152"/>
  <c r="G152"/>
  <c r="H152"/>
  <c r="I152"/>
  <c r="J152"/>
  <c r="F153"/>
  <c r="G153"/>
  <c r="H153"/>
  <c r="I153"/>
  <c r="J153"/>
  <c r="F154"/>
  <c r="G154"/>
  <c r="H154"/>
  <c r="I154"/>
  <c r="J154"/>
  <c r="E149"/>
  <c r="E172" s="1"/>
  <c r="E150"/>
  <c r="E151"/>
  <c r="E174" s="1"/>
  <c r="E152"/>
  <c r="E153"/>
  <c r="E176" s="1"/>
  <c r="E154"/>
  <c r="E178"/>
  <c r="K155"/>
  <c r="K144"/>
  <c r="J48"/>
  <c r="J33"/>
  <c r="J47"/>
  <c r="J67" s="1"/>
  <c r="I48"/>
  <c r="I33"/>
  <c r="H48"/>
  <c r="H33"/>
  <c r="H47"/>
  <c r="H67" s="1"/>
  <c r="G48"/>
  <c r="G33"/>
  <c r="F48"/>
  <c r="K48" s="1"/>
  <c r="F33"/>
  <c r="F47"/>
  <c r="F67" s="1"/>
  <c r="E48"/>
  <c r="E33"/>
  <c r="E47"/>
  <c r="B35"/>
  <c r="B69" s="1"/>
  <c r="B83" s="1"/>
  <c r="B14"/>
  <c r="B34" s="1"/>
  <c r="J31"/>
  <c r="I31"/>
  <c r="I45"/>
  <c r="H31"/>
  <c r="H45"/>
  <c r="G31"/>
  <c r="G45"/>
  <c r="F31"/>
  <c r="F45"/>
  <c r="E31"/>
  <c r="K31" s="1"/>
  <c r="E45"/>
  <c r="B13"/>
  <c r="B33" s="1"/>
  <c r="J30"/>
  <c r="J44"/>
  <c r="J64" s="1"/>
  <c r="I30"/>
  <c r="I44"/>
  <c r="H30"/>
  <c r="H44"/>
  <c r="H64" s="1"/>
  <c r="G30"/>
  <c r="G44"/>
  <c r="F30"/>
  <c r="F44"/>
  <c r="E30"/>
  <c r="K30" s="1"/>
  <c r="E44"/>
  <c r="B12"/>
  <c r="B32" s="1"/>
  <c r="J29"/>
  <c r="J43"/>
  <c r="J63" s="1"/>
  <c r="I29"/>
  <c r="I43"/>
  <c r="I63" s="1"/>
  <c r="H29"/>
  <c r="H43"/>
  <c r="H63" s="1"/>
  <c r="G29"/>
  <c r="G43"/>
  <c r="G63" s="1"/>
  <c r="F29"/>
  <c r="F43"/>
  <c r="F63" s="1"/>
  <c r="E29"/>
  <c r="E43"/>
  <c r="E63" s="1"/>
  <c r="B11"/>
  <c r="B31"/>
  <c r="B65" s="1"/>
  <c r="B79" s="1"/>
  <c r="B10"/>
  <c r="B30" s="1"/>
  <c r="B9"/>
  <c r="B29" s="1"/>
  <c r="B27"/>
  <c r="B61" s="1"/>
  <c r="E112"/>
  <c r="E113"/>
  <c r="E114"/>
  <c r="E115"/>
  <c r="E116"/>
  <c r="E117"/>
  <c r="E119"/>
  <c r="E121"/>
  <c r="E122"/>
  <c r="E111"/>
  <c r="K33"/>
  <c r="K29"/>
  <c r="K41"/>
  <c r="K27"/>
  <c r="B41"/>
  <c r="B49"/>
  <c r="H12"/>
  <c r="M65" i="11"/>
  <c r="M56"/>
  <c r="H385" i="25"/>
  <c r="H390"/>
  <c r="H395"/>
  <c r="H400"/>
  <c r="H404"/>
  <c r="H381"/>
  <c r="H394"/>
  <c r="H399"/>
  <c r="H389"/>
  <c r="H409" s="1"/>
  <c r="J34"/>
  <c r="I34"/>
  <c r="I68" s="1"/>
  <c r="H34"/>
  <c r="H68"/>
  <c r="H82" s="1"/>
  <c r="G34"/>
  <c r="G68" s="1"/>
  <c r="F34"/>
  <c r="F68" s="1"/>
  <c r="F82" s="1"/>
  <c r="E34"/>
  <c r="E68" s="1"/>
  <c r="E67" i="17"/>
  <c r="E77" s="1"/>
  <c r="E34" i="9"/>
  <c r="I15" i="17"/>
  <c r="M64" i="11"/>
  <c r="F36" i="17" l="1"/>
  <c r="F16" s="1"/>
  <c r="H180" i="25"/>
  <c r="B52" i="9"/>
  <c r="B54" s="1"/>
  <c r="E56" i="11"/>
  <c r="I65" i="20"/>
  <c r="H19"/>
  <c r="H324" i="25"/>
  <c r="H322"/>
  <c r="L39" i="20"/>
  <c r="L46"/>
  <c r="E34" i="17"/>
  <c r="E36" s="1"/>
  <c r="E16" s="1"/>
  <c r="E68" s="1"/>
  <c r="E78" s="1"/>
  <c r="X28" i="28"/>
  <c r="X14"/>
  <c r="Y14" s="1"/>
  <c r="Y19"/>
  <c r="E301" i="7" s="1"/>
  <c r="Y7" i="28"/>
  <c r="D303" i="7" s="1"/>
  <c r="Y27" i="28"/>
  <c r="E309" i="7" s="1"/>
  <c r="H78" i="25"/>
  <c r="J68"/>
  <c r="J82" s="1"/>
  <c r="B45"/>
  <c r="F64"/>
  <c r="G64"/>
  <c r="I47"/>
  <c r="K146"/>
  <c r="J177"/>
  <c r="F177"/>
  <c r="I176"/>
  <c r="G176"/>
  <c r="J175"/>
  <c r="H175"/>
  <c r="F175"/>
  <c r="I174"/>
  <c r="G174"/>
  <c r="J173"/>
  <c r="H173"/>
  <c r="F173"/>
  <c r="I172"/>
  <c r="J171"/>
  <c r="H171"/>
  <c r="I170"/>
  <c r="I205"/>
  <c r="I228" s="1"/>
  <c r="J76" i="11"/>
  <c r="F7"/>
  <c r="F6" i="18"/>
  <c r="N5" i="9"/>
  <c r="H42"/>
  <c r="C39"/>
  <c r="I67" i="17"/>
  <c r="K67" s="1"/>
  <c r="H50" i="20"/>
  <c r="I50"/>
  <c r="E57"/>
  <c r="H57"/>
  <c r="K57"/>
  <c r="H53"/>
  <c r="H63" s="1"/>
  <c r="H65" s="1"/>
  <c r="J179" i="25"/>
  <c r="I215"/>
  <c r="B31" i="18"/>
  <c r="E347" i="25" s="1"/>
  <c r="J15" i="9"/>
  <c r="N15" s="1"/>
  <c r="N49" i="11"/>
  <c r="E408" i="25"/>
  <c r="E7" s="1"/>
  <c r="I61"/>
  <c r="H61"/>
  <c r="F61"/>
  <c r="H50" i="9"/>
  <c r="H48"/>
  <c r="H46"/>
  <c r="G34" i="17"/>
  <c r="G48" i="9"/>
  <c r="G46"/>
  <c r="F49"/>
  <c r="F47"/>
  <c r="F45"/>
  <c r="F43"/>
  <c r="C23" i="17"/>
  <c r="C21"/>
  <c r="C50" i="9"/>
  <c r="C48"/>
  <c r="C46"/>
  <c r="B34" i="17"/>
  <c r="M46" i="9"/>
  <c r="Y3" i="28"/>
  <c r="D299" i="7" s="1"/>
  <c r="Y23" i="28"/>
  <c r="E305" i="7" s="1"/>
  <c r="Y11" i="28"/>
  <c r="D307" i="7" s="1"/>
  <c r="F19" i="20"/>
  <c r="L55" i="11"/>
  <c r="H13" i="25" s="1"/>
  <c r="G388"/>
  <c r="B41" i="9"/>
  <c r="E206" i="25"/>
  <c r="C40" i="9"/>
  <c r="F205" i="25"/>
  <c r="F228" s="1"/>
  <c r="D39" i="9"/>
  <c r="G203" i="25"/>
  <c r="G227" s="1"/>
  <c r="G42" i="9"/>
  <c r="I206" i="25"/>
  <c r="I229" s="1"/>
  <c r="M55" i="11"/>
  <c r="H14" i="25" s="1"/>
  <c r="I14" s="1"/>
  <c r="J14" s="1"/>
  <c r="H380"/>
  <c r="J238"/>
  <c r="J237"/>
  <c r="E238"/>
  <c r="E237"/>
  <c r="B27" i="18"/>
  <c r="E343" i="25" s="1"/>
  <c r="H38" i="11"/>
  <c r="H56" s="1"/>
  <c r="B25" i="18"/>
  <c r="E341" i="25" s="1"/>
  <c r="F38" i="11"/>
  <c r="F56" s="1"/>
  <c r="L46" i="9"/>
  <c r="N44"/>
  <c r="K15" i="11"/>
  <c r="K17" s="1"/>
  <c r="K66"/>
  <c r="I17"/>
  <c r="I81"/>
  <c r="K7"/>
  <c r="J13" i="9"/>
  <c r="N13" s="1"/>
  <c r="E371" i="25"/>
  <c r="I80" i="11"/>
  <c r="N39" i="20"/>
  <c r="M39"/>
  <c r="M46"/>
  <c r="M44" s="1"/>
  <c r="N46"/>
  <c r="E19"/>
  <c r="G76" i="11"/>
  <c r="E7" i="20"/>
  <c r="E9" s="1"/>
  <c r="E13" s="1"/>
  <c r="L18"/>
  <c r="K7"/>
  <c r="K9" s="1"/>
  <c r="K13" s="1"/>
  <c r="K19"/>
  <c r="F78" i="25"/>
  <c r="J78"/>
  <c r="H313"/>
  <c r="H320"/>
  <c r="H318"/>
  <c r="H316"/>
  <c r="I56" i="11"/>
  <c r="J55"/>
  <c r="H11" i="25" s="1"/>
  <c r="I12" s="1"/>
  <c r="J12" s="1"/>
  <c r="H55" i="11"/>
  <c r="H9" i="25" s="1"/>
  <c r="I57" i="11"/>
  <c r="H52" i="9"/>
  <c r="H54" s="1"/>
  <c r="I13" i="20"/>
  <c r="H177" i="25"/>
  <c r="H178"/>
  <c r="F40" i="9"/>
  <c r="H205" i="25"/>
  <c r="J9" i="9"/>
  <c r="N9" s="1"/>
  <c r="G7" i="11"/>
  <c r="G80" s="1"/>
  <c r="J7" i="9"/>
  <c r="N7" s="1"/>
  <c r="E7" i="11"/>
  <c r="B70" i="25"/>
  <c r="B84" s="1"/>
  <c r="B50"/>
  <c r="B28" i="18"/>
  <c r="E344" i="25" s="1"/>
  <c r="F11" i="18"/>
  <c r="I65" i="11" s="1"/>
  <c r="B26" i="18"/>
  <c r="E342" i="25" s="1"/>
  <c r="F9" i="18"/>
  <c r="G65" i="11" s="1"/>
  <c r="B24" i="18"/>
  <c r="E340" i="25" s="1"/>
  <c r="F7" i="18"/>
  <c r="E65" i="11" s="1"/>
  <c r="E71" s="1"/>
  <c r="J3" i="9"/>
  <c r="N3" s="1"/>
  <c r="B276" i="7"/>
  <c r="D34" i="18"/>
  <c r="F349" i="25" s="1"/>
  <c r="F336"/>
  <c r="G15" i="11"/>
  <c r="G66"/>
  <c r="H408" i="25"/>
  <c r="M71" i="11"/>
  <c r="I13" i="25"/>
  <c r="J13" s="1"/>
  <c r="E64"/>
  <c r="I64"/>
  <c r="K151"/>
  <c r="E177"/>
  <c r="E175"/>
  <c r="F237"/>
  <c r="I236"/>
  <c r="G236"/>
  <c r="J235"/>
  <c r="H235"/>
  <c r="F235"/>
  <c r="I234"/>
  <c r="G234"/>
  <c r="J233"/>
  <c r="H233"/>
  <c r="F233"/>
  <c r="I232"/>
  <c r="G232"/>
  <c r="J231"/>
  <c r="H231"/>
  <c r="F231"/>
  <c r="I230"/>
  <c r="H321"/>
  <c r="H319"/>
  <c r="H317"/>
  <c r="H315"/>
  <c r="K56" i="11"/>
  <c r="G56"/>
  <c r="L17" i="20"/>
  <c r="L19" s="1"/>
  <c r="M57" i="11"/>
  <c r="M72" s="1"/>
  <c r="F57"/>
  <c r="K65" i="20"/>
  <c r="F52" i="9"/>
  <c r="F54" s="1"/>
  <c r="M81" i="11"/>
  <c r="E173" i="25"/>
  <c r="F170"/>
  <c r="H227"/>
  <c r="H314"/>
  <c r="F384"/>
  <c r="F393"/>
  <c r="H407"/>
  <c r="F404"/>
  <c r="F381"/>
  <c r="F408" s="1"/>
  <c r="L38" i="11"/>
  <c r="J38"/>
  <c r="J56" s="1"/>
  <c r="F13" i="18"/>
  <c r="K65" i="11" s="1"/>
  <c r="D42" i="9"/>
  <c r="C25"/>
  <c r="C41" s="1"/>
  <c r="B40"/>
  <c r="F41"/>
  <c r="F39"/>
  <c r="F68" i="17"/>
  <c r="F78" s="1"/>
  <c r="B82"/>
  <c r="B87" s="1"/>
  <c r="I3"/>
  <c r="G50" i="20"/>
  <c r="M80" i="11"/>
  <c r="G179" i="25"/>
  <c r="F179"/>
  <c r="K156"/>
  <c r="F148"/>
  <c r="K148" s="1"/>
  <c r="J192"/>
  <c r="H214"/>
  <c r="H237" s="1"/>
  <c r="G214"/>
  <c r="G237" s="1"/>
  <c r="B30" i="18"/>
  <c r="E346" i="25" s="1"/>
  <c r="G57" i="11"/>
  <c r="E407" i="25"/>
  <c r="H7" s="1"/>
  <c r="J61"/>
  <c r="I66"/>
  <c r="H66"/>
  <c r="H81" s="1"/>
  <c r="G61"/>
  <c r="F66"/>
  <c r="F81" s="1"/>
  <c r="G49" i="9"/>
  <c r="G47"/>
  <c r="G45"/>
  <c r="G43"/>
  <c r="G52" s="1"/>
  <c r="G54" s="1"/>
  <c r="C24" i="17"/>
  <c r="M49" i="9"/>
  <c r="Y24" i="28"/>
  <c r="E306" i="7" s="1"/>
  <c r="Y10" i="28"/>
  <c r="D306" i="7" s="1"/>
  <c r="G19" i="20"/>
  <c r="L60"/>
  <c r="L64" s="1"/>
  <c r="L65" s="1"/>
  <c r="Y28" i="28"/>
  <c r="D34" i="17"/>
  <c r="D50" i="9"/>
  <c r="M51"/>
  <c r="Y22" i="28"/>
  <c r="E304" i="7" s="1"/>
  <c r="Y8" i="28"/>
  <c r="D304" i="7" s="1"/>
  <c r="Y26" i="28"/>
  <c r="E308" i="7" s="1"/>
  <c r="Y12" i="28"/>
  <c r="D308" i="7" s="1"/>
  <c r="G35" i="9"/>
  <c r="I250" i="25" s="1"/>
  <c r="I239"/>
  <c r="B63"/>
  <c r="B77" s="1"/>
  <c r="B43"/>
  <c r="B67"/>
  <c r="B81" s="1"/>
  <c r="B47"/>
  <c r="G82" i="17"/>
  <c r="G87" s="1"/>
  <c r="G92" s="1"/>
  <c r="D81"/>
  <c r="D86" s="1"/>
  <c r="D91" s="1"/>
  <c r="K46" i="25"/>
  <c r="G66"/>
  <c r="K32"/>
  <c r="J403"/>
  <c r="M70" i="11"/>
  <c r="E78" i="25"/>
  <c r="G78"/>
  <c r="I78"/>
  <c r="G407"/>
  <c r="K71" i="11"/>
  <c r="I71"/>
  <c r="G71"/>
  <c r="F72"/>
  <c r="G70"/>
  <c r="C82" i="17"/>
  <c r="C87" s="1"/>
  <c r="C92" s="1"/>
  <c r="F82"/>
  <c r="F87" s="1"/>
  <c r="F92" s="1"/>
  <c r="F238" i="25"/>
  <c r="B34" i="18"/>
  <c r="E349" i="25" s="1"/>
  <c r="E18" i="11"/>
  <c r="E66" i="25"/>
  <c r="I75"/>
  <c r="G75"/>
  <c r="E82" i="17"/>
  <c r="E87" s="1"/>
  <c r="E92" s="1"/>
  <c r="K43" i="25"/>
  <c r="K44"/>
  <c r="K47"/>
  <c r="E65"/>
  <c r="F65"/>
  <c r="F80" s="1"/>
  <c r="G65"/>
  <c r="H65"/>
  <c r="H80" s="1"/>
  <c r="I65"/>
  <c r="J65"/>
  <c r="J79" s="1"/>
  <c r="E67"/>
  <c r="E81" s="1"/>
  <c r="G67"/>
  <c r="G81" s="1"/>
  <c r="I67"/>
  <c r="I81" s="1"/>
  <c r="K153"/>
  <c r="K149"/>
  <c r="K147"/>
  <c r="K145"/>
  <c r="J178"/>
  <c r="F178"/>
  <c r="I177"/>
  <c r="G177"/>
  <c r="J176"/>
  <c r="H176"/>
  <c r="F176"/>
  <c r="I175"/>
  <c r="G175"/>
  <c r="J174"/>
  <c r="H174"/>
  <c r="F174"/>
  <c r="I173"/>
  <c r="G173"/>
  <c r="J172"/>
  <c r="H172"/>
  <c r="I171"/>
  <c r="G206"/>
  <c r="F206"/>
  <c r="J205"/>
  <c r="G205"/>
  <c r="G228" s="1"/>
  <c r="I227"/>
  <c r="F203"/>
  <c r="F227" s="1"/>
  <c r="F389"/>
  <c r="F409" s="1"/>
  <c r="E70" i="11"/>
  <c r="J71"/>
  <c r="H71"/>
  <c r="F71"/>
  <c r="I72"/>
  <c r="G72"/>
  <c r="L70"/>
  <c r="J70"/>
  <c r="H70"/>
  <c r="F70"/>
  <c r="C42" i="9"/>
  <c r="B42"/>
  <c r="H41"/>
  <c r="H39"/>
  <c r="F42"/>
  <c r="G41"/>
  <c r="G39"/>
  <c r="H82" i="17"/>
  <c r="H179" i="25"/>
  <c r="I214"/>
  <c r="H238"/>
  <c r="G215"/>
  <c r="G238" s="1"/>
  <c r="E34" i="18"/>
  <c r="G349" i="25" s="1"/>
  <c r="G408"/>
  <c r="L57" i="11"/>
  <c r="K57"/>
  <c r="K72" s="1"/>
  <c r="J57"/>
  <c r="H57"/>
  <c r="E57"/>
  <c r="E85" s="1"/>
  <c r="H323" i="25"/>
  <c r="D48" i="9"/>
  <c r="D52" s="1"/>
  <c r="D54" s="1"/>
  <c r="G239" i="25" s="1"/>
  <c r="D46" i="9"/>
  <c r="C49"/>
  <c r="C47"/>
  <c r="C45"/>
  <c r="C52" s="1"/>
  <c r="C54" s="1"/>
  <c r="C43"/>
  <c r="B64" i="25"/>
  <c r="B78" s="1"/>
  <c r="B44"/>
  <c r="E79"/>
  <c r="E80"/>
  <c r="F79"/>
  <c r="G79"/>
  <c r="G80"/>
  <c r="H79"/>
  <c r="I79"/>
  <c r="I80"/>
  <c r="B68"/>
  <c r="B82" s="1"/>
  <c r="B48"/>
  <c r="B92" i="17"/>
  <c r="I87"/>
  <c r="J87" s="1"/>
  <c r="E120" i="25"/>
  <c r="J12" i="9"/>
  <c r="N12" s="1"/>
  <c r="J7" i="11"/>
  <c r="L7" i="20"/>
  <c r="L9" s="1"/>
  <c r="L13" s="1"/>
  <c r="H9"/>
  <c r="H13" s="1"/>
  <c r="M85" i="11"/>
  <c r="M18"/>
  <c r="E14" i="25"/>
  <c r="L72" i="11"/>
  <c r="K85"/>
  <c r="K18"/>
  <c r="E12" i="25"/>
  <c r="J72" i="11"/>
  <c r="I85"/>
  <c r="I18"/>
  <c r="E10" i="25"/>
  <c r="H72" i="11"/>
  <c r="F85"/>
  <c r="F18"/>
  <c r="E72"/>
  <c r="E65" i="20"/>
  <c r="F65"/>
  <c r="B66" i="25"/>
  <c r="B80" s="1"/>
  <c r="B46"/>
  <c r="I70" i="11"/>
  <c r="H10" i="25"/>
  <c r="C276" i="7"/>
  <c r="E118" i="25"/>
  <c r="J10" i="9"/>
  <c r="N10" s="1"/>
  <c r="H7" i="11"/>
  <c r="N46" i="9"/>
  <c r="L51"/>
  <c r="N51" s="1"/>
  <c r="L17" i="11"/>
  <c r="L81"/>
  <c r="J17"/>
  <c r="E11" i="25" s="1"/>
  <c r="F11" s="1"/>
  <c r="G11" s="1"/>
  <c r="J81" i="11"/>
  <c r="H17"/>
  <c r="E9" i="25" s="1"/>
  <c r="H81" i="11"/>
  <c r="E82" i="25"/>
  <c r="I82"/>
  <c r="N60" i="20"/>
  <c r="N64" s="1"/>
  <c r="N65" s="1"/>
  <c r="M60"/>
  <c r="G36" i="9"/>
  <c r="H87" i="17"/>
  <c r="H92" s="1"/>
  <c r="F57" i="20"/>
  <c r="N67"/>
  <c r="E75" i="25"/>
  <c r="J66"/>
  <c r="J80" s="1"/>
  <c r="H75"/>
  <c r="F75"/>
  <c r="M43" i="20"/>
  <c r="M47"/>
  <c r="E60" i="9"/>
  <c r="E17" i="17"/>
  <c r="E61" i="9" s="1"/>
  <c r="M53"/>
  <c r="N53" s="1"/>
  <c r="D72" s="1"/>
  <c r="M54"/>
  <c r="N54" s="1"/>
  <c r="D73" s="1"/>
  <c r="K34" i="25"/>
  <c r="K154"/>
  <c r="K152"/>
  <c r="K150"/>
  <c r="I178"/>
  <c r="G178"/>
  <c r="E169"/>
  <c r="F169"/>
  <c r="G169"/>
  <c r="H168"/>
  <c r="J168"/>
  <c r="J75"/>
  <c r="C34" i="17"/>
  <c r="I69" i="7"/>
  <c r="L68"/>
  <c r="I130"/>
  <c r="L129"/>
  <c r="Y2" i="28"/>
  <c r="D298" i="7" s="1"/>
  <c r="Y4" i="28"/>
  <c r="D300" i="7" s="1"/>
  <c r="Y6" i="28"/>
  <c r="D302" i="7" s="1"/>
  <c r="F13" i="20"/>
  <c r="J13"/>
  <c r="I191" i="7"/>
  <c r="L190"/>
  <c r="Y16" i="28"/>
  <c r="E298" i="7" s="1"/>
  <c r="Y18" i="28"/>
  <c r="E300" i="7" s="1"/>
  <c r="Y20" i="28"/>
  <c r="E302" i="7" s="1"/>
  <c r="K20" i="20"/>
  <c r="G14"/>
  <c r="K14"/>
  <c r="B36" i="17" l="1"/>
  <c r="B16" s="1"/>
  <c r="E180" i="25"/>
  <c r="G36" i="17"/>
  <c r="G16" s="1"/>
  <c r="I180" i="25"/>
  <c r="J49"/>
  <c r="I403"/>
  <c r="B35" i="9"/>
  <c r="E239" i="25"/>
  <c r="F17" i="17"/>
  <c r="H191" i="25"/>
  <c r="N41" i="11"/>
  <c r="F407" i="25"/>
  <c r="K81" i="11"/>
  <c r="L56"/>
  <c r="L71" s="1"/>
  <c r="G389" i="25"/>
  <c r="G409" s="1"/>
  <c r="F35" i="9"/>
  <c r="H239" i="25"/>
  <c r="H228"/>
  <c r="H229"/>
  <c r="F371"/>
  <c r="K80" i="11"/>
  <c r="D35" i="9"/>
  <c r="D36" s="1"/>
  <c r="G20" i="20"/>
  <c r="D36" i="17"/>
  <c r="D16" s="1"/>
  <c r="G180" i="25"/>
  <c r="G17" i="11"/>
  <c r="G81"/>
  <c r="H35" i="9"/>
  <c r="J239" i="25"/>
  <c r="E229"/>
  <c r="E230"/>
  <c r="F172"/>
  <c r="F171"/>
  <c r="J228"/>
  <c r="J229"/>
  <c r="G229"/>
  <c r="G230"/>
  <c r="G82"/>
  <c r="I238"/>
  <c r="I237"/>
  <c r="F229"/>
  <c r="F230"/>
  <c r="K26" i="20"/>
  <c r="K23"/>
  <c r="P20"/>
  <c r="I192" i="7"/>
  <c r="L191"/>
  <c r="I131"/>
  <c r="L130"/>
  <c r="I70"/>
  <c r="L69"/>
  <c r="I72" i="9"/>
  <c r="G291" i="25"/>
  <c r="K291" s="1"/>
  <c r="E77" i="9"/>
  <c r="I251" i="25"/>
  <c r="M64" i="20"/>
  <c r="M65" s="1"/>
  <c r="M67"/>
  <c r="E13" i="25"/>
  <c r="F13" s="1"/>
  <c r="G13" s="1"/>
  <c r="L18" i="11"/>
  <c r="J18"/>
  <c r="J80"/>
  <c r="J81" i="25"/>
  <c r="H85" i="11"/>
  <c r="F12" i="25"/>
  <c r="G12" s="1"/>
  <c r="L85" i="11"/>
  <c r="G26" i="20"/>
  <c r="G27" s="1"/>
  <c r="G23"/>
  <c r="C36" i="17"/>
  <c r="C16" s="1"/>
  <c r="F180" i="25"/>
  <c r="G292"/>
  <c r="K292" s="1"/>
  <c r="I73" i="9"/>
  <c r="E76"/>
  <c r="C35"/>
  <c r="F239" i="25"/>
  <c r="H18" i="11"/>
  <c r="H80"/>
  <c r="I11" i="25"/>
  <c r="J11" s="1"/>
  <c r="I10"/>
  <c r="J10" s="1"/>
  <c r="F10"/>
  <c r="G10" s="1"/>
  <c r="J85" i="11"/>
  <c r="H49" i="25" l="1"/>
  <c r="I393"/>
  <c r="H192"/>
  <c r="O41" i="11"/>
  <c r="E250" i="25"/>
  <c r="B60" i="9"/>
  <c r="B36"/>
  <c r="I191" i="25"/>
  <c r="G68" i="17"/>
  <c r="G78" s="1"/>
  <c r="G17"/>
  <c r="G60" i="9"/>
  <c r="N45" i="11"/>
  <c r="B68" i="17"/>
  <c r="B17"/>
  <c r="E191" i="25"/>
  <c r="N29" i="11"/>
  <c r="D60" i="9"/>
  <c r="H250" i="25"/>
  <c r="F60" i="9"/>
  <c r="F36"/>
  <c r="J250" i="25"/>
  <c r="H60" i="9"/>
  <c r="H36"/>
  <c r="G85" i="11"/>
  <c r="G18"/>
  <c r="D17" i="17"/>
  <c r="N37" i="11"/>
  <c r="D67" i="17"/>
  <c r="G191" i="25"/>
  <c r="G250"/>
  <c r="F14"/>
  <c r="G14" s="1"/>
  <c r="C36" i="9"/>
  <c r="C60"/>
  <c r="F250" i="25"/>
  <c r="C17" i="17"/>
  <c r="N33" i="11"/>
  <c r="C68" i="17"/>
  <c r="F191" i="25"/>
  <c r="K191" s="1"/>
  <c r="I16" i="17"/>
  <c r="N64" i="11" s="1"/>
  <c r="D76" i="9"/>
  <c r="G263" i="25"/>
  <c r="G286" s="1"/>
  <c r="K27" i="20"/>
  <c r="G29"/>
  <c r="G28"/>
  <c r="D61" i="9"/>
  <c r="G251" i="25"/>
  <c r="I71" i="7"/>
  <c r="L70"/>
  <c r="I132"/>
  <c r="L131"/>
  <c r="I193"/>
  <c r="L192"/>
  <c r="G16" i="9"/>
  <c r="G17"/>
  <c r="K29" i="20"/>
  <c r="K28"/>
  <c r="I68" i="17" l="1"/>
  <c r="K68" s="1"/>
  <c r="B78"/>
  <c r="I263" i="25"/>
  <c r="I286" s="1"/>
  <c r="G76" i="9"/>
  <c r="B61"/>
  <c r="E251" i="25"/>
  <c r="E49"/>
  <c r="I380"/>
  <c r="E192"/>
  <c r="O29" i="11"/>
  <c r="I49" i="25"/>
  <c r="I398"/>
  <c r="I192"/>
  <c r="O45" i="11"/>
  <c r="G61" i="9"/>
  <c r="B76"/>
  <c r="E263" i="25"/>
  <c r="E286" s="1"/>
  <c r="H50"/>
  <c r="J393"/>
  <c r="D77" i="17"/>
  <c r="G192" i="25"/>
  <c r="O37" i="11"/>
  <c r="H76" i="9"/>
  <c r="J263" i="25"/>
  <c r="J286" s="1"/>
  <c r="H251"/>
  <c r="F61" i="9"/>
  <c r="G49" i="25"/>
  <c r="I388"/>
  <c r="J251"/>
  <c r="H61" i="9"/>
  <c r="F76"/>
  <c r="H263" i="25"/>
  <c r="H286" s="1"/>
  <c r="I194" i="7"/>
  <c r="L193"/>
  <c r="I133"/>
  <c r="L132"/>
  <c r="L71"/>
  <c r="I72"/>
  <c r="D77" i="9"/>
  <c r="G264" i="25"/>
  <c r="G287" s="1"/>
  <c r="N55" i="11"/>
  <c r="F49" i="25"/>
  <c r="I384"/>
  <c r="I407" s="1"/>
  <c r="C61" i="9"/>
  <c r="F251" i="25"/>
  <c r="C78" i="17"/>
  <c r="O33" i="11"/>
  <c r="I17" i="17"/>
  <c r="O64" i="11" s="1"/>
  <c r="F192" i="25"/>
  <c r="C76" i="9"/>
  <c r="F263" i="25"/>
  <c r="J60" i="9"/>
  <c r="I50" i="25" l="1"/>
  <c r="J398"/>
  <c r="J380"/>
  <c r="E50"/>
  <c r="B77" i="9"/>
  <c r="E264" i="25"/>
  <c r="E287" s="1"/>
  <c r="G77" i="9"/>
  <c r="I264" i="25"/>
  <c r="I287" s="1"/>
  <c r="I78" i="17"/>
  <c r="D82" s="1"/>
  <c r="D87" s="1"/>
  <c r="D92" s="1"/>
  <c r="C83"/>
  <c r="C88" s="1"/>
  <c r="C93" s="1"/>
  <c r="J264" i="25"/>
  <c r="J287" s="1"/>
  <c r="H77" i="9"/>
  <c r="H264" i="25"/>
  <c r="H287" s="1"/>
  <c r="F77" i="9"/>
  <c r="G50" i="25"/>
  <c r="J388"/>
  <c r="K192"/>
  <c r="K49"/>
  <c r="F286"/>
  <c r="K263"/>
  <c r="O55" i="11"/>
  <c r="J384" i="25"/>
  <c r="J407" s="1"/>
  <c r="F50"/>
  <c r="K50" s="1"/>
  <c r="I134" i="7"/>
  <c r="L133"/>
  <c r="I195"/>
  <c r="L194"/>
  <c r="I76" i="9"/>
  <c r="C77"/>
  <c r="F264" i="25"/>
  <c r="J61" i="9"/>
  <c r="H15" i="25"/>
  <c r="I15" s="1"/>
  <c r="J15" s="1"/>
  <c r="N70" i="11"/>
  <c r="I73" i="7"/>
  <c r="L72"/>
  <c r="B83" i="17" l="1"/>
  <c r="B88" s="1"/>
  <c r="H83"/>
  <c r="H88" s="1"/>
  <c r="H93" s="1"/>
  <c r="E83"/>
  <c r="E88" s="1"/>
  <c r="E93" s="1"/>
  <c r="F83"/>
  <c r="F88" s="1"/>
  <c r="F93" s="1"/>
  <c r="G83"/>
  <c r="G88" s="1"/>
  <c r="G93" s="1"/>
  <c r="F287" i="25"/>
  <c r="K264"/>
  <c r="I196" i="7"/>
  <c r="L195"/>
  <c r="I135"/>
  <c r="L134"/>
  <c r="O70" i="11"/>
  <c r="H16" i="25"/>
  <c r="I16" s="1"/>
  <c r="J16" s="1"/>
  <c r="K286"/>
  <c r="I74" i="7"/>
  <c r="L73"/>
  <c r="L258" s="1"/>
  <c r="I77" i="9"/>
  <c r="I88" i="17" l="1"/>
  <c r="J88" s="1"/>
  <c r="B93"/>
  <c r="M258" i="7"/>
  <c r="N258" s="1"/>
  <c r="K3" i="9"/>
  <c r="L3" s="1"/>
  <c r="M3" s="1"/>
  <c r="F111" i="25"/>
  <c r="G111" s="1"/>
  <c r="I75" i="7"/>
  <c r="L74"/>
  <c r="I136"/>
  <c r="L135"/>
  <c r="I197"/>
  <c r="L196"/>
  <c r="K287" i="25"/>
  <c r="I198" i="7" l="1"/>
  <c r="L197"/>
  <c r="I137"/>
  <c r="L136"/>
  <c r="L75"/>
  <c r="I76"/>
  <c r="I138" l="1"/>
  <c r="L137"/>
  <c r="I199"/>
  <c r="L198"/>
  <c r="I77"/>
  <c r="L76"/>
  <c r="I78" l="1"/>
  <c r="L77"/>
  <c r="I200"/>
  <c r="L199"/>
  <c r="I139"/>
  <c r="L138"/>
  <c r="I79" l="1"/>
  <c r="L78"/>
  <c r="I140"/>
  <c r="L139"/>
  <c r="I201"/>
  <c r="L200"/>
  <c r="I202" l="1"/>
  <c r="L201"/>
  <c r="I141"/>
  <c r="L140"/>
  <c r="L79"/>
  <c r="I80"/>
  <c r="I142" l="1"/>
  <c r="L141"/>
  <c r="I203"/>
  <c r="L202"/>
  <c r="I81"/>
  <c r="L80"/>
  <c r="I82" l="1"/>
  <c r="L81"/>
  <c r="I204"/>
  <c r="L203"/>
  <c r="I143"/>
  <c r="L142"/>
  <c r="I144" l="1"/>
  <c r="L143"/>
  <c r="I205"/>
  <c r="L204"/>
  <c r="I83"/>
  <c r="L82"/>
  <c r="L83" l="1"/>
  <c r="I84"/>
  <c r="I206"/>
  <c r="L205"/>
  <c r="L269" s="1"/>
  <c r="I145"/>
  <c r="L144"/>
  <c r="I146" l="1"/>
  <c r="L145"/>
  <c r="L264" s="1"/>
  <c r="I218"/>
  <c r="I207"/>
  <c r="L206"/>
  <c r="K14" i="9"/>
  <c r="L14" s="1"/>
  <c r="M14" s="1"/>
  <c r="L8" i="11"/>
  <c r="M269" i="7"/>
  <c r="N269" s="1"/>
  <c r="F122" i="25"/>
  <c r="G122" s="1"/>
  <c r="I85" i="7"/>
  <c r="L84"/>
  <c r="L12" i="11" l="1"/>
  <c r="G372" i="25"/>
  <c r="G374" s="1"/>
  <c r="G375" s="1"/>
  <c r="I282" i="7"/>
  <c r="L218"/>
  <c r="I147"/>
  <c r="L146"/>
  <c r="I86"/>
  <c r="L85"/>
  <c r="L259" s="1"/>
  <c r="I208"/>
  <c r="I219"/>
  <c r="L207"/>
  <c r="M264"/>
  <c r="N264" s="1"/>
  <c r="K9" i="9"/>
  <c r="L9" s="1"/>
  <c r="M9" s="1"/>
  <c r="F117" i="25"/>
  <c r="G117" s="1"/>
  <c r="G8" i="11"/>
  <c r="G12" s="1"/>
  <c r="I283" i="7" l="1"/>
  <c r="L219"/>
  <c r="L231" s="1"/>
  <c r="L243" s="1"/>
  <c r="M259"/>
  <c r="N259" s="1"/>
  <c r="K4" i="9"/>
  <c r="L4" s="1"/>
  <c r="M4" s="1"/>
  <c r="F112" i="25"/>
  <c r="G112" s="1"/>
  <c r="I148" i="7"/>
  <c r="L147"/>
  <c r="I298"/>
  <c r="L298" s="1"/>
  <c r="L282"/>
  <c r="I209"/>
  <c r="L208"/>
  <c r="I220"/>
  <c r="I87"/>
  <c r="L86"/>
  <c r="L230"/>
  <c r="I284" l="1"/>
  <c r="L220"/>
  <c r="I210"/>
  <c r="I221"/>
  <c r="L209"/>
  <c r="I149"/>
  <c r="L148"/>
  <c r="L242"/>
  <c r="L87"/>
  <c r="I88"/>
  <c r="I299"/>
  <c r="L299" s="1"/>
  <c r="L283"/>
  <c r="I150" l="1"/>
  <c r="L149"/>
  <c r="L221"/>
  <c r="L233" s="1"/>
  <c r="L245" s="1"/>
  <c r="I285"/>
  <c r="L232"/>
  <c r="I89"/>
  <c r="L88"/>
  <c r="I211"/>
  <c r="L210"/>
  <c r="I222"/>
  <c r="I300"/>
  <c r="L300" s="1"/>
  <c r="L284"/>
  <c r="I301" l="1"/>
  <c r="L301" s="1"/>
  <c r="L285"/>
  <c r="L222"/>
  <c r="L234" s="1"/>
  <c r="L246" s="1"/>
  <c r="I286"/>
  <c r="I212"/>
  <c r="I223"/>
  <c r="L211"/>
  <c r="I90"/>
  <c r="L89"/>
  <c r="L244"/>
  <c r="I151"/>
  <c r="L150"/>
  <c r="I213" l="1"/>
  <c r="L212"/>
  <c r="I224"/>
  <c r="I152"/>
  <c r="L151"/>
  <c r="I91"/>
  <c r="L90"/>
  <c r="L223"/>
  <c r="L235" s="1"/>
  <c r="I287"/>
  <c r="I302"/>
  <c r="L302" s="1"/>
  <c r="L286"/>
  <c r="I303" l="1"/>
  <c r="L303" s="1"/>
  <c r="L287"/>
  <c r="L247"/>
  <c r="L91"/>
  <c r="I92"/>
  <c r="I153"/>
  <c r="L152"/>
  <c r="L224"/>
  <c r="I288"/>
  <c r="I214"/>
  <c r="I225"/>
  <c r="L213"/>
  <c r="L225" l="1"/>
  <c r="L237" s="1"/>
  <c r="L249" s="1"/>
  <c r="I289"/>
  <c r="I93"/>
  <c r="L92"/>
  <c r="I215"/>
  <c r="L214"/>
  <c r="I226"/>
  <c r="L236"/>
  <c r="I154"/>
  <c r="L153"/>
  <c r="I304"/>
  <c r="L304" s="1"/>
  <c r="L288"/>
  <c r="I155" l="1"/>
  <c r="L154"/>
  <c r="L248"/>
  <c r="I305"/>
  <c r="L305" s="1"/>
  <c r="L289"/>
  <c r="L226"/>
  <c r="L238" s="1"/>
  <c r="L250" s="1"/>
  <c r="I290"/>
  <c r="I216"/>
  <c r="I227"/>
  <c r="L215"/>
  <c r="I94"/>
  <c r="L93"/>
  <c r="I217" l="1"/>
  <c r="L216"/>
  <c r="I228"/>
  <c r="I156"/>
  <c r="L155"/>
  <c r="I95"/>
  <c r="L94"/>
  <c r="L227"/>
  <c r="L239" s="1"/>
  <c r="L251" s="1"/>
  <c r="I291"/>
  <c r="I306"/>
  <c r="L306" s="1"/>
  <c r="L290"/>
  <c r="L95" l="1"/>
  <c r="I96"/>
  <c r="I157"/>
  <c r="L156"/>
  <c r="I307"/>
  <c r="L307" s="1"/>
  <c r="L291"/>
  <c r="L228"/>
  <c r="L240" s="1"/>
  <c r="L252" s="1"/>
  <c r="I292"/>
  <c r="I229"/>
  <c r="L217"/>
  <c r="L270" s="1"/>
  <c r="L229" l="1"/>
  <c r="I293"/>
  <c r="I158"/>
  <c r="L157"/>
  <c r="L265" s="1"/>
  <c r="M8" i="11"/>
  <c r="F123" i="25"/>
  <c r="G123" s="1"/>
  <c r="M270" i="7"/>
  <c r="N270" s="1"/>
  <c r="K15" i="9"/>
  <c r="L15" s="1"/>
  <c r="M15" s="1"/>
  <c r="I308" i="7"/>
  <c r="L308" s="1"/>
  <c r="L292"/>
  <c r="I97"/>
  <c r="L96"/>
  <c r="I98" l="1"/>
  <c r="L97"/>
  <c r="L260" s="1"/>
  <c r="H372" i="25"/>
  <c r="H374" s="1"/>
  <c r="H375" s="1"/>
  <c r="M12" i="11"/>
  <c r="I159" i="7"/>
  <c r="L158"/>
  <c r="L241"/>
  <c r="L271"/>
  <c r="F124" i="25" s="1"/>
  <c r="E135" s="1"/>
  <c r="E136" s="1"/>
  <c r="K10" i="9"/>
  <c r="L10" s="1"/>
  <c r="M10" s="1"/>
  <c r="H8" i="11"/>
  <c r="H12" s="1"/>
  <c r="M265" i="7"/>
  <c r="N265" s="1"/>
  <c r="F118" i="25"/>
  <c r="G118" s="1"/>
  <c r="I309" i="7"/>
  <c r="L309" s="1"/>
  <c r="L311" s="1"/>
  <c r="F126" i="25" s="1"/>
  <c r="G135" s="1"/>
  <c r="G136" s="1"/>
  <c r="L293" i="7"/>
  <c r="L295" s="1"/>
  <c r="F125" i="25" s="1"/>
  <c r="F135" s="1"/>
  <c r="F136" s="1"/>
  <c r="L253" i="7" l="1"/>
  <c r="L272"/>
  <c r="I160"/>
  <c r="L159"/>
  <c r="I99"/>
  <c r="L98"/>
  <c r="M260"/>
  <c r="N260" s="1"/>
  <c r="K5" i="9"/>
  <c r="L5" s="1"/>
  <c r="M5" s="1"/>
  <c r="F113" i="25"/>
  <c r="G113" s="1"/>
  <c r="K16" i="9" l="1"/>
  <c r="I16" s="1"/>
  <c r="N8" i="11"/>
  <c r="L99" i="7"/>
  <c r="I100"/>
  <c r="I161"/>
  <c r="L160"/>
  <c r="L273"/>
  <c r="N11" i="11" l="1"/>
  <c r="I372" i="25"/>
  <c r="I374" s="1"/>
  <c r="I162" i="7"/>
  <c r="L161"/>
  <c r="N15" i="11"/>
  <c r="N17" s="1"/>
  <c r="J68" i="9"/>
  <c r="O8" i="11"/>
  <c r="K17" i="9"/>
  <c r="I17" s="1"/>
  <c r="I101" i="7"/>
  <c r="L100"/>
  <c r="I102" l="1"/>
  <c r="L101"/>
  <c r="J69" i="9"/>
  <c r="O15" i="11"/>
  <c r="O17" s="1"/>
  <c r="M58" i="20"/>
  <c r="M10" s="1"/>
  <c r="M12" s="1"/>
  <c r="J79" i="9"/>
  <c r="E15" i="25"/>
  <c r="F15" s="1"/>
  <c r="G15" s="1"/>
  <c r="I163" i="7"/>
  <c r="L162"/>
  <c r="M49" i="20"/>
  <c r="N18" i="11"/>
  <c r="O11"/>
  <c r="J372" i="25"/>
  <c r="J374" s="1"/>
  <c r="J64" i="9"/>
  <c r="C64" l="1"/>
  <c r="G64"/>
  <c r="F64"/>
  <c r="D64"/>
  <c r="B64"/>
  <c r="E64"/>
  <c r="H64"/>
  <c r="H68" s="1"/>
  <c r="N51" i="11" s="1"/>
  <c r="N49" i="20"/>
  <c r="O18" i="11"/>
  <c r="M51" i="20"/>
  <c r="M50" s="1"/>
  <c r="M35"/>
  <c r="M17"/>
  <c r="I164" i="7"/>
  <c r="L163"/>
  <c r="N58" i="20"/>
  <c r="N10" s="1"/>
  <c r="N12" s="1"/>
  <c r="E16" i="25"/>
  <c r="F16" s="1"/>
  <c r="G16" s="1"/>
  <c r="J80" i="9"/>
  <c r="J65"/>
  <c r="I103" i="7"/>
  <c r="L102"/>
  <c r="L103" l="1"/>
  <c r="I104"/>
  <c r="C65" i="9"/>
  <c r="E65"/>
  <c r="B65"/>
  <c r="H65"/>
  <c r="H69" s="1"/>
  <c r="O51" i="11" s="1"/>
  <c r="F65" i="9"/>
  <c r="G65"/>
  <c r="D65"/>
  <c r="M18" i="20"/>
  <c r="M7" s="1"/>
  <c r="M9" s="1"/>
  <c r="M13" s="1"/>
  <c r="M56"/>
  <c r="M37"/>
  <c r="M40" s="1"/>
  <c r="I165" i="7"/>
  <c r="L164"/>
  <c r="J35" i="25"/>
  <c r="J69" s="1"/>
  <c r="J83" s="1"/>
  <c r="I404"/>
  <c r="E296"/>
  <c r="I64" i="9"/>
  <c r="B68"/>
  <c r="I296" i="25"/>
  <c r="I301" s="1"/>
  <c r="F68" i="9"/>
  <c r="F296" i="25"/>
  <c r="F301" s="1"/>
  <c r="C68" i="9"/>
  <c r="N35" i="11" s="1"/>
  <c r="M19" i="20"/>
  <c r="M54"/>
  <c r="N17"/>
  <c r="N51"/>
  <c r="N35"/>
  <c r="H296" i="25"/>
  <c r="H301" s="1"/>
  <c r="E68" i="9"/>
  <c r="G296" i="25"/>
  <c r="G301" s="1"/>
  <c r="D68" i="9"/>
  <c r="J296" i="25"/>
  <c r="J301" s="1"/>
  <c r="G68" i="9"/>
  <c r="M36" i="20" l="1"/>
  <c r="N47" i="11"/>
  <c r="E16" i="18"/>
  <c r="N18" i="20"/>
  <c r="N7" s="1"/>
  <c r="N9" s="1"/>
  <c r="N13" s="1"/>
  <c r="N56"/>
  <c r="N37"/>
  <c r="N36" s="1"/>
  <c r="I385" i="25"/>
  <c r="F35"/>
  <c r="F69" s="1"/>
  <c r="F83" s="1"/>
  <c r="N43" i="11"/>
  <c r="D16" i="18"/>
  <c r="N31" i="11"/>
  <c r="J76" i="9"/>
  <c r="K296" i="25"/>
  <c r="E301"/>
  <c r="K301" s="1"/>
  <c r="I166" i="7"/>
  <c r="L165"/>
  <c r="M61" i="20"/>
  <c r="M68" s="1"/>
  <c r="M57"/>
  <c r="G297" i="25"/>
  <c r="G302" s="1"/>
  <c r="D69" i="9"/>
  <c r="I297" i="25"/>
  <c r="I302" s="1"/>
  <c r="F69" i="9"/>
  <c r="E297" i="25"/>
  <c r="I65" i="9"/>
  <c r="B69"/>
  <c r="F297" i="25"/>
  <c r="F302" s="1"/>
  <c r="C69" i="9"/>
  <c r="O35" i="11" s="1"/>
  <c r="N54" i="20"/>
  <c r="N39" i="11"/>
  <c r="B16" i="18"/>
  <c r="N40" i="20"/>
  <c r="J297" i="25"/>
  <c r="J302" s="1"/>
  <c r="G69" i="9"/>
  <c r="J404" i="25"/>
  <c r="J36"/>
  <c r="J70" s="1"/>
  <c r="J84" s="1"/>
  <c r="H297"/>
  <c r="H302" s="1"/>
  <c r="E69" i="9"/>
  <c r="I105" i="7"/>
  <c r="L104"/>
  <c r="N50" i="20"/>
  <c r="N19" l="1"/>
  <c r="I106" i="7"/>
  <c r="L105"/>
  <c r="I390" i="25"/>
  <c r="G35"/>
  <c r="G69" s="1"/>
  <c r="G83" s="1"/>
  <c r="J385"/>
  <c r="F36"/>
  <c r="F70" s="1"/>
  <c r="F84" s="1"/>
  <c r="O31" i="11"/>
  <c r="J77" i="9"/>
  <c r="K297" i="25"/>
  <c r="E302"/>
  <c r="K302" s="1"/>
  <c r="I167" i="7"/>
  <c r="L166"/>
  <c r="I381" i="25"/>
  <c r="E35"/>
  <c r="N57" i="11"/>
  <c r="H35" i="25"/>
  <c r="H69" s="1"/>
  <c r="H83" s="1"/>
  <c r="I395"/>
  <c r="I400"/>
  <c r="I35"/>
  <c r="I69" s="1"/>
  <c r="I83" s="1"/>
  <c r="O47" i="11"/>
  <c r="E17" i="18"/>
  <c r="N38" i="11"/>
  <c r="F16" i="18"/>
  <c r="N65" i="11" s="1"/>
  <c r="E360" i="25"/>
  <c r="O43" i="11"/>
  <c r="D17" i="18"/>
  <c r="O39" i="11"/>
  <c r="B17" i="18"/>
  <c r="N66" i="11"/>
  <c r="J72" i="9"/>
  <c r="N42" i="11"/>
  <c r="I394" i="25" s="1"/>
  <c r="F360"/>
  <c r="N57" i="20"/>
  <c r="N61"/>
  <c r="N68" s="1"/>
  <c r="N46" i="11"/>
  <c r="G360" i="25"/>
  <c r="I399" l="1"/>
  <c r="G36"/>
  <c r="G70" s="1"/>
  <c r="G84" s="1"/>
  <c r="J390"/>
  <c r="J395"/>
  <c r="H36"/>
  <c r="H70" s="1"/>
  <c r="H84" s="1"/>
  <c r="O46" i="11"/>
  <c r="G361" i="25"/>
  <c r="N72" i="11"/>
  <c r="N85"/>
  <c r="O66"/>
  <c r="J73" i="9"/>
  <c r="I107" i="7"/>
  <c r="L106"/>
  <c r="I408" i="25"/>
  <c r="O38" i="11"/>
  <c r="F17" i="18"/>
  <c r="O65" i="11" s="1"/>
  <c r="E361" i="25"/>
  <c r="O42" i="11"/>
  <c r="F361" i="25"/>
  <c r="I389"/>
  <c r="N56" i="11"/>
  <c r="N71" s="1"/>
  <c r="I36" i="25"/>
  <c r="I70" s="1"/>
  <c r="I84" s="1"/>
  <c r="J400"/>
  <c r="K35"/>
  <c r="E69"/>
  <c r="E83" s="1"/>
  <c r="I168" i="7"/>
  <c r="L167"/>
  <c r="E36" i="25"/>
  <c r="J381"/>
  <c r="J408" s="1"/>
  <c r="O57" i="11"/>
  <c r="H360" i="25"/>
  <c r="I409" l="1"/>
  <c r="J389"/>
  <c r="O56" i="11"/>
  <c r="L107" i="7"/>
  <c r="I108"/>
  <c r="J399" i="25"/>
  <c r="H361"/>
  <c r="O72" i="11"/>
  <c r="O85"/>
  <c r="K36" i="25"/>
  <c r="E70"/>
  <c r="E84" s="1"/>
  <c r="I169" i="7"/>
  <c r="L168"/>
  <c r="J394" i="25"/>
  <c r="O71" i="11" l="1"/>
  <c r="I109" i="7"/>
  <c r="L108"/>
  <c r="J409" i="25"/>
  <c r="I170" i="7"/>
  <c r="L169"/>
  <c r="L266" s="1"/>
  <c r="I8" i="11" l="1"/>
  <c r="M266" i="7"/>
  <c r="N266" s="1"/>
  <c r="K11" i="9"/>
  <c r="L11" s="1"/>
  <c r="M11" s="1"/>
  <c r="F119" i="25"/>
  <c r="G119" s="1"/>
  <c r="I171" i="7"/>
  <c r="L170"/>
  <c r="I110"/>
  <c r="L109"/>
  <c r="L261" s="1"/>
  <c r="I111" l="1"/>
  <c r="L110"/>
  <c r="E372" i="25"/>
  <c r="E374" s="1"/>
  <c r="E375" s="1"/>
  <c r="I12" i="11"/>
  <c r="M261" i="7"/>
  <c r="N261" s="1"/>
  <c r="K6" i="9"/>
  <c r="L6" s="1"/>
  <c r="M6" s="1"/>
  <c r="F114" i="25"/>
  <c r="G114" s="1"/>
  <c r="I172" i="7"/>
  <c r="L171"/>
  <c r="L111" l="1"/>
  <c r="I112"/>
  <c r="I173"/>
  <c r="L172"/>
  <c r="I174" l="1"/>
  <c r="L173"/>
  <c r="I113"/>
  <c r="L112"/>
  <c r="I114" l="1"/>
  <c r="L113"/>
  <c r="I175"/>
  <c r="L174"/>
  <c r="I115" l="1"/>
  <c r="L114"/>
  <c r="I176"/>
  <c r="L175"/>
  <c r="I177" l="1"/>
  <c r="L176"/>
  <c r="L115"/>
  <c r="I116"/>
  <c r="I117" l="1"/>
  <c r="L116"/>
  <c r="I178"/>
  <c r="L177"/>
  <c r="I118" l="1"/>
  <c r="L117"/>
  <c r="I179"/>
  <c r="L178"/>
  <c r="I180" l="1"/>
  <c r="L179"/>
  <c r="I119"/>
  <c r="L118"/>
  <c r="I181" l="1"/>
  <c r="L180"/>
  <c r="L119"/>
  <c r="I120"/>
  <c r="I121" l="1"/>
  <c r="L120"/>
  <c r="I182"/>
  <c r="L181"/>
  <c r="L267" s="1"/>
  <c r="K12" i="9" l="1"/>
  <c r="L12" s="1"/>
  <c r="M12" s="1"/>
  <c r="M267" i="7"/>
  <c r="N267" s="1"/>
  <c r="J8" i="11"/>
  <c r="J12" s="1"/>
  <c r="F120" i="25"/>
  <c r="G120" s="1"/>
  <c r="I122" i="7"/>
  <c r="L121"/>
  <c r="L262" s="1"/>
  <c r="I183"/>
  <c r="L182"/>
  <c r="I184" l="1"/>
  <c r="L183"/>
  <c r="I123"/>
  <c r="L122"/>
  <c r="M262"/>
  <c r="N262" s="1"/>
  <c r="K7" i="9"/>
  <c r="L7" s="1"/>
  <c r="M7" s="1"/>
  <c r="F115" i="25"/>
  <c r="G115" s="1"/>
  <c r="E8" i="11"/>
  <c r="E12" s="1"/>
  <c r="L123" i="7" l="1"/>
  <c r="I124"/>
  <c r="I185"/>
  <c r="L184"/>
  <c r="I186" l="1"/>
  <c r="L186" s="1"/>
  <c r="L185"/>
  <c r="I125"/>
  <c r="L124"/>
  <c r="L268" l="1"/>
  <c r="K8" i="11" s="1"/>
  <c r="M268" i="7"/>
  <c r="N268" s="1"/>
  <c r="F121" i="25"/>
  <c r="G121" s="1"/>
  <c r="I126" i="7"/>
  <c r="L126" s="1"/>
  <c r="L125"/>
  <c r="K13" i="9" l="1"/>
  <c r="L13" s="1"/>
  <c r="M13" s="1"/>
  <c r="L263" i="7"/>
  <c r="L255"/>
  <c r="F8" i="11"/>
  <c r="F12" s="1"/>
  <c r="M263" i="7"/>
  <c r="N263" s="1"/>
  <c r="K8" i="9"/>
  <c r="L8" s="1"/>
  <c r="M8" s="1"/>
  <c r="F116" i="25"/>
  <c r="G116" s="1"/>
  <c r="L278" i="7"/>
  <c r="F372" i="25"/>
  <c r="F374" s="1"/>
  <c r="F375" s="1"/>
  <c r="K12" i="11"/>
  <c r="L276" i="7"/>
  <c r="M276" s="1"/>
  <c r="M278" l="1"/>
</calcChain>
</file>

<file path=xl/comments1.xml><?xml version="1.0" encoding="utf-8"?>
<comments xmlns="http://schemas.openxmlformats.org/spreadsheetml/2006/main">
  <authors>
    <author>Pat</author>
  </authors>
  <commentList>
    <comment ref="N9" authorId="0">
      <text>
        <r>
          <rPr>
            <b/>
            <sz val="8"/>
            <color indexed="81"/>
            <rFont val="Tahoma"/>
            <family val="2"/>
          </rPr>
          <t>Pat:</t>
        </r>
        <r>
          <rPr>
            <sz val="8"/>
            <color indexed="81"/>
            <rFont val="Tahoma"/>
            <family val="2"/>
          </rPr>
          <t xml:space="preserve">
Needs to match Total loss adjustment factor
</t>
        </r>
      </text>
    </comment>
    <comment ref="O9" authorId="0">
      <text>
        <r>
          <rPr>
            <b/>
            <sz val="8"/>
            <color indexed="81"/>
            <rFont val="Tahoma"/>
            <family val="2"/>
          </rPr>
          <t>Pat:</t>
        </r>
        <r>
          <rPr>
            <sz val="8"/>
            <color indexed="81"/>
            <rFont val="Tahoma"/>
            <family val="2"/>
          </rPr>
          <t xml:space="preserve">
Needs to match Total loss adjustment factor
</t>
        </r>
      </text>
    </comment>
  </commentList>
</comments>
</file>

<file path=xl/comments2.xml><?xml version="1.0" encoding="utf-8"?>
<comments xmlns="http://schemas.openxmlformats.org/spreadsheetml/2006/main">
  <authors>
    <author>pwelsh</author>
  </authors>
  <commentList>
    <comment ref="H35" authorId="0">
      <text>
        <r>
          <rPr>
            <b/>
            <sz val="8"/>
            <color indexed="81"/>
            <rFont val="Tahoma"/>
            <family val="2"/>
          </rPr>
          <t>pwelsh:</t>
        </r>
        <r>
          <rPr>
            <sz val="8"/>
            <color indexed="81"/>
            <rFont val="Tahoma"/>
            <family val="2"/>
          </rPr>
          <t xml:space="preserve">
using IESO invoiced kWh to calculate line losses 2005 &amp; forward;  difference between MV90 and IESO  1,697 kWh this year not explained</t>
        </r>
      </text>
    </comment>
  </commentList>
</comments>
</file>

<file path=xl/comments3.xml><?xml version="1.0" encoding="utf-8"?>
<comments xmlns="http://schemas.openxmlformats.org/spreadsheetml/2006/main">
  <authors>
    <author>Pat Hurley</author>
    <author>pwelsh</author>
  </authors>
  <commentList>
    <comment ref="I127" authorId="0">
      <text>
        <r>
          <rPr>
            <b/>
            <sz val="10"/>
            <color indexed="81"/>
            <rFont val="Tahoma"/>
            <family val="2"/>
          </rPr>
          <t>Pat Hurley:</t>
        </r>
        <r>
          <rPr>
            <sz val="10"/>
            <color indexed="81"/>
            <rFont val="Tahoma"/>
            <family val="2"/>
          </rPr>
          <t xml:space="preserve">
Census</t>
        </r>
      </text>
    </comment>
    <comment ref="C138" authorId="1">
      <text>
        <r>
          <rPr>
            <b/>
            <sz val="8"/>
            <color indexed="81"/>
            <rFont val="Tahoma"/>
            <family val="2"/>
          </rPr>
          <t>pwelsh:</t>
        </r>
        <r>
          <rPr>
            <sz val="8"/>
            <color indexed="81"/>
            <rFont val="Tahoma"/>
            <family val="2"/>
          </rPr>
          <t xml:space="preserve">
OSMH generation counted twice in error in RRR Reporting for 2002 (since market opening May/02)</t>
        </r>
      </text>
    </comment>
    <comment ref="C146" authorId="1">
      <text>
        <r>
          <rPr>
            <b/>
            <sz val="8"/>
            <color indexed="81"/>
            <rFont val="Tahoma"/>
            <family val="2"/>
          </rPr>
          <t>pwelsh:</t>
        </r>
        <r>
          <rPr>
            <sz val="8"/>
            <color indexed="81"/>
            <rFont val="Tahoma"/>
            <family val="2"/>
          </rPr>
          <t xml:space="preserve">
OSMH generation counted twice in error in RRR Reporting for 2003</t>
        </r>
      </text>
    </comment>
    <comment ref="C157" authorId="1">
      <text>
        <r>
          <rPr>
            <b/>
            <sz val="8"/>
            <color indexed="81"/>
            <rFont val="Tahoma"/>
            <family val="2"/>
          </rPr>
          <t>pwelsh:</t>
        </r>
        <r>
          <rPr>
            <sz val="8"/>
            <color indexed="81"/>
            <rFont val="Tahoma"/>
            <family val="2"/>
          </rPr>
          <t xml:space="preserve">
Diff beween IESO AQEW and MV90 - used MV90 in RRR reporting 37 kWh</t>
        </r>
      </text>
    </comment>
    <comment ref="C158" authorId="1">
      <text>
        <r>
          <rPr>
            <b/>
            <sz val="8"/>
            <color indexed="81"/>
            <rFont val="Tahoma"/>
            <family val="2"/>
          </rPr>
          <t>pwelsh:</t>
        </r>
        <r>
          <rPr>
            <sz val="8"/>
            <color indexed="81"/>
            <rFont val="Tahoma"/>
            <family val="2"/>
          </rPr>
          <t xml:space="preserve">
OSMH generation counted twice in error in RRR Reporting for 2004</t>
        </r>
      </text>
    </comment>
    <comment ref="C169" authorId="1">
      <text>
        <r>
          <rPr>
            <b/>
            <sz val="8"/>
            <color indexed="81"/>
            <rFont val="Tahoma"/>
            <family val="2"/>
          </rPr>
          <t>pwelsh:</t>
        </r>
        <r>
          <rPr>
            <sz val="8"/>
            <color indexed="81"/>
            <rFont val="Tahoma"/>
            <family val="2"/>
          </rPr>
          <t xml:space="preserve">
Diff beween IESO AQEW and MV90 - used MV90 in RRR reporting 1,202 kWh</t>
        </r>
      </text>
    </comment>
    <comment ref="C181" authorId="1">
      <text>
        <r>
          <rPr>
            <b/>
            <sz val="8"/>
            <color indexed="81"/>
            <rFont val="Tahoma"/>
            <family val="2"/>
          </rPr>
          <t>pwelsh:</t>
        </r>
        <r>
          <rPr>
            <sz val="8"/>
            <color indexed="81"/>
            <rFont val="Tahoma"/>
            <family val="2"/>
          </rPr>
          <t xml:space="preserve">
Diff beween IESO AQEW and MV90 - used MV90 in RRR reporting 16 kWh</t>
        </r>
      </text>
    </comment>
    <comment ref="I187" authorId="0">
      <text>
        <r>
          <rPr>
            <b/>
            <sz val="10"/>
            <color indexed="81"/>
            <rFont val="Tahoma"/>
            <family val="2"/>
          </rPr>
          <t>Pat Hurley:</t>
        </r>
        <r>
          <rPr>
            <sz val="10"/>
            <color indexed="81"/>
            <rFont val="Tahoma"/>
            <family val="2"/>
          </rPr>
          <t xml:space="preserve">
Census 2006 pop</t>
        </r>
      </text>
    </comment>
  </commentList>
</comments>
</file>

<file path=xl/comments4.xml><?xml version="1.0" encoding="utf-8"?>
<comments xmlns="http://schemas.openxmlformats.org/spreadsheetml/2006/main">
  <authors>
    <author>pwelsh</author>
    <author>Pat</author>
  </authors>
  <commentList>
    <comment ref="H3" authorId="0">
      <text>
        <r>
          <rPr>
            <b/>
            <sz val="8"/>
            <color indexed="81"/>
            <rFont val="Tahoma"/>
            <family val="2"/>
          </rPr>
          <t>pwelsh:</t>
        </r>
        <r>
          <rPr>
            <sz val="8"/>
            <color indexed="81"/>
            <rFont val="Tahoma"/>
            <family val="2"/>
          </rPr>
          <t xml:space="preserve">
estimated 12 months</t>
        </r>
      </text>
    </comment>
    <comment ref="H4" authorId="0">
      <text>
        <r>
          <rPr>
            <b/>
            <sz val="8"/>
            <color indexed="81"/>
            <rFont val="Tahoma"/>
            <family val="2"/>
          </rPr>
          <t>pwelsh:</t>
        </r>
        <r>
          <rPr>
            <sz val="8"/>
            <color indexed="81"/>
            <rFont val="Tahoma"/>
            <family val="2"/>
          </rPr>
          <t xml:space="preserve">
estimated 12 months</t>
        </r>
      </text>
    </comment>
    <comment ref="H5" authorId="0">
      <text>
        <r>
          <rPr>
            <b/>
            <sz val="8"/>
            <color indexed="81"/>
            <rFont val="Tahoma"/>
            <family val="2"/>
          </rPr>
          <t>pwelsh:</t>
        </r>
        <r>
          <rPr>
            <sz val="8"/>
            <color indexed="81"/>
            <rFont val="Tahoma"/>
            <family val="2"/>
          </rPr>
          <t xml:space="preserve">
estimated 12 months</t>
        </r>
      </text>
    </comment>
    <comment ref="H6" authorId="0">
      <text>
        <r>
          <rPr>
            <b/>
            <sz val="8"/>
            <color indexed="81"/>
            <rFont val="Tahoma"/>
            <family val="2"/>
          </rPr>
          <t>pwelsh:</t>
        </r>
        <r>
          <rPr>
            <sz val="8"/>
            <color indexed="81"/>
            <rFont val="Tahoma"/>
            <family val="2"/>
          </rPr>
          <t xml:space="preserve">
estimated 12 months</t>
        </r>
      </text>
    </comment>
    <comment ref="H7" authorId="0">
      <text>
        <r>
          <rPr>
            <b/>
            <sz val="8"/>
            <color indexed="81"/>
            <rFont val="Tahoma"/>
            <family val="2"/>
          </rPr>
          <t>pwelsh:</t>
        </r>
        <r>
          <rPr>
            <sz val="8"/>
            <color indexed="81"/>
            <rFont val="Tahoma"/>
            <family val="2"/>
          </rPr>
          <t xml:space="preserve">
estimated 12 months</t>
        </r>
      </text>
    </comment>
    <comment ref="H8" authorId="0">
      <text>
        <r>
          <rPr>
            <b/>
            <sz val="8"/>
            <color indexed="81"/>
            <rFont val="Tahoma"/>
            <family val="2"/>
          </rPr>
          <t>pwelsh:</t>
        </r>
        <r>
          <rPr>
            <sz val="8"/>
            <color indexed="81"/>
            <rFont val="Tahoma"/>
            <family val="2"/>
          </rPr>
          <t xml:space="preserve">
Actual Aug/01 to Dec/01; estimated 7 months</t>
        </r>
      </text>
    </comment>
    <comment ref="H9" authorId="0">
      <text>
        <r>
          <rPr>
            <b/>
            <sz val="8"/>
            <color indexed="81"/>
            <rFont val="Tahoma"/>
            <family val="2"/>
          </rPr>
          <t>pwelsh:</t>
        </r>
        <r>
          <rPr>
            <sz val="8"/>
            <color indexed="81"/>
            <rFont val="Tahoma"/>
            <family val="2"/>
          </rPr>
          <t xml:space="preserve">
Actual Jun/02 to Dec/02; estimated 5 months</t>
        </r>
      </text>
    </comment>
    <comment ref="M48" authorId="1">
      <text>
        <r>
          <rPr>
            <b/>
            <sz val="8"/>
            <color indexed="81"/>
            <rFont val="Tahoma"/>
            <family val="2"/>
          </rPr>
          <t>Pat:</t>
        </r>
        <r>
          <rPr>
            <sz val="8"/>
            <color indexed="81"/>
            <rFont val="Tahoma"/>
            <family val="2"/>
          </rPr>
          <t xml:space="preserve">
PER EMAIL FROM HH ANGUS RE ORC'S APPROACH AT OTHER SITES WAS TO RUN 5 DAYS A WEEK 16 HOURS PER DAY</t>
        </r>
      </text>
    </comment>
    <comment ref="A52" authorId="1">
      <text>
        <r>
          <rPr>
            <b/>
            <sz val="8"/>
            <color indexed="81"/>
            <rFont val="Tahoma"/>
            <family val="2"/>
          </rPr>
          <t>Pat:</t>
        </r>
        <r>
          <rPr>
            <sz val="8"/>
            <color indexed="81"/>
            <rFont val="Tahoma"/>
            <family val="2"/>
          </rPr>
          <t xml:space="preserve">
Prior to 2000 no breakdown of under 50 over 50 so calculation considers from then on</t>
        </r>
      </text>
    </comment>
    <comment ref="L53" authorId="1">
      <text>
        <r>
          <rPr>
            <b/>
            <sz val="8"/>
            <color indexed="81"/>
            <rFont val="Tahoma"/>
            <family val="2"/>
          </rPr>
          <t>Pat:</t>
        </r>
        <r>
          <rPr>
            <sz val="8"/>
            <color indexed="81"/>
            <rFont val="Tahoma"/>
            <family val="2"/>
          </rPr>
          <t xml:space="preserve">
I WILL BELIEVE IT WHEN I SEE IT</t>
        </r>
      </text>
    </comment>
    <comment ref="L54" authorId="1">
      <text>
        <r>
          <rPr>
            <b/>
            <sz val="8"/>
            <color indexed="81"/>
            <rFont val="Tahoma"/>
            <family val="2"/>
          </rPr>
          <t>Pat:</t>
        </r>
        <r>
          <rPr>
            <sz val="8"/>
            <color indexed="81"/>
            <rFont val="Tahoma"/>
            <family val="2"/>
          </rPr>
          <t xml:space="preserve">
I WILL BELIEVE IT WHEN I SEE IT</t>
        </r>
      </text>
    </comment>
  </commentList>
</comments>
</file>

<file path=xl/comments5.xml><?xml version="1.0" encoding="utf-8"?>
<comments xmlns="http://schemas.openxmlformats.org/spreadsheetml/2006/main">
  <authors>
    <author>pwelsh</author>
  </authors>
  <commentList>
    <comment ref="A1" authorId="0">
      <text>
        <r>
          <rPr>
            <b/>
            <sz val="8"/>
            <color indexed="81"/>
            <rFont val="Tahoma"/>
            <family val="2"/>
          </rPr>
          <t>pwelsh:</t>
        </r>
        <r>
          <rPr>
            <sz val="8"/>
            <color indexed="81"/>
            <rFont val="Tahoma"/>
            <family val="2"/>
          </rPr>
          <t xml:space="preserve">
12 monthly counts divided by 12 except where indicated otherwise</t>
        </r>
      </text>
    </comment>
    <comment ref="H7" authorId="0">
      <text>
        <r>
          <rPr>
            <b/>
            <sz val="8"/>
            <color indexed="81"/>
            <rFont val="Tahoma"/>
            <family val="2"/>
          </rPr>
          <t>pwelsh:</t>
        </r>
        <r>
          <rPr>
            <sz val="8"/>
            <color indexed="81"/>
            <rFont val="Tahoma"/>
            <family val="2"/>
          </rPr>
          <t xml:space="preserve">
USL_STL_SEN_Connections.xls to 0812 (sum of current YE and previous YE)/2</t>
        </r>
      </text>
    </comment>
    <comment ref="F8" authorId="0">
      <text>
        <r>
          <rPr>
            <b/>
            <sz val="8"/>
            <color indexed="81"/>
            <rFont val="Tahoma"/>
            <family val="2"/>
          </rPr>
          <t>pwelsh:</t>
        </r>
        <r>
          <rPr>
            <sz val="8"/>
            <color indexed="81"/>
            <rFont val="Tahoma"/>
            <family val="2"/>
          </rPr>
          <t xml:space="preserve">
USL_STL_SEN_Connections.xls to 0812 (sum of current YE and previous YE)/2</t>
        </r>
      </text>
    </comment>
    <comment ref="H8" authorId="0">
      <text>
        <r>
          <rPr>
            <b/>
            <sz val="8"/>
            <color indexed="81"/>
            <rFont val="Tahoma"/>
            <family val="2"/>
          </rPr>
          <t>pwelsh:</t>
        </r>
        <r>
          <rPr>
            <sz val="8"/>
            <color indexed="81"/>
            <rFont val="Tahoma"/>
            <family val="2"/>
          </rPr>
          <t xml:space="preserve">
USL_STL_SEN_Connections.xls to 0812 (sum of current YE and previous YE)/2</t>
        </r>
      </text>
    </comment>
    <comment ref="H9" authorId="0">
      <text>
        <r>
          <rPr>
            <b/>
            <sz val="8"/>
            <color indexed="81"/>
            <rFont val="Tahoma"/>
            <family val="2"/>
          </rPr>
          <t>pwelsh:</t>
        </r>
        <r>
          <rPr>
            <sz val="8"/>
            <color indexed="81"/>
            <rFont val="Tahoma"/>
            <family val="2"/>
          </rPr>
          <t xml:space="preserve">
USL_STL_SEN_Connections.xls to 0812 (sum of current YE and previous YE)/2</t>
        </r>
      </text>
    </comment>
    <comment ref="H10" authorId="0">
      <text>
        <r>
          <rPr>
            <b/>
            <sz val="8"/>
            <color indexed="81"/>
            <rFont val="Tahoma"/>
            <family val="2"/>
          </rPr>
          <t>pwelsh:</t>
        </r>
        <r>
          <rPr>
            <sz val="8"/>
            <color indexed="81"/>
            <rFont val="Tahoma"/>
            <family val="2"/>
          </rPr>
          <t xml:space="preserve">
USL_STL_SEN_Connections.xls to 0812 (sum of current YE and previous YE)/2</t>
        </r>
      </text>
    </comment>
    <comment ref="H11" authorId="0">
      <text>
        <r>
          <rPr>
            <b/>
            <sz val="8"/>
            <color indexed="81"/>
            <rFont val="Tahoma"/>
            <family val="2"/>
          </rPr>
          <t>pwelsh:</t>
        </r>
        <r>
          <rPr>
            <sz val="8"/>
            <color indexed="81"/>
            <rFont val="Tahoma"/>
            <family val="2"/>
          </rPr>
          <t xml:space="preserve">
USL_STL_SEN_Connections.xls to 0812 (sum of current YE and previous YE)/2</t>
        </r>
      </text>
    </comment>
    <comment ref="H12" authorId="0">
      <text>
        <r>
          <rPr>
            <b/>
            <sz val="8"/>
            <color indexed="81"/>
            <rFont val="Tahoma"/>
            <family val="2"/>
          </rPr>
          <t>pwelsh:</t>
        </r>
        <r>
          <rPr>
            <sz val="8"/>
            <color indexed="81"/>
            <rFont val="Tahoma"/>
            <family val="2"/>
          </rPr>
          <t xml:space="preserve">
USL_STL_SEN_Connections.xls to 0812 (sum of current YE and previous YE)/2</t>
        </r>
      </text>
    </comment>
    <comment ref="H13" authorId="0">
      <text>
        <r>
          <rPr>
            <b/>
            <sz val="8"/>
            <color indexed="81"/>
            <rFont val="Tahoma"/>
            <family val="2"/>
          </rPr>
          <t>pwelsh:</t>
        </r>
        <r>
          <rPr>
            <sz val="8"/>
            <color indexed="81"/>
            <rFont val="Tahoma"/>
            <family val="2"/>
          </rPr>
          <t xml:space="preserve">
USL_STL_SEN_Connections.xls to 0812 (sum of current YE and previous YE)/2</t>
        </r>
      </text>
    </comment>
  </commentList>
</comments>
</file>

<file path=xl/comments6.xml><?xml version="1.0" encoding="utf-8"?>
<comments xmlns="http://schemas.openxmlformats.org/spreadsheetml/2006/main">
  <authors>
    <author>pwelsh</author>
  </authors>
  <commentList>
    <comment ref="B3" authorId="0">
      <text>
        <r>
          <rPr>
            <b/>
            <sz val="8"/>
            <color indexed="81"/>
            <rFont val="Tahoma"/>
            <family val="2"/>
          </rPr>
          <t>pwelsh:</t>
        </r>
        <r>
          <rPr>
            <sz val="8"/>
            <color indexed="81"/>
            <rFont val="Tahoma"/>
            <family val="2"/>
          </rPr>
          <t xml:space="preserve">
Sale of Power_History from 1995 to 2001.xls - Quantities; no detail on GS&lt;50 - estimated</t>
        </r>
      </text>
    </comment>
    <comment ref="D3" authorId="0">
      <text>
        <r>
          <rPr>
            <b/>
            <sz val="8"/>
            <color indexed="81"/>
            <rFont val="Tahoma"/>
            <family val="2"/>
          </rPr>
          <t>pwelsh:</t>
        </r>
        <r>
          <rPr>
            <sz val="8"/>
            <color indexed="81"/>
            <rFont val="Tahoma"/>
            <family val="2"/>
          </rPr>
          <t xml:space="preserve">
Sale of Power_History from 1995 to 2001.xls - Quantities</t>
        </r>
      </text>
    </comment>
    <comment ref="E3" authorId="0">
      <text>
        <r>
          <rPr>
            <b/>
            <sz val="8"/>
            <color indexed="81"/>
            <rFont val="Tahoma"/>
            <family val="2"/>
          </rPr>
          <t>pwelsh:</t>
        </r>
        <r>
          <rPr>
            <sz val="8"/>
            <color indexed="81"/>
            <rFont val="Tahoma"/>
            <family val="2"/>
          </rPr>
          <t xml:space="preserve">
Sale of Power_History from 1995 to 2001.xls - Quantities</t>
        </r>
      </text>
    </comment>
    <comment ref="B4" authorId="0">
      <text>
        <r>
          <rPr>
            <b/>
            <sz val="8"/>
            <color indexed="81"/>
            <rFont val="Tahoma"/>
            <family val="2"/>
          </rPr>
          <t>pwelsh:</t>
        </r>
        <r>
          <rPr>
            <sz val="8"/>
            <color indexed="81"/>
            <rFont val="Tahoma"/>
            <family val="2"/>
          </rPr>
          <t xml:space="preserve">
Sale of Power_History from 1995 to 2001.xls - Quantities; no detail on GS&lt;50 - estimated</t>
        </r>
      </text>
    </comment>
    <comment ref="D4" authorId="0">
      <text>
        <r>
          <rPr>
            <b/>
            <sz val="8"/>
            <color indexed="81"/>
            <rFont val="Tahoma"/>
            <family val="2"/>
          </rPr>
          <t>pwelsh:</t>
        </r>
        <r>
          <rPr>
            <sz val="8"/>
            <color indexed="81"/>
            <rFont val="Tahoma"/>
            <family val="2"/>
          </rPr>
          <t xml:space="preserve">
Sale of Power_History from 1995 to 2001.xls - 1997 Energy Statistics</t>
        </r>
      </text>
    </comment>
    <comment ref="E4" authorId="0">
      <text>
        <r>
          <rPr>
            <b/>
            <sz val="8"/>
            <color indexed="81"/>
            <rFont val="Tahoma"/>
            <family val="2"/>
          </rPr>
          <t>pwelsh:</t>
        </r>
        <r>
          <rPr>
            <sz val="8"/>
            <color indexed="81"/>
            <rFont val="Tahoma"/>
            <family val="2"/>
          </rPr>
          <t xml:space="preserve">
Sale of Power_History from 1995 to 2001.xls - Quantities</t>
        </r>
      </text>
    </comment>
    <comment ref="B5" authorId="0">
      <text>
        <r>
          <rPr>
            <b/>
            <sz val="8"/>
            <color indexed="81"/>
            <rFont val="Tahoma"/>
            <family val="2"/>
          </rPr>
          <t>pwelsh:</t>
        </r>
        <r>
          <rPr>
            <sz val="8"/>
            <color indexed="81"/>
            <rFont val="Tahoma"/>
            <family val="2"/>
          </rPr>
          <t xml:space="preserve">
Sale of Power_History from 1995 to 2001.xls - Quantities; no detail on GS&lt;50 - estimated</t>
        </r>
      </text>
    </comment>
    <comment ref="D5" authorId="0">
      <text>
        <r>
          <rPr>
            <b/>
            <sz val="8"/>
            <color indexed="81"/>
            <rFont val="Tahoma"/>
            <family val="2"/>
          </rPr>
          <t>pwelsh:</t>
        </r>
        <r>
          <rPr>
            <sz val="8"/>
            <color indexed="81"/>
            <rFont val="Tahoma"/>
            <family val="2"/>
          </rPr>
          <t xml:space="preserve">
Sale of Power_History from 1995 to 2001.xls - Quantities</t>
        </r>
      </text>
    </comment>
    <comment ref="E5" authorId="0">
      <text>
        <r>
          <rPr>
            <b/>
            <sz val="8"/>
            <color indexed="81"/>
            <rFont val="Tahoma"/>
            <family val="2"/>
          </rPr>
          <t>pwelsh:</t>
        </r>
        <r>
          <rPr>
            <sz val="8"/>
            <color indexed="81"/>
            <rFont val="Tahoma"/>
            <family val="2"/>
          </rPr>
          <t xml:space="preserve">
Sale of Power_History from 1995 to 2001.xls - Quantities</t>
        </r>
      </text>
    </comment>
    <comment ref="B6" authorId="0">
      <text>
        <r>
          <rPr>
            <b/>
            <sz val="8"/>
            <color indexed="81"/>
            <rFont val="Tahoma"/>
            <family val="2"/>
          </rPr>
          <t>pwelsh:</t>
        </r>
        <r>
          <rPr>
            <sz val="8"/>
            <color indexed="81"/>
            <rFont val="Tahoma"/>
            <family val="2"/>
          </rPr>
          <t xml:space="preserve">
Sale of Power_History from 1995 to 2001.xls - 1999 Energy Statistics</t>
        </r>
      </text>
    </comment>
    <comment ref="D6" authorId="0">
      <text>
        <r>
          <rPr>
            <b/>
            <sz val="8"/>
            <color indexed="81"/>
            <rFont val="Tahoma"/>
            <family val="2"/>
          </rPr>
          <t>pwelsh:</t>
        </r>
        <r>
          <rPr>
            <sz val="8"/>
            <color indexed="81"/>
            <rFont val="Tahoma"/>
            <family val="2"/>
          </rPr>
          <t xml:space="preserve">
Sale of Power_History from 1995 to 2001.xls - 1999 Energy Statistics</t>
        </r>
      </text>
    </comment>
    <comment ref="E6" authorId="0">
      <text>
        <r>
          <rPr>
            <b/>
            <sz val="8"/>
            <color indexed="81"/>
            <rFont val="Tahoma"/>
            <family val="2"/>
          </rPr>
          <t>pwelsh:</t>
        </r>
        <r>
          <rPr>
            <sz val="8"/>
            <color indexed="81"/>
            <rFont val="Tahoma"/>
            <family val="2"/>
          </rPr>
          <t xml:space="preserve">
Sale of Power_History from 1995 to 2001.xls - 1999 Energy Statistics</t>
        </r>
      </text>
    </comment>
    <comment ref="B7" authorId="0">
      <text>
        <r>
          <rPr>
            <b/>
            <sz val="8"/>
            <color indexed="81"/>
            <rFont val="Tahoma"/>
            <family val="2"/>
          </rPr>
          <t>pwelsh:</t>
        </r>
        <r>
          <rPr>
            <sz val="8"/>
            <color indexed="81"/>
            <rFont val="Tahoma"/>
            <family val="2"/>
          </rPr>
          <t xml:space="preserve">
Sale of Power_History from 1995 to 2001.xls - 2000 Energy Statistics</t>
        </r>
      </text>
    </comment>
    <comment ref="D7" authorId="0">
      <text>
        <r>
          <rPr>
            <b/>
            <sz val="8"/>
            <color indexed="81"/>
            <rFont val="Tahoma"/>
            <family val="2"/>
          </rPr>
          <t>pwelsh:</t>
        </r>
        <r>
          <rPr>
            <sz val="8"/>
            <color indexed="81"/>
            <rFont val="Tahoma"/>
            <family val="2"/>
          </rPr>
          <t xml:space="preserve">
Sale of Power_History from 1995 to 2001.xls - 2000 Energy Statistics</t>
        </r>
      </text>
    </comment>
    <comment ref="E7" authorId="0">
      <text>
        <r>
          <rPr>
            <b/>
            <sz val="8"/>
            <color indexed="81"/>
            <rFont val="Tahoma"/>
            <family val="2"/>
          </rPr>
          <t>pwelsh:</t>
        </r>
        <r>
          <rPr>
            <sz val="8"/>
            <color indexed="81"/>
            <rFont val="Tahoma"/>
            <family val="2"/>
          </rPr>
          <t xml:space="preserve">
Sale of Power_History from 1995 to 2001.xls - 2000 Energy Statistics</t>
        </r>
      </text>
    </comment>
    <comment ref="B8" authorId="0">
      <text>
        <r>
          <rPr>
            <b/>
            <sz val="8"/>
            <color indexed="81"/>
            <rFont val="Tahoma"/>
            <family val="2"/>
          </rPr>
          <t>pwelsh:</t>
        </r>
        <r>
          <rPr>
            <sz val="8"/>
            <color indexed="81"/>
            <rFont val="Tahoma"/>
            <family val="2"/>
          </rPr>
          <t xml:space="preserve">
Sale of Power_History from 1995 to 2001.xls - 2001 Energy Statistics</t>
        </r>
      </text>
    </comment>
    <comment ref="D8" authorId="0">
      <text>
        <r>
          <rPr>
            <b/>
            <sz val="8"/>
            <color indexed="81"/>
            <rFont val="Tahoma"/>
            <family val="2"/>
          </rPr>
          <t>pwelsh:</t>
        </r>
        <r>
          <rPr>
            <sz val="8"/>
            <color indexed="81"/>
            <rFont val="Tahoma"/>
            <family val="2"/>
          </rPr>
          <t xml:space="preserve">
Sale of Power_History from 1995 to 2001.xls - 2001 Energy Statistics</t>
        </r>
      </text>
    </comment>
    <comment ref="E8" authorId="0">
      <text>
        <r>
          <rPr>
            <b/>
            <sz val="8"/>
            <color indexed="81"/>
            <rFont val="Tahoma"/>
            <family val="2"/>
          </rPr>
          <t>pwelsh:</t>
        </r>
        <r>
          <rPr>
            <sz val="8"/>
            <color indexed="81"/>
            <rFont val="Tahoma"/>
            <family val="2"/>
          </rPr>
          <t xml:space="preserve">
Sale of Power_History from 1995 to 2001.xls - 2001 Energy Statistics</t>
        </r>
      </text>
    </comment>
    <comment ref="B9" authorId="0">
      <text>
        <r>
          <rPr>
            <b/>
            <sz val="8"/>
            <color indexed="81"/>
            <rFont val="Tahoma"/>
            <family val="2"/>
          </rPr>
          <t>pwelsh:</t>
        </r>
        <r>
          <rPr>
            <sz val="8"/>
            <color indexed="81"/>
            <rFont val="Tahoma"/>
            <family val="2"/>
          </rPr>
          <t xml:space="preserve">
2002 LDC Energy Revenues_Summary </t>
        </r>
      </text>
    </comment>
    <comment ref="D9" authorId="0">
      <text>
        <r>
          <rPr>
            <b/>
            <sz val="8"/>
            <color indexed="81"/>
            <rFont val="Tahoma"/>
            <family val="2"/>
          </rPr>
          <t>pwelsh:</t>
        </r>
        <r>
          <rPr>
            <sz val="8"/>
            <color indexed="81"/>
            <rFont val="Tahoma"/>
            <family val="2"/>
          </rPr>
          <t xml:space="preserve">
2002 LDC Energy Revenues_Summary </t>
        </r>
      </text>
    </comment>
    <comment ref="E9" authorId="0">
      <text>
        <r>
          <rPr>
            <b/>
            <sz val="8"/>
            <color indexed="81"/>
            <rFont val="Tahoma"/>
            <family val="2"/>
          </rPr>
          <t>pwelsh:</t>
        </r>
        <r>
          <rPr>
            <sz val="8"/>
            <color indexed="81"/>
            <rFont val="Tahoma"/>
            <family val="2"/>
          </rPr>
          <t xml:space="preserve">
2002 LDC Energy Revenues_Summary </t>
        </r>
      </text>
    </comment>
    <comment ref="B10" authorId="0">
      <text>
        <r>
          <rPr>
            <b/>
            <sz val="8"/>
            <color indexed="81"/>
            <rFont val="Tahoma"/>
            <family val="2"/>
          </rPr>
          <t>pwelsh:</t>
        </r>
        <r>
          <rPr>
            <sz val="8"/>
            <color indexed="81"/>
            <rFont val="Tahoma"/>
            <family val="2"/>
          </rPr>
          <t xml:space="preserve">
2003 LDC Energy Revenues_Summary </t>
        </r>
      </text>
    </comment>
    <comment ref="D10" authorId="0">
      <text>
        <r>
          <rPr>
            <b/>
            <sz val="8"/>
            <color indexed="81"/>
            <rFont val="Tahoma"/>
            <family val="2"/>
          </rPr>
          <t>pwelsh:</t>
        </r>
        <r>
          <rPr>
            <sz val="8"/>
            <color indexed="81"/>
            <rFont val="Tahoma"/>
            <family val="2"/>
          </rPr>
          <t xml:space="preserve">
2003 LDC Energy Revenues_Summary </t>
        </r>
      </text>
    </comment>
    <comment ref="E10" authorId="0">
      <text>
        <r>
          <rPr>
            <b/>
            <sz val="8"/>
            <color indexed="81"/>
            <rFont val="Tahoma"/>
            <family val="2"/>
          </rPr>
          <t>pwelsh:</t>
        </r>
        <r>
          <rPr>
            <sz val="8"/>
            <color indexed="81"/>
            <rFont val="Tahoma"/>
            <family val="2"/>
          </rPr>
          <t xml:space="preserve">
2003 LDC Energy Revenues_Summary </t>
        </r>
      </text>
    </comment>
    <comment ref="B11" authorId="0">
      <text>
        <r>
          <rPr>
            <b/>
            <sz val="8"/>
            <color indexed="81"/>
            <rFont val="Tahoma"/>
            <family val="2"/>
          </rPr>
          <t>pwelsh:</t>
        </r>
        <r>
          <rPr>
            <sz val="8"/>
            <color indexed="81"/>
            <rFont val="Tahoma"/>
            <family val="2"/>
          </rPr>
          <t xml:space="preserve">
2004 LDC Energy Revenues_Summary </t>
        </r>
      </text>
    </comment>
    <comment ref="D11" authorId="0">
      <text>
        <r>
          <rPr>
            <b/>
            <sz val="8"/>
            <color indexed="81"/>
            <rFont val="Tahoma"/>
            <family val="2"/>
          </rPr>
          <t>pwelsh:</t>
        </r>
        <r>
          <rPr>
            <sz val="8"/>
            <color indexed="81"/>
            <rFont val="Tahoma"/>
            <family val="2"/>
          </rPr>
          <t xml:space="preserve">
2004 LDC Energy Revenues_Summary </t>
        </r>
      </text>
    </comment>
    <comment ref="E11" authorId="0">
      <text>
        <r>
          <rPr>
            <b/>
            <sz val="8"/>
            <color indexed="81"/>
            <rFont val="Tahoma"/>
            <family val="2"/>
          </rPr>
          <t>pwelsh:</t>
        </r>
        <r>
          <rPr>
            <sz val="8"/>
            <color indexed="81"/>
            <rFont val="Tahoma"/>
            <family val="2"/>
          </rPr>
          <t xml:space="preserve">
2004 LDC Energy Revenues_Summary </t>
        </r>
      </text>
    </comment>
    <comment ref="B12" authorId="0">
      <text>
        <r>
          <rPr>
            <b/>
            <sz val="8"/>
            <color indexed="81"/>
            <rFont val="Tahoma"/>
            <family val="2"/>
          </rPr>
          <t>pwelsh:</t>
        </r>
        <r>
          <rPr>
            <sz val="8"/>
            <color indexed="81"/>
            <rFont val="Tahoma"/>
            <family val="2"/>
          </rPr>
          <t xml:space="preserve">
2005 LDC Energy Revenues_Summary </t>
        </r>
      </text>
    </comment>
    <comment ref="D12" authorId="0">
      <text>
        <r>
          <rPr>
            <b/>
            <sz val="8"/>
            <color indexed="81"/>
            <rFont val="Tahoma"/>
            <family val="2"/>
          </rPr>
          <t>pwelsh:</t>
        </r>
        <r>
          <rPr>
            <sz val="8"/>
            <color indexed="81"/>
            <rFont val="Tahoma"/>
            <family val="2"/>
          </rPr>
          <t xml:space="preserve">
2005 LDC Energy Revenues_Summary </t>
        </r>
      </text>
    </comment>
    <comment ref="E12" authorId="0">
      <text>
        <r>
          <rPr>
            <b/>
            <sz val="8"/>
            <color indexed="81"/>
            <rFont val="Tahoma"/>
            <family val="2"/>
          </rPr>
          <t>pwelsh:</t>
        </r>
        <r>
          <rPr>
            <sz val="8"/>
            <color indexed="81"/>
            <rFont val="Tahoma"/>
            <family val="2"/>
          </rPr>
          <t xml:space="preserve">
2005 LDC Energy Revenues_Summary </t>
        </r>
      </text>
    </comment>
    <comment ref="B13" authorId="0">
      <text>
        <r>
          <rPr>
            <b/>
            <sz val="8"/>
            <color indexed="81"/>
            <rFont val="Tahoma"/>
            <family val="2"/>
          </rPr>
          <t>pwelsh:</t>
        </r>
        <r>
          <rPr>
            <sz val="8"/>
            <color indexed="81"/>
            <rFont val="Tahoma"/>
            <family val="2"/>
          </rPr>
          <t xml:space="preserve">
2006 LDC Energy Revenues_Summary </t>
        </r>
      </text>
    </comment>
    <comment ref="D13" authorId="0">
      <text>
        <r>
          <rPr>
            <b/>
            <sz val="8"/>
            <color indexed="81"/>
            <rFont val="Tahoma"/>
            <family val="2"/>
          </rPr>
          <t>pwelsh:</t>
        </r>
        <r>
          <rPr>
            <sz val="8"/>
            <color indexed="81"/>
            <rFont val="Tahoma"/>
            <family val="2"/>
          </rPr>
          <t xml:space="preserve">
2006 LDC Energy Revenues_Summary </t>
        </r>
      </text>
    </comment>
    <comment ref="E13" authorId="0">
      <text>
        <r>
          <rPr>
            <b/>
            <sz val="8"/>
            <color indexed="81"/>
            <rFont val="Tahoma"/>
            <family val="2"/>
          </rPr>
          <t>pwelsh:</t>
        </r>
        <r>
          <rPr>
            <sz val="8"/>
            <color indexed="81"/>
            <rFont val="Tahoma"/>
            <family val="2"/>
          </rPr>
          <t xml:space="preserve">
2006 LDC Energy Revenues_Summary </t>
        </r>
      </text>
    </comment>
    <comment ref="B14" authorId="0">
      <text>
        <r>
          <rPr>
            <b/>
            <sz val="8"/>
            <color indexed="81"/>
            <rFont val="Tahoma"/>
            <family val="2"/>
          </rPr>
          <t>pwelsh:</t>
        </r>
        <r>
          <rPr>
            <sz val="8"/>
            <color indexed="81"/>
            <rFont val="Tahoma"/>
            <family val="2"/>
          </rPr>
          <t xml:space="preserve">
2007 LDC Energy Revenues_Summary </t>
        </r>
      </text>
    </comment>
    <comment ref="D14" authorId="0">
      <text>
        <r>
          <rPr>
            <b/>
            <sz val="8"/>
            <color indexed="81"/>
            <rFont val="Tahoma"/>
            <family val="2"/>
          </rPr>
          <t>pwelsh:</t>
        </r>
        <r>
          <rPr>
            <sz val="8"/>
            <color indexed="81"/>
            <rFont val="Tahoma"/>
            <family val="2"/>
          </rPr>
          <t xml:space="preserve">
2007 LDC Energy Revenues_Summary </t>
        </r>
      </text>
    </comment>
    <comment ref="E14" authorId="0">
      <text>
        <r>
          <rPr>
            <b/>
            <sz val="8"/>
            <color indexed="81"/>
            <rFont val="Tahoma"/>
            <family val="2"/>
          </rPr>
          <t>pwelsh:</t>
        </r>
        <r>
          <rPr>
            <sz val="8"/>
            <color indexed="81"/>
            <rFont val="Tahoma"/>
            <family val="2"/>
          </rPr>
          <t xml:space="preserve">
2007 LDC Energy Revenues_Summary </t>
        </r>
      </text>
    </comment>
    <comment ref="B15" authorId="0">
      <text>
        <r>
          <rPr>
            <b/>
            <sz val="8"/>
            <color indexed="81"/>
            <rFont val="Tahoma"/>
            <family val="2"/>
          </rPr>
          <t>pwelsh:</t>
        </r>
        <r>
          <rPr>
            <sz val="8"/>
            <color indexed="81"/>
            <rFont val="Tahoma"/>
            <family val="2"/>
          </rPr>
          <t xml:space="preserve">
2008 LDC Energy Revenues_Summary</t>
        </r>
      </text>
    </comment>
    <comment ref="D15" authorId="0">
      <text>
        <r>
          <rPr>
            <b/>
            <sz val="8"/>
            <color indexed="81"/>
            <rFont val="Tahoma"/>
            <family val="2"/>
          </rPr>
          <t>pwelsh:</t>
        </r>
        <r>
          <rPr>
            <sz val="8"/>
            <color indexed="81"/>
            <rFont val="Tahoma"/>
            <family val="2"/>
          </rPr>
          <t xml:space="preserve">
2008 LDC Energy Revenues_Summary</t>
        </r>
      </text>
    </comment>
    <comment ref="E15" authorId="0">
      <text>
        <r>
          <rPr>
            <b/>
            <sz val="8"/>
            <color indexed="81"/>
            <rFont val="Tahoma"/>
            <family val="2"/>
          </rPr>
          <t>pwelsh:</t>
        </r>
        <r>
          <rPr>
            <sz val="8"/>
            <color indexed="81"/>
            <rFont val="Tahoma"/>
            <family val="2"/>
          </rPr>
          <t xml:space="preserve">
2008 LDC Energy Revenues_Summary</t>
        </r>
      </text>
    </comment>
  </commentList>
</comments>
</file>

<file path=xl/sharedStrings.xml><?xml version="1.0" encoding="utf-8"?>
<sst xmlns="http://schemas.openxmlformats.org/spreadsheetml/2006/main" count="584" uniqueCount="360">
  <si>
    <t>Loss Factor</t>
  </si>
  <si>
    <t xml:space="preserve">Residential </t>
  </si>
  <si>
    <r>
      <t>General Service</t>
    </r>
    <r>
      <rPr>
        <u/>
        <sz val="10"/>
        <rFont val="Arial"/>
        <family val="2"/>
      </rPr>
      <t xml:space="preserve">
&lt; 50 kW</t>
    </r>
  </si>
  <si>
    <t>Sentinel Lights</t>
  </si>
  <si>
    <t xml:space="preserve">Unmetered Loads </t>
  </si>
  <si>
    <t xml:space="preserve">Streetlights </t>
  </si>
  <si>
    <t>Total Billed</t>
  </si>
  <si>
    <t>Heating Degree Days</t>
  </si>
  <si>
    <t>Cooling Degree Days</t>
  </si>
  <si>
    <t>Number of Days in Month</t>
  </si>
  <si>
    <t>Number of Peak Hours</t>
  </si>
  <si>
    <t>Ontario Real GDP Monthly %</t>
  </si>
  <si>
    <t>Purchases</t>
  </si>
  <si>
    <t>Modeled Purchases</t>
  </si>
  <si>
    <t>% Difference</t>
  </si>
  <si>
    <t>Total</t>
  </si>
  <si>
    <t xml:space="preserve">Predicted Purchases </t>
  </si>
  <si>
    <t>Average</t>
  </si>
  <si>
    <t xml:space="preserve">Geomean </t>
  </si>
  <si>
    <t>Usage Per Customer</t>
  </si>
  <si>
    <t>Weather Sensitive Adjustment %</t>
  </si>
  <si>
    <t>Weather Sensitive Energy</t>
  </si>
  <si>
    <t>Weather Sensitvie Adjustment</t>
  </si>
  <si>
    <t>Weather Normal Forecast</t>
  </si>
  <si>
    <t>Check</t>
  </si>
  <si>
    <t>Weather Sensitvie Adjustment%</t>
  </si>
  <si>
    <t xml:space="preserve">Total </t>
  </si>
  <si>
    <t>Load Factor</t>
  </si>
  <si>
    <t xml:space="preserve">Used </t>
  </si>
  <si>
    <t>Spring Fall Flag</t>
  </si>
  <si>
    <t>Blackout Flag</t>
  </si>
  <si>
    <t>Population</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</si>
  <si>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</si>
  <si>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</si>
  <si>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</si>
  <si>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</si>
  <si>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</si>
  <si>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</si>
  <si>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</si>
  <si>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</si>
  <si>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</si>
  <si>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</si>
  <si>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</si>
  <si>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</si>
  <si>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</si>
  <si>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</si>
  <si>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</si>
  <si>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</si>
  <si>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</si>
  <si>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</si>
  <si>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</si>
  <si>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</si>
  <si>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Lower 95.0%</t>
  </si>
  <si>
    <t>Upper 95.0%</t>
  </si>
  <si>
    <t>Difference</t>
  </si>
  <si>
    <r>
      <t>General Service</t>
    </r>
    <r>
      <rPr>
        <u/>
        <sz val="10"/>
        <rFont val="Arial"/>
        <family val="2"/>
      </rPr>
      <t xml:space="preserve">
&gt; 50 to 999 kW</t>
    </r>
  </si>
  <si>
    <r>
      <t>General Service</t>
    </r>
    <r>
      <rPr>
        <u/>
        <sz val="10"/>
        <rFont val="Arial"/>
        <family val="2"/>
      </rPr>
      <t xml:space="preserve">
&gt; 1000 to 4999 kW</t>
    </r>
  </si>
  <si>
    <t xml:space="preserve">Growth Rate in Customer Numbers </t>
  </si>
  <si>
    <t>Weather Corrected Forecast</t>
  </si>
  <si>
    <t>Non Weather Corrected Forecast</t>
  </si>
  <si>
    <t>% Weather Sensitive</t>
  </si>
  <si>
    <t>Allocation of Weather Sensitive Amount</t>
  </si>
  <si>
    <t xml:space="preserve">  Customers</t>
  </si>
  <si>
    <t xml:space="preserve">  kWh</t>
  </si>
  <si>
    <t xml:space="preserve">  kW</t>
  </si>
  <si>
    <t>2000 Actual</t>
  </si>
  <si>
    <t xml:space="preserve">2001 Actual </t>
  </si>
  <si>
    <t xml:space="preserve">2002 Actual </t>
  </si>
  <si>
    <t xml:space="preserve">2003 Actual </t>
  </si>
  <si>
    <t xml:space="preserve">2004 Actual </t>
  </si>
  <si>
    <t xml:space="preserve">2005 Actual </t>
  </si>
  <si>
    <t xml:space="preserve">2006 Actual </t>
  </si>
  <si>
    <t xml:space="preserve">2007 Actual </t>
  </si>
  <si>
    <t xml:space="preserve">  Connections</t>
  </si>
  <si>
    <t xml:space="preserve">  Customer/Connections</t>
  </si>
  <si>
    <t>Actual kWh Purchases</t>
  </si>
  <si>
    <t>Used</t>
  </si>
  <si>
    <t>Weather Normal</t>
  </si>
  <si>
    <t>Purchased (excluding transmission losses effective Nov/04)</t>
  </si>
  <si>
    <t>Purchased (including transmission losses)</t>
  </si>
  <si>
    <t>Totals from models</t>
  </si>
  <si>
    <t>Check sb nil</t>
  </si>
  <si>
    <t>ORILLIA POWER CORPORATION</t>
  </si>
  <si>
    <t>Application</t>
  </si>
  <si>
    <t>Orillia Power Distribution Corporation</t>
  </si>
  <si>
    <t>ED-2002-0530</t>
  </si>
  <si>
    <t>E-mail: phurley@orilliapower.ca</t>
  </si>
  <si>
    <t>Last Modified:</t>
  </si>
  <si>
    <t>na</t>
  </si>
  <si>
    <t>Description</t>
  </si>
  <si>
    <t>DISTRIBUTION LOSS ADJUSTMENT FACTOR</t>
  </si>
  <si>
    <t>A</t>
  </si>
  <si>
    <t>"Wholesale" kWh IESO plus Embedded Generation</t>
  </si>
  <si>
    <t>B</t>
  </si>
  <si>
    <t>"Wholesale" kWh for Large Use customer(s)</t>
  </si>
  <si>
    <t>C</t>
  </si>
  <si>
    <t>Net "Wholesale" kWh (A)-(B)</t>
  </si>
  <si>
    <t>D</t>
  </si>
  <si>
    <t>"Retail" kWh (Distributor)</t>
  </si>
  <si>
    <t>E</t>
  </si>
  <si>
    <t>"Retail" kWh for Large Use Customer(s)</t>
  </si>
  <si>
    <t>Net "Retail" kWh (D)-(E)</t>
  </si>
  <si>
    <t>G</t>
  </si>
  <si>
    <t>Loss Factor [(C)/(F)]</t>
  </si>
  <si>
    <t>H</t>
  </si>
  <si>
    <t>SUPPLY LOSS ADJUSTMENT FACTOR</t>
  </si>
  <si>
    <t>I</t>
  </si>
  <si>
    <t>"Wholesale" kWh with Losses</t>
  </si>
  <si>
    <t>J</t>
  </si>
  <si>
    <t>"Wholesale" kWh without Losses</t>
  </si>
  <si>
    <t>K</t>
  </si>
  <si>
    <t>Supply Facility Loss Factor</t>
  </si>
  <si>
    <t>L</t>
  </si>
  <si>
    <t>TOTAL LOSS ADJUSTMENT FACTOR</t>
  </si>
  <si>
    <t>M</t>
  </si>
  <si>
    <t>SUMMARY OF LOSS FACTORS</t>
  </si>
  <si>
    <t xml:space="preserve">Distribution Loss Factor - Secondary Metered Customer &lt; 5,000kW     </t>
  </si>
  <si>
    <t>N</t>
  </si>
  <si>
    <t>Distribution Loss Factor - Primary Metered Customer &lt; 5,000kW    (H) x 0.99</t>
  </si>
  <si>
    <t xml:space="preserve">Total Loss Factor - Secondary Metered Customer &lt; 5,000kW     </t>
  </si>
  <si>
    <t>O</t>
  </si>
  <si>
    <t>Total Loss Factor - Primary Metered Customer &lt; 5,000kW    (L) x (N)</t>
  </si>
  <si>
    <t>Totals in line loss schedules</t>
  </si>
  <si>
    <t xml:space="preserve">  kwh Purchased</t>
  </si>
  <si>
    <t xml:space="preserve">  kwh Sold</t>
  </si>
  <si>
    <t>Rev#</t>
  </si>
  <si>
    <t>TT Rev Date</t>
  </si>
  <si>
    <t>Effective Date</t>
  </si>
  <si>
    <t>By</t>
  </si>
  <si>
    <t xml:space="preserve">Revision / Update Comments </t>
  </si>
  <si>
    <t>R1</t>
  </si>
  <si>
    <t>Peter Ziebart</t>
  </si>
  <si>
    <t xml:space="preserve">Two (2) Meter Upgrades on Orillia Square West and Orillia Square East. </t>
  </si>
  <si>
    <t>R2</t>
  </si>
  <si>
    <t>Gary Johnson</t>
  </si>
  <si>
    <t xml:space="preserve">Upgrade of Orillia Powers meters M1,7 &amp; 8 by RODAN at Orillia TS. New meters 1000008150, 1000008190 &amp; 1000008200 respectively. Also, de-registration of the Orillia Square East &amp; West meters as they became redundant with the installation of the new meters </t>
  </si>
  <si>
    <t>R3</t>
  </si>
  <si>
    <t>For Record Purposes Only</t>
  </si>
  <si>
    <t>1.For account 18951-99006, Swift Rapid GS operator should be "-", not + as shown.  Generator's output is a deduction to Orillia's load on M1 to reduce their RTSR obligation per amendment to Electricity Act.</t>
  </si>
  <si>
    <t>2.For account 01139-76006, Minden GS operator should be "-", not + as shown.  Generator's output is a deduction to Orillia's load on M8 to reduce their RTSR obligation per amendment to Electricity Act.</t>
  </si>
  <si>
    <t xml:space="preserve">3. Deleted Swift Rapid and Minden accounts on the bottom of the TT.  These two RGs have individual TT's set up in the RG folder.  Since we bill and pay Orillia as per the Retail Generator TTs there was no billing impact.  These two RS accounts should not </t>
  </si>
  <si>
    <t>R4</t>
  </si>
  <si>
    <t>New M4 feeder added to Orillia, 1000008210. New account &amp; SPID assigned.</t>
  </si>
  <si>
    <t>New RTSR Aggregation TT</t>
  </si>
  <si>
    <t>Revised Mar 23, 2005 re Feb 25, 2005 TT revision.</t>
  </si>
  <si>
    <t>Ann Drzazga</t>
  </si>
  <si>
    <t>Completed RTSR TT QA Mar 24/05. Deleted Index #'s from Retail TT tab. Also deleted the CSS Acct # &amp; DP point for Orillia M4 from Retail TT tab. Added colour coding legend to Pre Aggr TT as it was missing.</t>
  </si>
  <si>
    <t>R5</t>
  </si>
  <si>
    <t>John Guevara</t>
  </si>
  <si>
    <t>DX Tariff added effective May 1, 2006.</t>
  </si>
  <si>
    <t>R6</t>
  </si>
  <si>
    <t>Effective Dec 1, 2006, the TLF of 3.4% applied to Orillia Power Distribution's M1 (1000008150) &amp; M8 (1000008200) metering points was replaced with radial line and transformation SSLAs. 2/8 of the full SSLA for transformation is being applied to the M1 &amp; M</t>
  </si>
  <si>
    <t>R7</t>
  </si>
  <si>
    <t>R8</t>
  </si>
  <si>
    <t>On the 87M3 feeder from Minden TS, MSP PUI replaced the Recorder/Meter for Orillia Power Generation Corp's embedded generator "Minden GS". MPID 0200488920 was replaced by MPID 0200600784 effective May 29, 2008.</t>
  </si>
  <si>
    <r>
      <t>For Record Purposes Only:</t>
    </r>
    <r>
      <rPr>
        <sz val="10"/>
        <rFont val="Times New Roman"/>
        <family val="1"/>
      </rPr>
      <t xml:space="preserve"> RTSR and LV TTs revised to apply 3.4% TLF to CSS SPID 15108132 and 32732762 at the SPID level after netting the respective feeders and embedded generators. That is,   </t>
    </r>
    <r>
      <rPr>
        <b/>
        <sz val="10"/>
        <rFont val="Times New Roman"/>
        <family val="1"/>
      </rPr>
      <t xml:space="preserve">1.034[(Orillia M1 Feeder) - (Swift Rapid GS)(1 - 0.01)] </t>
    </r>
    <r>
      <rPr>
        <sz val="10"/>
        <rFont val="Times New Roman"/>
        <family val="1"/>
      </rPr>
      <t>for SP</t>
    </r>
  </si>
  <si>
    <t>The MV-Star implementation of Revision R6 applied the transformation SSLA to M1 and M8 individually instead of M1 and M8 summed. This revision R7 of the RTSR &amp; LV TTs also includes an RTSR SM Map to more clearly show the correct summary meter parent/child</t>
  </si>
  <si>
    <t>Transmission losses</t>
  </si>
  <si>
    <t>Transmission supply loss adjustment factor __ IESO</t>
  </si>
  <si>
    <t>Transmission supply loss adjustment factor __ Embedded Generation</t>
  </si>
  <si>
    <t>Transmission supply loss adjustment factor __ COMBINED</t>
  </si>
  <si>
    <t>Distribution losses</t>
  </si>
  <si>
    <t>kWh SOLD excluding distribution losses</t>
  </si>
  <si>
    <t>Distribution loss adjustment factor</t>
  </si>
  <si>
    <t>LINE LOSS ADJUSTMENT FACTORS</t>
  </si>
  <si>
    <t>Transmission supply loss adjustment factor</t>
  </si>
  <si>
    <t>Total loss adjustment factor</t>
  </si>
  <si>
    <t>Average 2002-2004</t>
  </si>
  <si>
    <t>Regression Analysis Results _ Summary Output</t>
  </si>
  <si>
    <t>Check totals should be zero</t>
  </si>
  <si>
    <t>Adjustment for Load Displacement</t>
  </si>
  <si>
    <t>OSMH</t>
  </si>
  <si>
    <t>Hours limit per year</t>
  </si>
  <si>
    <t>Number of units</t>
  </si>
  <si>
    <t>Capacity in kw</t>
  </si>
  <si>
    <t>Hours per year</t>
  </si>
  <si>
    <t>kWh per year maximum</t>
  </si>
  <si>
    <t>% of year allowed to run</t>
  </si>
  <si>
    <t>kWh per year running</t>
  </si>
  <si>
    <t>OPP</t>
  </si>
  <si>
    <t>Totals</t>
  </si>
  <si>
    <t>LOAD DISPLACEMENT</t>
  </si>
  <si>
    <t>TOTAL POWER PURCHASED - ACTUAL VS PREDICTED</t>
  </si>
  <si>
    <t>RESIDENTIAL CLASS</t>
  </si>
  <si>
    <t>GENERAL SERVICE LESS THAN 50 KW CLASS</t>
  </si>
  <si>
    <t>GENERAL SERVICE GREATER THAN OR EQUAL TO 50 KW CLASS</t>
  </si>
  <si>
    <t>UNMETERED SCATTERED LOAD CLASS</t>
  </si>
  <si>
    <t>SENTINEL LIGHTING CLASS</t>
  </si>
  <si>
    <t>STREETLIGHT CLASS</t>
  </si>
  <si>
    <t>SUMMARY OF POWER BILLED TO RETAIL CUSTOMERS - CUSTOMERS, CONNECTIONS, KW &amp; KWH</t>
  </si>
  <si>
    <t xml:space="preserve">  Adjustment for Load Displacement</t>
  </si>
  <si>
    <t xml:space="preserve">  Adjusted Billed kWh</t>
  </si>
  <si>
    <t xml:space="preserve">  Billed kWh</t>
  </si>
  <si>
    <t xml:space="preserve">  % Difference</t>
  </si>
  <si>
    <t xml:space="preserve">  Predicted kWh Purchases</t>
  </si>
  <si>
    <t xml:space="preserve">  Actual kWh Purchases</t>
  </si>
  <si>
    <t>TOTAL POWER BILLED TO RETAIL CUSTOMERS -  ALL CLASSES</t>
  </si>
  <si>
    <t>CHECKS AND BALANCES</t>
  </si>
  <si>
    <t xml:space="preserve">  Adjustment for Load Displacement and losses</t>
  </si>
  <si>
    <t xml:space="preserve">  Total loss adjustment factor</t>
  </si>
  <si>
    <t>Year</t>
  </si>
  <si>
    <t>Billed (GWh)</t>
  </si>
  <si>
    <t>Growth 
(GWh)</t>
  </si>
  <si>
    <t>Percent 
Change</t>
  </si>
  <si>
    <t>Customer/
Connection
Count</t>
  </si>
  <si>
    <t xml:space="preserve">Growth </t>
  </si>
  <si>
    <t>Percent 
Change
(%)</t>
  </si>
  <si>
    <t>Number of Customers/Connections</t>
  </si>
  <si>
    <t>TOTAL</t>
  </si>
  <si>
    <t>Billed Energy (GWh)</t>
  </si>
  <si>
    <t>Energy Usage per Customer/Connection (kWh per customer/connection)</t>
  </si>
  <si>
    <t>Annual Growth Rate in Usage per Customer/Connection</t>
  </si>
  <si>
    <t xml:space="preserve">Actual </t>
  </si>
  <si>
    <t xml:space="preserve">Predicted </t>
  </si>
  <si>
    <t>Growth Rate in Customer/Connection</t>
  </si>
  <si>
    <t>Geometric Mean</t>
  </si>
  <si>
    <t xml:space="preserve">Annual kWh Usage Per Customer/Connection </t>
  </si>
  <si>
    <t>Forecast Annual kWh Usage per Customers/Connection</t>
  </si>
  <si>
    <t>Non-normalized Weather Billed Energy Forecast (GWh)</t>
  </si>
  <si>
    <t>Weather Sensitivity</t>
  </si>
  <si>
    <t>Adjustment for Weather (GWh)</t>
  </si>
  <si>
    <t>Weather Normalized Billed Energy Forecast (GWh)</t>
  </si>
  <si>
    <t xml:space="preserve">  kW from applicable classes</t>
  </si>
  <si>
    <t>Adjustments for Load Displacement</t>
  </si>
  <si>
    <t>Total to 2008</t>
  </si>
  <si>
    <t xml:space="preserve">2008 Actual </t>
  </si>
  <si>
    <t>Average 2006-2008</t>
  </si>
  <si>
    <t>2008 Actual</t>
  </si>
  <si>
    <t>SUMMARY OUTPUT</t>
  </si>
  <si>
    <t>X Variable 1</t>
  </si>
  <si>
    <t>X Variable 2</t>
  </si>
  <si>
    <t>X Variable 3</t>
  </si>
  <si>
    <t>X Variable 4</t>
  </si>
  <si>
    <t>X Variable 5</t>
  </si>
  <si>
    <t>X Variable 6</t>
  </si>
  <si>
    <t>X Variable 7</t>
  </si>
  <si>
    <t>X Variable 8</t>
  </si>
  <si>
    <t>EB-2009-</t>
  </si>
  <si>
    <t>2010 WEATHER NORMALIZED LOAD FORECAST FOR TEST YEAR BASED ON REGRESSION ANALYSIS - BY CLASS</t>
  </si>
  <si>
    <t>2010 WEATHER NORMALIZED LOAD FORECAST FOR TEST YEAR BASED ON REGRESSION ANALYSIS - SUMMARY TOTALS</t>
  </si>
  <si>
    <t>Regression Run on March 29, 2009</t>
  </si>
  <si>
    <t>2009 kWh Displacement</t>
  </si>
  <si>
    <t>2010 kWh Displacement</t>
  </si>
  <si>
    <t>Streetlight Connections</t>
  </si>
  <si>
    <t>Sentinel Lights Connections</t>
  </si>
  <si>
    <t>Unmetered Loads  Connections</t>
  </si>
  <si>
    <t>Counts Dec 31</t>
  </si>
  <si>
    <t>&gt;&gt;&gt;&gt;&gt;&gt;&gt;&gt;</t>
  </si>
  <si>
    <t>&lt;&lt;&lt; Weather Normal Purchases Projection</t>
  </si>
  <si>
    <t>Normalized Billed Projection Adjusted for losses &gt;&gt;&gt;&gt;&gt;&gt;</t>
  </si>
  <si>
    <r>
      <t>General Service</t>
    </r>
    <r>
      <rPr>
        <b/>
        <u/>
        <sz val="10"/>
        <rFont val="Arial"/>
        <family val="2"/>
      </rPr>
      <t xml:space="preserve">
&lt; 50 kW</t>
    </r>
  </si>
  <si>
    <r>
      <t>General Service</t>
    </r>
    <r>
      <rPr>
        <b/>
        <u/>
        <sz val="10"/>
        <rFont val="Arial"/>
        <family val="2"/>
      </rPr>
      <t xml:space="preserve">
&gt; 50 to 999 kW</t>
    </r>
  </si>
  <si>
    <r>
      <t>General Service</t>
    </r>
    <r>
      <rPr>
        <b/>
        <u/>
        <sz val="10"/>
        <rFont val="Arial"/>
        <family val="2"/>
      </rPr>
      <t xml:space="preserve">
&gt; 1000 to 4999 kW</t>
    </r>
  </si>
  <si>
    <t>&lt;&lt;&lt; Weather Adjusted Billed Prediction</t>
  </si>
  <si>
    <t>&lt;&lt;&lt; Non Weather Billed Prediction</t>
  </si>
  <si>
    <t>&lt;&lt;&lt; Weather Adjustment</t>
  </si>
  <si>
    <t>&lt;&lt;&lt; Load Displacement Adjustment</t>
  </si>
  <si>
    <t>&lt;&lt;&lt; Prediction Billed</t>
  </si>
  <si>
    <t>Avg 06 - 08</t>
  </si>
  <si>
    <t>POWER PURCHASED__FROM IESO</t>
  </si>
  <si>
    <t>POWER PURCHASED__FROM EMBEDDED GENERATION</t>
  </si>
  <si>
    <t>POWER PURCHASED__COMBINED</t>
  </si>
  <si>
    <t>POWER SOLD</t>
  </si>
  <si>
    <t>kWh purchased including TX supply losses _from IESO</t>
  </si>
  <si>
    <t>kWh purchased excluding TX supply losses __ from IESO</t>
  </si>
  <si>
    <t>kWh purchased including TX supply losses _from Embedded Generation</t>
  </si>
  <si>
    <t>kWh purchased excluding TX supply losses __ from Embedded Generation</t>
  </si>
  <si>
    <t>kWh purchased including TX supply losses __ COMBINED</t>
  </si>
  <si>
    <t>kWh purchased excluding TX supply losses __ COMBINED</t>
  </si>
  <si>
    <t xml:space="preserve">  Predicted kWh Purchases Adjusted</t>
  </si>
  <si>
    <t>Rounding differences</t>
  </si>
  <si>
    <t>2009 Weather Normal Bridge</t>
  </si>
  <si>
    <t>2010 Weather Normal Test</t>
  </si>
  <si>
    <t>BILLING DETERMINANTS BY CLASS</t>
  </si>
  <si>
    <t>ACTUAL AND PREDICTED KWH PURCHASES</t>
  </si>
  <si>
    <t>Predicted kWh Purchases before load displacement</t>
  </si>
  <si>
    <t>Revised Predicted kWh Purchases after load disp.</t>
  </si>
  <si>
    <t>% Difference between actual and predicted purchases</t>
  </si>
  <si>
    <t xml:space="preserve">  Total LAF for Load Displacement</t>
  </si>
  <si>
    <t>2006 Board Approved</t>
  </si>
  <si>
    <t>Table 3-1: Summary of Load and Customer/Connection Forecast</t>
  </si>
  <si>
    <t>Table 3-3: Annual Usage per Customer/Connection by Rate Class</t>
  </si>
  <si>
    <t>Table 3-7: Historical Customer/Connection Data</t>
  </si>
  <si>
    <t>Table 3-8: Growth Rate in Customer/Connections</t>
  </si>
  <si>
    <t>Table 3-9: Customer/Connection Forecast</t>
  </si>
  <si>
    <t>Table 3-10: Historical Annual Usage per Customer</t>
  </si>
  <si>
    <t>Table 3-11: Growth Rate in Usage Per Customer/Connection</t>
  </si>
  <si>
    <t>Table 3-12: Forecast Annual kWh Usage per Customer/Connection</t>
  </si>
  <si>
    <t>Table 3-13: Non-normalized Weather Billed Energy Forecast</t>
  </si>
  <si>
    <t>Table 3-14: Weather Sensitivity by Rate Class</t>
  </si>
  <si>
    <t xml:space="preserve">Table 3-15: Alignment of Non-normal to Weather Normal Forecast </t>
  </si>
  <si>
    <t>Table 3-16: Historical Annual kW per Applicable Rate Class</t>
  </si>
  <si>
    <t>Table 3-17: Historical kW/KWh Ratio per Applicable Rate Class</t>
  </si>
  <si>
    <t>Table 3-18: kW Forecast by Applicable Rate Class</t>
  </si>
  <si>
    <t>Billed Energy (GWh) and Customer Count / Connections</t>
  </si>
  <si>
    <t>Table 3-2: Billed Energy and Number of Customers / Connections by Rate Class</t>
  </si>
  <si>
    <t>Purchased Energy (GWh)</t>
  </si>
  <si>
    <t>Growth Rate in Customers/Connections</t>
  </si>
  <si>
    <t>Forecast number of Customers/Connections</t>
  </si>
  <si>
    <t>NON-normalized Weather Billed Energy Forecast (GWh)</t>
  </si>
  <si>
    <t>2009 (Not Normalized)</t>
  </si>
  <si>
    <t>2010 (Not Normalized)</t>
  </si>
  <si>
    <t>2009 Normalized Bridge</t>
  </si>
  <si>
    <t>2010 Normalized Test</t>
  </si>
  <si>
    <t>2009 NON-Normalized Bridge</t>
  </si>
  <si>
    <t>2010 NON-Normalized Test</t>
  </si>
  <si>
    <t>Billed Annual kW</t>
  </si>
  <si>
    <t>Ratio of kW to kWh</t>
  </si>
  <si>
    <t>Predicted Billed kW</t>
  </si>
  <si>
    <t>2008 WN</t>
  </si>
  <si>
    <t>ORILLIA_2010_Load Forecast</t>
  </si>
  <si>
    <t>2010 Rates Rebasing Application</t>
  </si>
  <si>
    <r>
      <t>Name:</t>
    </r>
    <r>
      <rPr>
        <sz val="10"/>
        <color indexed="18"/>
        <rFont val="Arial"/>
        <family val="2"/>
      </rPr>
      <t xml:space="preserve">  Patrick J. Hurley</t>
    </r>
  </si>
  <si>
    <r>
      <t>Telephone:</t>
    </r>
    <r>
      <rPr>
        <sz val="10"/>
        <color indexed="18"/>
        <rFont val="Arial"/>
        <family val="2"/>
      </rPr>
      <t xml:space="preserve">  705-326-2495 ext 222</t>
    </r>
  </si>
  <si>
    <t>Counts Annualized Average</t>
  </si>
  <si>
    <t>REFERENCE ONLY:</t>
  </si>
  <si>
    <t>2009 WN Bridge</t>
  </si>
  <si>
    <t>2010 WN Test</t>
  </si>
  <si>
    <t xml:space="preserve"> 2006 Board Approved vs 2006 Actual</t>
  </si>
  <si>
    <t>Table 3-4: Statistcial Results</t>
  </si>
  <si>
    <t>Value</t>
  </si>
  <si>
    <t>Statistic</t>
  </si>
  <si>
    <t>F Test</t>
  </si>
  <si>
    <t>T-stats by Coefficient</t>
  </si>
  <si>
    <t>Table 3-5: OPDC’s Total System Purchases</t>
  </si>
  <si>
    <t>Ten Year Avearge Sensitivity</t>
  </si>
  <si>
    <t>2008 Weather Normal - 10 year average</t>
  </si>
  <si>
    <t>2008 Weather Normal - 20 year trend</t>
  </si>
  <si>
    <t>2008 Weather Normal - 13 year average</t>
  </si>
  <si>
    <t>20 Year Trend Sensitivity</t>
  </si>
  <si>
    <t>HDD</t>
  </si>
  <si>
    <t>Jan</t>
  </si>
  <si>
    <t>Feb</t>
  </si>
  <si>
    <t>Mar</t>
  </si>
  <si>
    <t>Apr</t>
  </si>
  <si>
    <t>May</t>
  </si>
  <si>
    <t>Jun</t>
  </si>
  <si>
    <t>Jul</t>
  </si>
  <si>
    <t>Aug</t>
  </si>
  <si>
    <t>Sep</t>
  </si>
  <si>
    <t>Oct</t>
  </si>
  <si>
    <t>Nov</t>
  </si>
  <si>
    <t>Dec</t>
  </si>
  <si>
    <t>CDD</t>
  </si>
  <si>
    <t>Table 3-6: 2009 and 2010 Weather Normal Forecasted Purchases</t>
  </si>
  <si>
    <t>Weather Normal - 13 year average</t>
  </si>
  <si>
    <t>Weather Normal - 10 year average</t>
  </si>
  <si>
    <t>Weather Normal - 20 year trend</t>
  </si>
  <si>
    <t>Adjustment to Billed Energy Forecast for Load Displacement Generation</t>
  </si>
  <si>
    <t>Table 3-19: Summary of Forecast</t>
  </si>
  <si>
    <t>Residential Class</t>
  </si>
  <si>
    <t>General Service Less than 50 kW Class</t>
  </si>
  <si>
    <t>General Service Greater than or Equal to 50 kW Class</t>
  </si>
  <si>
    <t>Streetlight Class</t>
  </si>
  <si>
    <t>Sentinel Lighting Class</t>
  </si>
  <si>
    <t>Unmetered Scattered Load Class</t>
  </si>
  <si>
    <t>Distribution Loss Adjustment Factor</t>
  </si>
  <si>
    <t>Supply Loss Adjustment Factor</t>
  </si>
  <si>
    <t>Total Loss Adjustment Factor (H) + (L)</t>
  </si>
  <si>
    <t>Table 8-11: LOSS FACTOR CALCULATIONS 2002 to 2008</t>
  </si>
</sst>
</file>

<file path=xl/styles.xml><?xml version="1.0" encoding="utf-8"?>
<styleSheet xmlns="http://schemas.openxmlformats.org/spreadsheetml/2006/main">
  <numFmts count="20">
    <numFmt numFmtId="5" formatCode="&quot;$&quot;#,##0_);\(&quot;$&quot;#,##0\)"/>
    <numFmt numFmtId="41" formatCode="_(* #,##0_);_(* \(#,##0\);_(* &quot;-&quot;_);_(@_)"/>
    <numFmt numFmtId="43" formatCode="_(* #,##0.00_);_(* \(#,##0.00\);_(* &quot;-&quot;??_);_(@_)"/>
    <numFmt numFmtId="164" formatCode="_-* #,##0.00_-;\-* #,##0.00_-;_-* &quot;-&quot;??_-;_-@_-"/>
    <numFmt numFmtId="165" formatCode="0.0%"/>
    <numFmt numFmtId="166" formatCode="#,##0;\(#,##0\)"/>
    <numFmt numFmtId="167" formatCode="0.0000"/>
    <numFmt numFmtId="168" formatCode="#,##0.0000"/>
    <numFmt numFmtId="169" formatCode="0.0000%"/>
    <numFmt numFmtId="170" formatCode="#,##0.000"/>
    <numFmt numFmtId="171" formatCode="_-* #,##0_-;\-* #,##0_-;_-* &quot;-&quot;??_-;_-@_-"/>
    <numFmt numFmtId="172" formatCode="_(* #,##0.0000_);_(* \(#,##0.0000\);_(* &quot;-&quot;??_);_(@_)"/>
    <numFmt numFmtId="173" formatCode="#,##0.0"/>
    <numFmt numFmtId="174" formatCode="#,##0.0%;[Red]\(#,##0.0%\)"/>
    <numFmt numFmtId="175" formatCode="0.0"/>
    <numFmt numFmtId="176" formatCode="#,##0.0;\(#,##0.0\)"/>
    <numFmt numFmtId="177" formatCode="0.0%;\(0.0%\)"/>
    <numFmt numFmtId="178" formatCode="0.0000%;\(0.0%\)"/>
    <numFmt numFmtId="179" formatCode="0.000000"/>
    <numFmt numFmtId="180" formatCode="0.0;\(0.0\)"/>
  </numFmts>
  <fonts count="86">
    <font>
      <sz val="10"/>
      <name val="Arial"/>
    </font>
    <font>
      <sz val="10"/>
      <name val="Arial"/>
      <family val="2"/>
    </font>
    <font>
      <sz val="10"/>
      <name val="Arial"/>
      <family val="2"/>
    </font>
    <font>
      <u/>
      <sz val="10"/>
      <name val="Arial"/>
      <family val="2"/>
    </font>
    <font>
      <b/>
      <sz val="10"/>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8"/>
      <name val="Arial"/>
      <family val="2"/>
    </font>
    <font>
      <b/>
      <sz val="1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4"/>
      <name val="Arial"/>
      <family val="2"/>
    </font>
    <font>
      <b/>
      <sz val="11"/>
      <color indexed="63"/>
      <name val="Calibri"/>
      <family val="2"/>
    </font>
    <font>
      <b/>
      <sz val="14"/>
      <name val="Arial"/>
      <family val="2"/>
    </font>
    <font>
      <b/>
      <sz val="18"/>
      <color indexed="56"/>
      <name val="Cambria"/>
      <family val="2"/>
    </font>
    <font>
      <sz val="11"/>
      <color indexed="10"/>
      <name val="Calibri"/>
      <family val="2"/>
    </font>
    <font>
      <sz val="14"/>
      <color indexed="13"/>
      <name val="Arial"/>
      <family val="2"/>
    </font>
    <font>
      <sz val="14"/>
      <color indexed="18"/>
      <name val="Arial"/>
      <family val="2"/>
    </font>
    <font>
      <sz val="20"/>
      <color indexed="14"/>
      <name val="Arial Black"/>
      <family val="2"/>
    </font>
    <font>
      <b/>
      <i/>
      <sz val="14"/>
      <color indexed="9"/>
      <name val="Arial"/>
      <family val="2"/>
    </font>
    <font>
      <b/>
      <i/>
      <sz val="16"/>
      <color indexed="9"/>
      <name val="Arial"/>
      <family val="2"/>
    </font>
    <font>
      <b/>
      <sz val="10"/>
      <color indexed="9"/>
      <name val="Arial"/>
      <family val="2"/>
    </font>
    <font>
      <sz val="10"/>
      <name val="Times New Roman"/>
      <family val="1"/>
    </font>
    <font>
      <b/>
      <u/>
      <sz val="10"/>
      <name val="Times New Roman"/>
      <family val="1"/>
    </font>
    <font>
      <b/>
      <sz val="10"/>
      <name val="Times New Roman"/>
      <family val="1"/>
    </font>
    <font>
      <sz val="12"/>
      <name val="Arial"/>
      <family val="2"/>
    </font>
    <font>
      <b/>
      <u/>
      <sz val="10"/>
      <color indexed="9"/>
      <name val="Arial"/>
      <family val="2"/>
    </font>
    <font>
      <sz val="10"/>
      <color indexed="8"/>
      <name val="Arial"/>
      <family val="2"/>
    </font>
    <font>
      <b/>
      <sz val="8"/>
      <name val="Arial"/>
      <family val="2"/>
    </font>
    <font>
      <sz val="8"/>
      <name val="Arial"/>
      <family val="2"/>
    </font>
    <font>
      <b/>
      <sz val="8"/>
      <color indexed="58"/>
      <name val="Arial"/>
      <family val="2"/>
    </font>
    <font>
      <b/>
      <sz val="11"/>
      <color indexed="58"/>
      <name val="Arial"/>
      <family val="2"/>
    </font>
    <font>
      <b/>
      <sz val="10"/>
      <color indexed="58"/>
      <name val="Arial"/>
      <family val="2"/>
    </font>
    <font>
      <b/>
      <sz val="8"/>
      <color indexed="9"/>
      <name val="Arial"/>
      <family val="2"/>
    </font>
    <font>
      <b/>
      <sz val="8"/>
      <color indexed="9"/>
      <name val="Arial"/>
      <family val="2"/>
    </font>
    <font>
      <sz val="8"/>
      <color indexed="58"/>
      <name val="Arial"/>
      <family val="2"/>
    </font>
    <font>
      <b/>
      <sz val="8"/>
      <color indexed="58"/>
      <name val="Arial"/>
      <family val="2"/>
    </font>
    <font>
      <sz val="10"/>
      <color indexed="58"/>
      <name val="Arial"/>
      <family val="2"/>
    </font>
    <font>
      <b/>
      <sz val="10"/>
      <color indexed="58"/>
      <name val="Arial"/>
      <family val="2"/>
    </font>
    <font>
      <b/>
      <sz val="12"/>
      <color indexed="58"/>
      <name val="Arial"/>
      <family val="2"/>
    </font>
    <font>
      <i/>
      <sz val="10"/>
      <color indexed="58"/>
      <name val="Arial"/>
      <family val="2"/>
    </font>
    <font>
      <i/>
      <sz val="8"/>
      <color indexed="58"/>
      <name val="Arial"/>
      <family val="2"/>
    </font>
    <font>
      <sz val="8"/>
      <color indexed="58"/>
      <name val="Arial"/>
      <family val="2"/>
    </font>
    <font>
      <b/>
      <i/>
      <sz val="8"/>
      <color indexed="58"/>
      <name val="Arial"/>
      <family val="2"/>
    </font>
    <font>
      <sz val="8"/>
      <name val="Arial"/>
      <family val="2"/>
    </font>
    <font>
      <sz val="10"/>
      <color indexed="18"/>
      <name val="Arial"/>
      <family val="2"/>
    </font>
    <font>
      <u/>
      <sz val="10"/>
      <color indexed="18"/>
      <name val="Arial"/>
      <family val="2"/>
    </font>
    <font>
      <sz val="10"/>
      <color indexed="18"/>
      <name val="Arial"/>
      <family val="2"/>
    </font>
    <font>
      <b/>
      <sz val="10"/>
      <color indexed="18"/>
      <name val="Arial"/>
      <family val="2"/>
    </font>
    <font>
      <u/>
      <sz val="10"/>
      <color indexed="18"/>
      <name val="Arial"/>
      <family val="2"/>
    </font>
    <font>
      <b/>
      <u/>
      <sz val="10"/>
      <name val="Arial"/>
      <family val="2"/>
    </font>
    <font>
      <b/>
      <i/>
      <sz val="10"/>
      <color indexed="18"/>
      <name val="Arial"/>
      <family val="2"/>
    </font>
    <font>
      <sz val="8"/>
      <color indexed="18"/>
      <name val="Arial"/>
      <family val="2"/>
    </font>
    <font>
      <b/>
      <sz val="8"/>
      <color indexed="18"/>
      <name val="Arial"/>
      <family val="2"/>
    </font>
    <font>
      <b/>
      <sz val="8"/>
      <color indexed="18"/>
      <name val="Arial"/>
      <family val="2"/>
    </font>
    <font>
      <sz val="8"/>
      <color indexed="18"/>
      <name val="Arial"/>
      <family val="2"/>
    </font>
    <font>
      <sz val="8"/>
      <color indexed="18"/>
      <name val="Arial Black"/>
      <family val="2"/>
    </font>
    <font>
      <b/>
      <i/>
      <sz val="8"/>
      <color indexed="18"/>
      <name val="Arial"/>
      <family val="2"/>
    </font>
    <font>
      <b/>
      <sz val="8"/>
      <name val="Arial"/>
      <family val="2"/>
    </font>
    <font>
      <b/>
      <i/>
      <sz val="8"/>
      <name val="Arial"/>
      <family val="2"/>
    </font>
    <font>
      <sz val="8"/>
      <name val="Arial Black"/>
      <family val="2"/>
    </font>
    <font>
      <b/>
      <i/>
      <sz val="10"/>
      <color indexed="58"/>
      <name val="Arial"/>
      <family val="2"/>
    </font>
    <font>
      <b/>
      <sz val="36"/>
      <color indexed="18"/>
      <name val="Arial Black"/>
      <family val="2"/>
    </font>
    <font>
      <sz val="26"/>
      <color indexed="58"/>
      <name val="Arial Black"/>
      <family val="2"/>
    </font>
    <font>
      <sz val="14"/>
      <color indexed="18"/>
      <name val="Arial"/>
      <family val="2"/>
    </font>
    <font>
      <b/>
      <sz val="8"/>
      <color indexed="48"/>
      <name val="Arial"/>
      <family val="2"/>
    </font>
    <font>
      <b/>
      <sz val="8"/>
      <color indexed="48"/>
      <name val="Arial"/>
      <family val="2"/>
    </font>
    <font>
      <b/>
      <sz val="8"/>
      <color indexed="16"/>
      <name val="Arial"/>
      <family val="2"/>
    </font>
    <font>
      <b/>
      <sz val="10"/>
      <color indexed="12"/>
      <name val="Arial"/>
      <family val="2"/>
    </font>
    <font>
      <sz val="10"/>
      <color indexed="8"/>
      <name val="Arial"/>
      <family val="2"/>
    </font>
    <font>
      <sz val="10"/>
      <name val="Arial"/>
      <family val="2"/>
    </font>
    <font>
      <b/>
      <sz val="10"/>
      <name val="Arial"/>
      <family val="2"/>
    </font>
    <font>
      <sz val="10"/>
      <name val="Arial"/>
      <family val="2"/>
    </font>
    <font>
      <b/>
      <sz val="10"/>
      <color indexed="9"/>
      <name val="Arial"/>
      <family val="2"/>
    </font>
    <font>
      <sz val="1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58"/>
        <bgColor indexed="64"/>
      </patternFill>
    </fill>
    <fill>
      <patternFill patternType="solid">
        <fgColor indexed="44"/>
        <bgColor indexed="64"/>
      </patternFill>
    </fill>
    <fill>
      <patternFill patternType="solid">
        <fgColor indexed="18"/>
        <bgColor indexed="64"/>
      </patternFill>
    </fill>
    <fill>
      <patternFill patternType="solid">
        <fgColor indexed="16"/>
        <bgColor indexed="64"/>
      </patternFill>
    </fill>
    <fill>
      <patternFill patternType="solid">
        <fgColor indexed="9"/>
        <bgColor indexed="64"/>
      </patternFill>
    </fill>
    <fill>
      <patternFill patternType="solid">
        <fgColor indexed="11"/>
        <bgColor indexed="64"/>
      </patternFill>
    </fill>
    <fill>
      <patternFill patternType="solid">
        <fgColor indexed="46"/>
        <bgColor indexed="64"/>
      </patternFill>
    </fill>
    <fill>
      <patternFill patternType="solid">
        <fgColor indexed="10"/>
        <bgColor indexed="64"/>
      </patternFill>
    </fill>
    <fill>
      <patternFill patternType="solid">
        <fgColor indexed="48"/>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double">
        <color indexed="0"/>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57"/>
      </left>
      <right style="medium">
        <color indexed="57"/>
      </right>
      <top style="medium">
        <color indexed="57"/>
      </top>
      <bottom style="medium">
        <color indexed="57"/>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61">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3" fontId="1" fillId="0" borderId="0" applyFont="0" applyFill="0" applyBorder="0" applyAlignment="0" applyProtection="0"/>
    <xf numFmtId="5" fontId="1" fillId="0" borderId="0" applyFont="0" applyFill="0" applyBorder="0" applyAlignment="0" applyProtection="0"/>
    <xf numFmtId="14" fontId="1" fillId="0" borderId="0" applyFont="0" applyFill="0" applyBorder="0" applyAlignment="0" applyProtection="0"/>
    <xf numFmtId="0" fontId="14" fillId="0" borderId="0" applyNumberFormat="0" applyFill="0" applyBorder="0" applyAlignment="0" applyProtection="0"/>
    <xf numFmtId="2" fontId="1" fillId="0" borderId="0" applyFont="0" applyFill="0" applyBorder="0" applyAlignment="0" applyProtection="0"/>
    <xf numFmtId="0" fontId="15" fillId="4" borderId="0" applyNumberFormat="0" applyBorder="0" applyAlignment="0" applyProtection="0"/>
    <xf numFmtId="0" fontId="16" fillId="0" borderId="0" applyNumberFormat="0" applyFont="0" applyFill="0" applyAlignment="0" applyProtection="0"/>
    <xf numFmtId="0" fontId="17" fillId="0" borderId="0" applyNumberFormat="0" applyFon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4" applyNumberFormat="0" applyFill="0" applyAlignment="0" applyProtection="0"/>
    <xf numFmtId="0" fontId="21" fillId="22" borderId="0" applyNumberFormat="0" applyBorder="0" applyAlignment="0" applyProtection="0"/>
    <xf numFmtId="0" fontId="1" fillId="0" borderId="0"/>
    <xf numFmtId="0" fontId="22" fillId="0" borderId="0"/>
    <xf numFmtId="0" fontId="36" fillId="0" borderId="0"/>
    <xf numFmtId="0" fontId="33" fillId="0" borderId="0">
      <alignment vertical="center"/>
    </xf>
    <xf numFmtId="0" fontId="36" fillId="0" borderId="0"/>
    <xf numFmtId="0" fontId="1" fillId="0" borderId="0"/>
    <xf numFmtId="0" fontId="36" fillId="0" borderId="0"/>
    <xf numFmtId="0" fontId="36" fillId="0" borderId="0"/>
    <xf numFmtId="0" fontId="1" fillId="23" borderId="5" applyNumberFormat="0" applyFont="0" applyAlignment="0" applyProtection="0"/>
    <xf numFmtId="0" fontId="23" fillId="20" borderId="6" applyNumberFormat="0" applyAlignment="0" applyProtection="0"/>
    <xf numFmtId="9" fontId="1" fillId="0" borderId="0" applyFont="0" applyFill="0" applyBorder="0" applyAlignment="0" applyProtection="0"/>
    <xf numFmtId="0" fontId="38" fillId="0" borderId="0" applyNumberFormat="0" applyBorder="0" applyAlignment="0"/>
    <xf numFmtId="0" fontId="24" fillId="0" borderId="7">
      <alignment horizontal="center" vertical="center"/>
    </xf>
    <xf numFmtId="0" fontId="25" fillId="0" borderId="0" applyNumberFormat="0" applyFill="0" applyBorder="0" applyAlignment="0" applyProtection="0"/>
    <xf numFmtId="0" fontId="1" fillId="0" borderId="8" applyNumberFormat="0" applyFont="0" applyBorder="0" applyAlignment="0" applyProtection="0"/>
    <xf numFmtId="0" fontId="26" fillId="0" borderId="0" applyNumberFormat="0" applyFill="0" applyBorder="0" applyAlignment="0" applyProtection="0"/>
  </cellStyleXfs>
  <cellXfs count="445">
    <xf numFmtId="0" fontId="0" fillId="0" borderId="0" xfId="0"/>
    <xf numFmtId="0" fontId="0" fillId="0" borderId="0" xfId="0"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3" fontId="3" fillId="0" borderId="0" xfId="0" applyNumberFormat="1" applyFont="1" applyAlignment="1">
      <alignment horizontal="center"/>
    </xf>
    <xf numFmtId="3" fontId="2" fillId="0" borderId="0" xfId="0" applyNumberFormat="1" applyFont="1" applyAlignment="1">
      <alignment horizontal="center" wrapText="1"/>
    </xf>
    <xf numFmtId="3" fontId="3" fillId="0" borderId="0" xfId="0" applyNumberFormat="1" applyFont="1" applyAlignment="1">
      <alignment horizontal="center" wrapText="1"/>
    </xf>
    <xf numFmtId="37" fontId="2" fillId="0" borderId="0" xfId="0" applyNumberFormat="1" applyFont="1" applyAlignment="1">
      <alignment horizontal="center"/>
    </xf>
    <xf numFmtId="3" fontId="2" fillId="0" borderId="0" xfId="0" applyNumberFormat="1" applyFont="1" applyAlignment="1">
      <alignment horizontal="center"/>
    </xf>
    <xf numFmtId="0" fontId="3" fillId="0" borderId="0" xfId="0" applyFont="1" applyAlignment="1">
      <alignment horizontal="center" wrapText="1"/>
    </xf>
    <xf numFmtId="3" fontId="1" fillId="0" borderId="0" xfId="28" applyNumberFormat="1" applyAlignment="1">
      <alignment horizontal="center"/>
    </xf>
    <xf numFmtId="165" fontId="2" fillId="0" borderId="0" xfId="0" applyNumberFormat="1" applyFont="1" applyAlignment="1">
      <alignment horizontal="center"/>
    </xf>
    <xf numFmtId="0" fontId="2" fillId="0" borderId="0" xfId="0" applyFont="1"/>
    <xf numFmtId="10" fontId="0" fillId="0" borderId="0" xfId="0" applyNumberFormat="1" applyAlignment="1">
      <alignment horizontal="center"/>
    </xf>
    <xf numFmtId="37" fontId="2" fillId="0" borderId="0" xfId="0" applyNumberFormat="1" applyFont="1" applyFill="1" applyAlignment="1">
      <alignment horizontal="center"/>
    </xf>
    <xf numFmtId="0" fontId="0" fillId="0" borderId="0" xfId="0" applyFill="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69" fontId="0" fillId="0" borderId="0" xfId="0" applyNumberFormat="1" applyAlignment="1">
      <alignment horizontal="center"/>
    </xf>
    <xf numFmtId="165" fontId="2" fillId="0" borderId="0" xfId="0" applyNumberFormat="1" applyFont="1" applyFill="1" applyAlignment="1">
      <alignment horizontal="center"/>
    </xf>
    <xf numFmtId="0" fontId="0" fillId="0" borderId="0" xfId="0" applyFill="1"/>
    <xf numFmtId="4" fontId="2" fillId="0" borderId="0" xfId="0" applyNumberFormat="1" applyFont="1" applyFill="1" applyAlignment="1">
      <alignment horizontal="center"/>
    </xf>
    <xf numFmtId="4" fontId="0" fillId="0" borderId="0" xfId="0" applyNumberFormat="1" applyFill="1" applyAlignment="1">
      <alignment horizontal="center"/>
    </xf>
    <xf numFmtId="37" fontId="0" fillId="0" borderId="0" xfId="0" applyNumberFormat="1" applyFill="1" applyAlignment="1">
      <alignment horizontal="center"/>
    </xf>
    <xf numFmtId="166" fontId="0" fillId="0" borderId="0" xfId="0" applyNumberFormat="1" applyAlignment="1">
      <alignment horizontal="center"/>
    </xf>
    <xf numFmtId="3" fontId="0" fillId="24" borderId="0" xfId="0" applyNumberFormat="1" applyFill="1" applyAlignment="1">
      <alignment horizontal="center"/>
    </xf>
    <xf numFmtId="3" fontId="0" fillId="0" borderId="0" xfId="0" applyNumberFormat="1" applyAlignment="1">
      <alignment horizontal="left"/>
    </xf>
    <xf numFmtId="170" fontId="0" fillId="0" borderId="0" xfId="0" applyNumberFormat="1" applyAlignment="1">
      <alignment horizontal="center"/>
    </xf>
    <xf numFmtId="9" fontId="4" fillId="24" borderId="0" xfId="0" applyNumberFormat="1" applyFont="1" applyFill="1" applyAlignment="1">
      <alignment horizontal="center"/>
    </xf>
    <xf numFmtId="0" fontId="27" fillId="0" borderId="0" xfId="46" applyFont="1" applyFill="1" applyAlignment="1" applyProtection="1">
      <alignment horizontal="center" vertical="center"/>
    </xf>
    <xf numFmtId="0" fontId="22" fillId="0" borderId="0" xfId="46"/>
    <xf numFmtId="0" fontId="22" fillId="0" borderId="0" xfId="46" applyFill="1"/>
    <xf numFmtId="0" fontId="28" fillId="0" borderId="0" xfId="46" applyFont="1" applyFill="1" applyAlignment="1" applyProtection="1">
      <alignment horizontal="center" vertical="center"/>
    </xf>
    <xf numFmtId="0" fontId="29" fillId="0" borderId="0" xfId="46" applyFont="1" applyFill="1" applyAlignment="1" applyProtection="1">
      <alignment horizontal="left" vertical="center" indent="1"/>
    </xf>
    <xf numFmtId="0" fontId="28" fillId="0" borderId="9" xfId="46" applyFont="1" applyFill="1" applyBorder="1" applyAlignment="1" applyProtection="1">
      <alignment horizontal="center" vertical="center"/>
    </xf>
    <xf numFmtId="167" fontId="32" fillId="25" borderId="0" xfId="0" applyNumberFormat="1" applyFont="1" applyFill="1" applyAlignment="1">
      <alignment horizontal="center"/>
    </xf>
    <xf numFmtId="0" fontId="33" fillId="26" borderId="10" xfId="48" applyFill="1" applyBorder="1" applyAlignment="1">
      <alignment horizontal="left" vertical="center"/>
    </xf>
    <xf numFmtId="0" fontId="34" fillId="0" borderId="10" xfId="48" applyFont="1" applyBorder="1" applyAlignment="1">
      <alignment horizontal="center" vertical="center"/>
    </xf>
    <xf numFmtId="0" fontId="34" fillId="0" borderId="10" xfId="48" applyFont="1" applyBorder="1" applyAlignment="1">
      <alignment horizontal="center" vertical="center" wrapText="1"/>
    </xf>
    <xf numFmtId="15" fontId="33" fillId="0" borderId="10" xfId="48" applyNumberFormat="1" applyBorder="1" applyAlignment="1">
      <alignment horizontal="left" vertical="center"/>
    </xf>
    <xf numFmtId="0" fontId="33" fillId="0" borderId="10" xfId="48" applyFont="1" applyBorder="1" applyAlignment="1">
      <alignment horizontal="center" vertical="center"/>
    </xf>
    <xf numFmtId="0" fontId="33" fillId="0" borderId="10" xfId="48" applyFont="1" applyBorder="1" applyAlignment="1">
      <alignment horizontal="left" vertical="center"/>
    </xf>
    <xf numFmtId="0" fontId="33" fillId="0" borderId="10" xfId="48" applyFont="1" applyBorder="1" applyAlignment="1">
      <alignment vertical="center" wrapText="1"/>
    </xf>
    <xf numFmtId="0" fontId="33" fillId="0" borderId="10" xfId="48" applyFont="1" applyFill="1" applyBorder="1" applyAlignment="1">
      <alignment horizontal="center" vertical="center"/>
    </xf>
    <xf numFmtId="15" fontId="33" fillId="0" borderId="10" xfId="48" applyNumberFormat="1" applyFill="1" applyBorder="1" applyAlignment="1">
      <alignment horizontal="left" vertical="center"/>
    </xf>
    <xf numFmtId="0" fontId="33" fillId="0" borderId="10" xfId="48" applyFont="1" applyFill="1" applyBorder="1" applyAlignment="1">
      <alignment vertical="center" wrapText="1"/>
    </xf>
    <xf numFmtId="15" fontId="33" fillId="0" borderId="11" xfId="48" applyNumberFormat="1" applyFill="1" applyBorder="1" applyAlignment="1">
      <alignment horizontal="left" vertical="center"/>
    </xf>
    <xf numFmtId="0" fontId="33" fillId="0" borderId="10" xfId="48" applyFont="1" applyFill="1" applyBorder="1">
      <alignment vertical="center"/>
    </xf>
    <xf numFmtId="0" fontId="33" fillId="26" borderId="10" xfId="48" applyFill="1" applyBorder="1" applyAlignment="1">
      <alignment horizontal="center" vertical="center"/>
    </xf>
    <xf numFmtId="0" fontId="33" fillId="26" borderId="10" xfId="48" applyFill="1" applyBorder="1">
      <alignment vertical="center"/>
    </xf>
    <xf numFmtId="0" fontId="33" fillId="26" borderId="10" xfId="48" applyFont="1" applyFill="1" applyBorder="1" applyAlignment="1">
      <alignment vertical="center" wrapText="1"/>
    </xf>
    <xf numFmtId="0" fontId="33" fillId="0" borderId="10" xfId="48" applyBorder="1" applyAlignment="1">
      <alignment horizontal="center" vertical="center"/>
    </xf>
    <xf numFmtId="0" fontId="33" fillId="0" borderId="10" xfId="48" applyFill="1" applyBorder="1" applyAlignment="1">
      <alignment horizontal="left" vertical="center"/>
    </xf>
    <xf numFmtId="0" fontId="33" fillId="0" borderId="11" xfId="48" applyFont="1" applyFill="1" applyBorder="1" applyAlignment="1">
      <alignment vertical="center"/>
    </xf>
    <xf numFmtId="0" fontId="0" fillId="0" borderId="12" xfId="0" applyFill="1" applyBorder="1" applyAlignment="1">
      <alignment horizontal="center" vertical="center"/>
    </xf>
    <xf numFmtId="15" fontId="33" fillId="0" borderId="10" xfId="48" applyNumberFormat="1" applyFont="1" applyFill="1" applyBorder="1" applyAlignment="1">
      <alignment horizontal="left" vertical="center"/>
    </xf>
    <xf numFmtId="0" fontId="35" fillId="0" borderId="10" xfId="48" applyFont="1" applyFill="1" applyBorder="1" applyAlignment="1">
      <alignment vertical="center" wrapText="1"/>
    </xf>
    <xf numFmtId="15" fontId="0" fillId="0" borderId="10" xfId="0" applyNumberFormat="1" applyFill="1" applyBorder="1" applyAlignment="1">
      <alignment horizontal="left" vertical="center"/>
    </xf>
    <xf numFmtId="0" fontId="0" fillId="0" borderId="10" xfId="0" applyFill="1" applyBorder="1" applyAlignment="1">
      <alignment wrapText="1"/>
    </xf>
    <xf numFmtId="0" fontId="33" fillId="0" borderId="10" xfId="48" applyFont="1" applyFill="1" applyBorder="1" applyAlignment="1">
      <alignment vertical="center"/>
    </xf>
    <xf numFmtId="0" fontId="0" fillId="0" borderId="10" xfId="0" applyFill="1" applyBorder="1" applyAlignment="1">
      <alignment vertical="center" wrapText="1"/>
    </xf>
    <xf numFmtId="0" fontId="0" fillId="27" borderId="12" xfId="0" applyFill="1" applyBorder="1" applyAlignment="1">
      <alignment horizontal="center" vertical="center"/>
    </xf>
    <xf numFmtId="15" fontId="0" fillId="27" borderId="10" xfId="0" applyNumberFormat="1" applyFill="1" applyBorder="1" applyAlignment="1">
      <alignment horizontal="left" vertical="center"/>
    </xf>
    <xf numFmtId="0" fontId="33" fillId="27" borderId="10" xfId="48" applyFont="1" applyFill="1" applyBorder="1" applyAlignment="1">
      <alignment vertical="center"/>
    </xf>
    <xf numFmtId="0" fontId="0" fillId="27" borderId="10" xfId="0" applyFill="1" applyBorder="1" applyAlignment="1">
      <alignment vertical="center" wrapText="1"/>
    </xf>
    <xf numFmtId="3" fontId="32" fillId="28" borderId="0" xfId="0" applyNumberFormat="1" applyFont="1" applyFill="1" applyAlignment="1">
      <alignment horizontal="center"/>
    </xf>
    <xf numFmtId="3" fontId="37" fillId="28" borderId="0" xfId="0" applyNumberFormat="1" applyFont="1" applyFill="1" applyAlignment="1">
      <alignment horizontal="center"/>
    </xf>
    <xf numFmtId="3" fontId="32" fillId="28" borderId="0" xfId="0" applyNumberFormat="1" applyFont="1" applyFill="1" applyAlignment="1"/>
    <xf numFmtId="3" fontId="32" fillId="28" borderId="0" xfId="0" applyNumberFormat="1" applyFont="1" applyFill="1" applyAlignment="1">
      <alignment horizontal="left"/>
    </xf>
    <xf numFmtId="173" fontId="32" fillId="28" borderId="0" xfId="0" applyNumberFormat="1" applyFont="1" applyFill="1" applyAlignment="1">
      <alignment horizontal="center"/>
    </xf>
    <xf numFmtId="9" fontId="32" fillId="28" borderId="0" xfId="55" applyNumberFormat="1" applyFont="1" applyFill="1" applyAlignment="1">
      <alignment horizontal="center"/>
    </xf>
    <xf numFmtId="0" fontId="41" fillId="29" borderId="13" xfId="0" applyFont="1" applyFill="1" applyBorder="1" applyAlignment="1">
      <alignment horizontal="center" vertical="center"/>
    </xf>
    <xf numFmtId="0" fontId="40" fillId="0" borderId="0" xfId="0" applyFont="1" applyAlignment="1">
      <alignment horizontal="center" vertical="center"/>
    </xf>
    <xf numFmtId="0" fontId="41" fillId="0" borderId="0" xfId="0" applyFont="1" applyFill="1" applyAlignment="1">
      <alignment horizontal="left" vertical="center"/>
    </xf>
    <xf numFmtId="0" fontId="42" fillId="0" borderId="0" xfId="0" applyFont="1" applyFill="1" applyAlignment="1">
      <alignment horizontal="left" vertical="center"/>
    </xf>
    <xf numFmtId="0" fontId="43" fillId="0" borderId="0" xfId="0" applyFont="1" applyFill="1" applyAlignment="1">
      <alignment horizontal="center" vertical="center"/>
    </xf>
    <xf numFmtId="0" fontId="43" fillId="28" borderId="0" xfId="0" applyFont="1" applyFill="1" applyAlignment="1">
      <alignment horizontal="left" vertical="center"/>
    </xf>
    <xf numFmtId="0" fontId="2" fillId="0" borderId="0" xfId="0" applyFont="1" applyAlignment="1">
      <alignment vertical="center"/>
    </xf>
    <xf numFmtId="0" fontId="4" fillId="0" borderId="0" xfId="47" applyFont="1" applyFill="1" applyBorder="1" applyAlignment="1">
      <alignment horizontal="center" vertical="center"/>
    </xf>
    <xf numFmtId="0" fontId="40" fillId="0" borderId="0" xfId="0" applyFont="1" applyAlignment="1">
      <alignment horizontal="left" vertical="center"/>
    </xf>
    <xf numFmtId="0" fontId="45" fillId="30" borderId="13" xfId="52" applyFont="1" applyFill="1" applyBorder="1" applyAlignment="1">
      <alignment horizontal="center" vertical="center" wrapText="1"/>
    </xf>
    <xf numFmtId="3" fontId="40" fillId="0" borderId="0" xfId="0" applyNumberFormat="1" applyFont="1" applyAlignment="1">
      <alignment horizontal="center" vertical="center"/>
    </xf>
    <xf numFmtId="3" fontId="39" fillId="0" borderId="0" xfId="0" applyNumberFormat="1" applyFont="1" applyAlignment="1">
      <alignment horizontal="left" vertical="center"/>
    </xf>
    <xf numFmtId="0" fontId="40" fillId="31" borderId="0" xfId="0" applyFont="1" applyFill="1" applyBorder="1" applyAlignment="1">
      <alignment horizontal="left" vertical="center"/>
    </xf>
    <xf numFmtId="3" fontId="40" fillId="31" borderId="0" xfId="0" applyNumberFormat="1" applyFont="1" applyFill="1" applyBorder="1" applyAlignment="1">
      <alignment horizontal="center" vertical="center"/>
    </xf>
    <xf numFmtId="0" fontId="45" fillId="30" borderId="14" xfId="52" applyFont="1" applyFill="1" applyBorder="1" applyAlignment="1">
      <alignment horizontal="left" vertical="center"/>
    </xf>
    <xf numFmtId="0" fontId="47" fillId="0" borderId="0" xfId="0" applyFont="1" applyAlignment="1">
      <alignment horizontal="left" vertical="center"/>
    </xf>
    <xf numFmtId="0" fontId="46" fillId="0" borderId="0" xfId="0" applyFont="1" applyAlignment="1">
      <alignment horizontal="center" vertical="center"/>
    </xf>
    <xf numFmtId="0" fontId="46" fillId="0" borderId="0" xfId="0" applyFont="1" applyAlignment="1">
      <alignment horizontal="center" vertical="center" wrapText="1"/>
    </xf>
    <xf numFmtId="0" fontId="46" fillId="0" borderId="0" xfId="0" applyFont="1" applyAlignment="1">
      <alignment horizontal="left" vertical="center"/>
    </xf>
    <xf numFmtId="0" fontId="45" fillId="30" borderId="15" xfId="52" applyFont="1" applyFill="1" applyBorder="1" applyAlignment="1">
      <alignment vertical="center"/>
    </xf>
    <xf numFmtId="0" fontId="0" fillId="30" borderId="14" xfId="0" applyFill="1" applyBorder="1" applyAlignment="1">
      <alignment horizontal="left" vertical="center"/>
    </xf>
    <xf numFmtId="0" fontId="45" fillId="30" borderId="14" xfId="52" applyFont="1" applyFill="1" applyBorder="1" applyAlignment="1">
      <alignment vertical="center"/>
    </xf>
    <xf numFmtId="0" fontId="46" fillId="0" borderId="15" xfId="52" applyFont="1" applyFill="1" applyBorder="1" applyAlignment="1">
      <alignment horizontal="left" vertical="center"/>
    </xf>
    <xf numFmtId="0" fontId="48" fillId="0" borderId="14" xfId="0" applyFont="1" applyBorder="1" applyAlignment="1">
      <alignment horizontal="left" vertical="center"/>
    </xf>
    <xf numFmtId="0" fontId="45" fillId="30" borderId="13" xfId="52" applyFont="1" applyFill="1" applyBorder="1" applyAlignment="1">
      <alignment vertical="center"/>
    </xf>
    <xf numFmtId="41" fontId="46" fillId="0" borderId="12" xfId="50" applyNumberFormat="1" applyFont="1" applyFill="1" applyBorder="1" applyAlignment="1">
      <alignment vertical="center"/>
    </xf>
    <xf numFmtId="165" fontId="46" fillId="0" borderId="12" xfId="55" applyNumberFormat="1" applyFont="1" applyFill="1" applyBorder="1" applyAlignment="1">
      <alignment vertical="center"/>
    </xf>
    <xf numFmtId="41" fontId="46" fillId="0" borderId="10" xfId="50" applyNumberFormat="1" applyFont="1" applyFill="1" applyBorder="1" applyAlignment="1">
      <alignment vertical="center"/>
    </xf>
    <xf numFmtId="0" fontId="48" fillId="0" borderId="0" xfId="0" applyFont="1" applyAlignment="1">
      <alignment horizontal="center" vertical="center"/>
    </xf>
    <xf numFmtId="0" fontId="48" fillId="0" borderId="0" xfId="0" applyFont="1"/>
    <xf numFmtId="3" fontId="48" fillId="0" borderId="0" xfId="0" applyNumberFormat="1" applyFont="1" applyAlignment="1">
      <alignment horizontal="center"/>
    </xf>
    <xf numFmtId="0" fontId="50" fillId="0" borderId="0" xfId="0" applyFont="1" applyAlignment="1">
      <alignment horizontal="left" vertical="center"/>
    </xf>
    <xf numFmtId="0" fontId="51" fillId="0" borderId="16" xfId="0" applyFont="1" applyFill="1" applyBorder="1" applyAlignment="1">
      <alignment horizontal="centerContinuous"/>
    </xf>
    <xf numFmtId="0" fontId="48" fillId="0" borderId="0" xfId="0" applyFont="1" applyFill="1" applyBorder="1" applyAlignment="1"/>
    <xf numFmtId="0" fontId="48" fillId="0" borderId="17" xfId="0" applyFont="1" applyFill="1" applyBorder="1" applyAlignment="1"/>
    <xf numFmtId="0" fontId="51" fillId="0" borderId="16" xfId="0" applyFont="1" applyFill="1" applyBorder="1" applyAlignment="1">
      <alignment horizontal="center"/>
    </xf>
    <xf numFmtId="3" fontId="48" fillId="0" borderId="0" xfId="0" applyNumberFormat="1" applyFont="1" applyFill="1" applyAlignment="1">
      <alignment horizontal="center"/>
    </xf>
    <xf numFmtId="0" fontId="48" fillId="0" borderId="0" xfId="0" applyFont="1" applyFill="1"/>
    <xf numFmtId="0" fontId="48" fillId="28" borderId="0" xfId="0" applyFont="1" applyFill="1" applyAlignment="1">
      <alignment horizontal="left" vertical="center"/>
    </xf>
    <xf numFmtId="0" fontId="48" fillId="28" borderId="0" xfId="0" applyFont="1" applyFill="1" applyAlignment="1">
      <alignment horizontal="center" vertical="center"/>
    </xf>
    <xf numFmtId="0" fontId="41" fillId="0" borderId="0" xfId="0" applyFont="1" applyFill="1" applyAlignment="1">
      <alignment horizontal="center" vertical="center"/>
    </xf>
    <xf numFmtId="0" fontId="46" fillId="0" borderId="0" xfId="0" applyFont="1" applyAlignment="1">
      <alignment vertical="center"/>
    </xf>
    <xf numFmtId="0" fontId="46" fillId="0" borderId="0" xfId="0" applyFont="1" applyBorder="1" applyAlignment="1">
      <alignment vertical="center"/>
    </xf>
    <xf numFmtId="0" fontId="41" fillId="0" borderId="0" xfId="0" applyFont="1" applyBorder="1" applyAlignment="1">
      <alignment horizontal="left" vertical="center" wrapText="1"/>
    </xf>
    <xf numFmtId="0" fontId="41" fillId="29"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0" xfId="0" applyFont="1" applyFill="1" applyBorder="1" applyAlignment="1">
      <alignment vertical="center"/>
    </xf>
    <xf numFmtId="10" fontId="46" fillId="0" borderId="0" xfId="0" applyNumberFormat="1" applyFont="1" applyFill="1" applyBorder="1" applyAlignment="1">
      <alignment vertical="center"/>
    </xf>
    <xf numFmtId="0" fontId="41" fillId="0" borderId="0" xfId="0" applyFont="1" applyFill="1" applyBorder="1" applyAlignment="1">
      <alignment horizontal="left" vertical="center" indent="1"/>
    </xf>
    <xf numFmtId="0" fontId="41" fillId="0" borderId="0" xfId="0" applyFont="1" applyFill="1" applyBorder="1" applyAlignment="1">
      <alignment horizontal="center" vertical="center" wrapText="1"/>
    </xf>
    <xf numFmtId="10" fontId="46" fillId="0" borderId="0" xfId="55" applyNumberFormat="1" applyFont="1" applyFill="1" applyBorder="1" applyAlignment="1">
      <alignment horizontal="center" vertical="center"/>
    </xf>
    <xf numFmtId="0" fontId="46" fillId="0" borderId="10" xfId="0" applyFont="1" applyBorder="1" applyAlignment="1">
      <alignment horizontal="center" vertical="center"/>
    </xf>
    <xf numFmtId="43" fontId="46" fillId="0" borderId="0" xfId="29" applyFont="1" applyBorder="1" applyAlignment="1">
      <alignment vertical="center"/>
    </xf>
    <xf numFmtId="171" fontId="46" fillId="0" borderId="0" xfId="0" applyNumberFormat="1" applyFont="1" applyBorder="1" applyAlignment="1">
      <alignment vertical="center"/>
    </xf>
    <xf numFmtId="171" fontId="46" fillId="0" borderId="0" xfId="29" applyNumberFormat="1" applyFont="1" applyBorder="1" applyAlignment="1">
      <alignment horizontal="center" vertical="center"/>
    </xf>
    <xf numFmtId="10" fontId="46" fillId="0" borderId="0" xfId="55" applyNumberFormat="1" applyFont="1" applyBorder="1" applyAlignment="1">
      <alignment horizontal="center" vertical="center"/>
    </xf>
    <xf numFmtId="0" fontId="46" fillId="0" borderId="13" xfId="0" applyFont="1" applyFill="1" applyBorder="1" applyAlignment="1">
      <alignment vertical="center"/>
    </xf>
    <xf numFmtId="172" fontId="46" fillId="0" borderId="0" xfId="0" applyNumberFormat="1" applyFont="1" applyAlignment="1">
      <alignment horizontal="center" vertical="center"/>
    </xf>
    <xf numFmtId="0" fontId="53" fillId="32" borderId="14" xfId="0" applyFont="1" applyFill="1" applyBorder="1" applyAlignment="1">
      <alignment horizontal="left" vertical="center"/>
    </xf>
    <xf numFmtId="0" fontId="41" fillId="0" borderId="14" xfId="0" applyFont="1" applyBorder="1" applyAlignment="1">
      <alignment vertical="center"/>
    </xf>
    <xf numFmtId="167" fontId="41" fillId="32" borderId="10" xfId="0" applyNumberFormat="1" applyFont="1" applyFill="1" applyBorder="1" applyAlignment="1">
      <alignment horizontal="center" vertical="center"/>
    </xf>
    <xf numFmtId="0" fontId="41" fillId="0" borderId="0" xfId="0" applyFont="1" applyAlignment="1">
      <alignment vertical="center"/>
    </xf>
    <xf numFmtId="0" fontId="54" fillId="0" borderId="0" xfId="49" applyFont="1" applyBorder="1" applyAlignment="1">
      <alignment horizontal="center" vertical="center"/>
    </xf>
    <xf numFmtId="165" fontId="41" fillId="0" borderId="0" xfId="49" applyNumberFormat="1" applyFont="1" applyBorder="1" applyAlignment="1" applyProtection="1">
      <alignment horizontal="center" vertical="center"/>
    </xf>
    <xf numFmtId="38" fontId="53" fillId="0" borderId="0" xfId="51" applyNumberFormat="1" applyFont="1" applyBorder="1" applyAlignment="1">
      <alignment horizontal="left" vertical="center" indent="1"/>
    </xf>
    <xf numFmtId="167" fontId="41" fillId="32" borderId="0" xfId="0" applyNumberFormat="1" applyFont="1" applyFill="1" applyBorder="1" applyAlignment="1">
      <alignment horizontal="center" vertical="center"/>
    </xf>
    <xf numFmtId="0" fontId="41" fillId="28" borderId="0" xfId="0" applyFont="1" applyFill="1" applyBorder="1" applyAlignment="1">
      <alignment horizontal="left" vertical="center" wrapText="1"/>
    </xf>
    <xf numFmtId="0" fontId="46" fillId="0" borderId="10" xfId="0" applyFont="1" applyFill="1" applyBorder="1" applyAlignment="1">
      <alignment horizontal="center" vertical="center"/>
    </xf>
    <xf numFmtId="0" fontId="46" fillId="0" borderId="10" xfId="0" applyFont="1" applyFill="1" applyBorder="1" applyAlignment="1">
      <alignment vertical="center"/>
    </xf>
    <xf numFmtId="3" fontId="52" fillId="0" borderId="10" xfId="29" applyNumberFormat="1" applyFont="1" applyFill="1" applyBorder="1" applyAlignment="1">
      <alignment horizontal="center" vertical="center"/>
    </xf>
    <xf numFmtId="3" fontId="46" fillId="0" borderId="10" xfId="29" applyNumberFormat="1" applyFont="1" applyFill="1" applyBorder="1" applyAlignment="1">
      <alignment horizontal="center" vertical="center"/>
    </xf>
    <xf numFmtId="3" fontId="53" fillId="0" borderId="10" xfId="29" applyNumberFormat="1" applyFont="1" applyFill="1" applyBorder="1" applyAlignment="1">
      <alignment horizontal="center" vertical="center"/>
    </xf>
    <xf numFmtId="167" fontId="53" fillId="0" borderId="10" xfId="0" applyNumberFormat="1" applyFont="1" applyFill="1" applyBorder="1" applyAlignment="1">
      <alignment horizontal="center" vertical="center"/>
    </xf>
    <xf numFmtId="0" fontId="41" fillId="0" borderId="10" xfId="0" applyFont="1" applyFill="1" applyBorder="1" applyAlignment="1">
      <alignment vertical="center"/>
    </xf>
    <xf numFmtId="3" fontId="46" fillId="0" borderId="10" xfId="0" applyNumberFormat="1" applyFont="1" applyFill="1" applyBorder="1" applyAlignment="1">
      <alignment horizontal="center" vertical="center"/>
    </xf>
    <xf numFmtId="3" fontId="52" fillId="0" borderId="11" xfId="30" applyNumberFormat="1" applyFont="1" applyFill="1" applyBorder="1" applyAlignment="1">
      <alignment horizontal="center" vertical="center"/>
    </xf>
    <xf numFmtId="3" fontId="46" fillId="0" borderId="11" xfId="0" applyNumberFormat="1" applyFont="1" applyFill="1" applyBorder="1" applyAlignment="1">
      <alignment horizontal="center" vertical="center"/>
    </xf>
    <xf numFmtId="167" fontId="44" fillId="28" borderId="10" xfId="0" applyNumberFormat="1" applyFont="1" applyFill="1" applyBorder="1" applyAlignment="1">
      <alignment horizontal="center" vertical="center"/>
    </xf>
    <xf numFmtId="0" fontId="0" fillId="30" borderId="18" xfId="0" applyFill="1" applyBorder="1" applyAlignment="1">
      <alignment horizontal="left" vertical="center"/>
    </xf>
    <xf numFmtId="0" fontId="45" fillId="30" borderId="18" xfId="52" applyFont="1" applyFill="1" applyBorder="1" applyAlignment="1">
      <alignment vertical="center"/>
    </xf>
    <xf numFmtId="0" fontId="45" fillId="30" borderId="19" xfId="52" applyFont="1" applyFill="1" applyBorder="1" applyAlignment="1">
      <alignment vertical="center"/>
    </xf>
    <xf numFmtId="0" fontId="41" fillId="28" borderId="10" xfId="0" applyFont="1" applyFill="1" applyBorder="1" applyAlignment="1">
      <alignment vertical="center"/>
    </xf>
    <xf numFmtId="0" fontId="44" fillId="28" borderId="10" xfId="0" applyFont="1" applyFill="1" applyBorder="1" applyAlignment="1">
      <alignment horizontal="center" vertical="center"/>
    </xf>
    <xf numFmtId="0" fontId="44" fillId="28" borderId="10" xfId="0" applyFont="1" applyFill="1" applyBorder="1" applyAlignment="1">
      <alignment vertical="center"/>
    </xf>
    <xf numFmtId="0" fontId="44" fillId="28" borderId="15" xfId="0" applyFont="1" applyFill="1" applyBorder="1" applyAlignment="1">
      <alignment horizontal="center" vertical="center"/>
    </xf>
    <xf numFmtId="0" fontId="44" fillId="28" borderId="15" xfId="0" applyFont="1" applyFill="1" applyBorder="1" applyAlignment="1">
      <alignment vertical="center"/>
    </xf>
    <xf numFmtId="0" fontId="44" fillId="31" borderId="0" xfId="0" applyFont="1" applyFill="1" applyBorder="1" applyAlignment="1">
      <alignment horizontal="left" vertical="center"/>
    </xf>
    <xf numFmtId="0" fontId="45" fillId="30" borderId="10" xfId="52" applyFont="1" applyFill="1" applyBorder="1" applyAlignment="1">
      <alignment horizontal="center" vertical="center"/>
    </xf>
    <xf numFmtId="167" fontId="46" fillId="0" borderId="10" xfId="0" applyNumberFormat="1" applyFont="1" applyBorder="1" applyAlignment="1">
      <alignment horizontal="center" vertical="center" wrapText="1"/>
    </xf>
    <xf numFmtId="0" fontId="44" fillId="28" borderId="15" xfId="52" applyFont="1" applyFill="1" applyBorder="1" applyAlignment="1">
      <alignment horizontal="left" vertical="center"/>
    </xf>
    <xf numFmtId="0" fontId="32" fillId="28" borderId="14" xfId="0" applyFont="1" applyFill="1" applyBorder="1" applyAlignment="1">
      <alignment horizontal="left" vertical="center"/>
    </xf>
    <xf numFmtId="41" fontId="44" fillId="28" borderId="12" xfId="50" applyNumberFormat="1" applyFont="1" applyFill="1" applyBorder="1" applyAlignment="1">
      <alignment vertical="center"/>
    </xf>
    <xf numFmtId="41" fontId="44" fillId="28" borderId="10" xfId="50" applyNumberFormat="1" applyFont="1" applyFill="1" applyBorder="1" applyAlignment="1">
      <alignment vertical="center"/>
    </xf>
    <xf numFmtId="0" fontId="3" fillId="0" borderId="0" xfId="0" applyFont="1" applyFill="1" applyAlignment="1">
      <alignment horizontal="center" wrapText="1"/>
    </xf>
    <xf numFmtId="3" fontId="48" fillId="0" borderId="0" xfId="0" applyNumberFormat="1" applyFont="1" applyFill="1" applyBorder="1" applyAlignment="1"/>
    <xf numFmtId="3" fontId="48" fillId="0" borderId="17" xfId="0" applyNumberFormat="1" applyFont="1" applyFill="1" applyBorder="1" applyAlignment="1"/>
    <xf numFmtId="1" fontId="2" fillId="0" borderId="0" xfId="0" applyNumberFormat="1" applyFont="1" applyFill="1" applyAlignment="1">
      <alignment horizontal="center"/>
    </xf>
    <xf numFmtId="37" fontId="0" fillId="0" borderId="0" xfId="0" applyNumberFormat="1" applyAlignment="1">
      <alignment horizontal="center"/>
    </xf>
    <xf numFmtId="17" fontId="0" fillId="0" borderId="0" xfId="0" applyNumberFormat="1" applyAlignment="1">
      <alignment horizontal="center"/>
    </xf>
    <xf numFmtId="0" fontId="56" fillId="0" borderId="0" xfId="0" applyFont="1" applyAlignment="1">
      <alignment horizontal="center"/>
    </xf>
    <xf numFmtId="17" fontId="56" fillId="0" borderId="0" xfId="0" applyNumberFormat="1" applyFont="1" applyAlignment="1">
      <alignment horizontal="center"/>
    </xf>
    <xf numFmtId="17" fontId="56" fillId="0" borderId="0" xfId="0" applyNumberFormat="1" applyFont="1" applyFill="1" applyAlignment="1">
      <alignment horizontal="center"/>
    </xf>
    <xf numFmtId="3" fontId="57" fillId="0" borderId="0" xfId="0" applyNumberFormat="1" applyFont="1" applyFill="1" applyAlignment="1">
      <alignment horizontal="center" wrapText="1"/>
    </xf>
    <xf numFmtId="0" fontId="57" fillId="0" borderId="0" xfId="0" applyFont="1" applyFill="1" applyAlignment="1">
      <alignment horizontal="center" wrapText="1"/>
    </xf>
    <xf numFmtId="3" fontId="58" fillId="0" borderId="0" xfId="0" applyNumberFormat="1" applyFont="1" applyFill="1" applyAlignment="1">
      <alignment horizontal="center"/>
    </xf>
    <xf numFmtId="0" fontId="58" fillId="0" borderId="0" xfId="0" applyFont="1" applyFill="1" applyAlignment="1">
      <alignment horizontal="center"/>
    </xf>
    <xf numFmtId="37" fontId="58" fillId="0" borderId="0" xfId="0" applyNumberFormat="1" applyFont="1" applyFill="1" applyAlignment="1">
      <alignment horizontal="center"/>
    </xf>
    <xf numFmtId="3" fontId="58" fillId="0" borderId="0" xfId="28" applyNumberFormat="1" applyFont="1" applyFill="1" applyAlignment="1">
      <alignment horizontal="center"/>
    </xf>
    <xf numFmtId="1" fontId="58" fillId="0" borderId="0" xfId="28" applyNumberFormat="1" applyFont="1" applyFill="1" applyAlignment="1">
      <alignment horizontal="center"/>
    </xf>
    <xf numFmtId="1" fontId="58" fillId="0" borderId="0" xfId="0" applyNumberFormat="1" applyFont="1" applyFill="1" applyAlignment="1">
      <alignment horizontal="center"/>
    </xf>
    <xf numFmtId="4" fontId="57" fillId="0" borderId="0" xfId="0" applyNumberFormat="1" applyFont="1" applyFill="1" applyAlignment="1">
      <alignment horizontal="center" wrapText="1"/>
    </xf>
    <xf numFmtId="4" fontId="58" fillId="0" borderId="0" xfId="0" applyNumberFormat="1" applyFont="1" applyFill="1" applyAlignment="1">
      <alignment horizontal="center"/>
    </xf>
    <xf numFmtId="2" fontId="58" fillId="0" borderId="0" xfId="0" applyNumberFormat="1" applyFont="1" applyAlignment="1">
      <alignment horizontal="center"/>
    </xf>
    <xf numFmtId="2" fontId="59" fillId="0" borderId="0" xfId="0" applyNumberFormat="1" applyFont="1" applyAlignment="1">
      <alignment horizontal="center"/>
    </xf>
    <xf numFmtId="0" fontId="60" fillId="0" borderId="0" xfId="0" applyFont="1" applyFill="1" applyAlignment="1">
      <alignment horizontal="center" wrapText="1"/>
    </xf>
    <xf numFmtId="37" fontId="56" fillId="0" borderId="0" xfId="0" applyNumberFormat="1" applyFont="1" applyFill="1" applyAlignment="1">
      <alignment horizontal="center"/>
    </xf>
    <xf numFmtId="37" fontId="59" fillId="0" borderId="0" xfId="0" applyNumberFormat="1" applyFont="1" applyFill="1" applyAlignment="1">
      <alignment horizontal="center"/>
    </xf>
    <xf numFmtId="37" fontId="4" fillId="0" borderId="0" xfId="0" applyNumberFormat="1" applyFont="1" applyFill="1" applyAlignment="1">
      <alignment horizontal="center"/>
    </xf>
    <xf numFmtId="0" fontId="61" fillId="0" borderId="0" xfId="0" applyFont="1" applyFill="1" applyAlignment="1">
      <alignment horizontal="center" wrapText="1"/>
    </xf>
    <xf numFmtId="0" fontId="4" fillId="0" borderId="0" xfId="0" applyFont="1" applyFill="1" applyAlignment="1">
      <alignment horizontal="center"/>
    </xf>
    <xf numFmtId="3" fontId="4" fillId="0" borderId="0" xfId="0" applyNumberFormat="1" applyFont="1" applyFill="1" applyAlignment="1">
      <alignment horizontal="center"/>
    </xf>
    <xf numFmtId="0" fontId="59" fillId="0" borderId="0" xfId="0" applyFont="1"/>
    <xf numFmtId="0" fontId="62" fillId="0" borderId="16" xfId="0" applyFont="1" applyFill="1" applyBorder="1" applyAlignment="1">
      <alignment horizontal="centerContinuous"/>
    </xf>
    <xf numFmtId="0" fontId="59" fillId="0" borderId="0" xfId="0" applyFont="1" applyFill="1" applyBorder="1" applyAlignment="1"/>
    <xf numFmtId="0" fontId="59" fillId="0" borderId="17" xfId="0" applyFont="1" applyFill="1" applyBorder="1" applyAlignment="1"/>
    <xf numFmtId="0" fontId="62" fillId="0" borderId="16" xfId="0" applyFont="1" applyFill="1" applyBorder="1" applyAlignment="1">
      <alignment horizontal="center"/>
    </xf>
    <xf numFmtId="0" fontId="49" fillId="24" borderId="0" xfId="0" applyFont="1" applyFill="1" applyBorder="1" applyAlignment="1"/>
    <xf numFmtId="0" fontId="43" fillId="24" borderId="0" xfId="0" applyFont="1" applyFill="1" applyBorder="1" applyAlignment="1"/>
    <xf numFmtId="0" fontId="59" fillId="0" borderId="0" xfId="0" applyFont="1" applyAlignment="1">
      <alignment horizontal="center"/>
    </xf>
    <xf numFmtId="1" fontId="59" fillId="0" borderId="0" xfId="0" applyNumberFormat="1" applyFont="1" applyAlignment="1">
      <alignment horizontal="center"/>
    </xf>
    <xf numFmtId="0" fontId="4" fillId="24" borderId="0" xfId="0" applyFont="1" applyFill="1" applyAlignment="1">
      <alignment horizontal="left"/>
    </xf>
    <xf numFmtId="0" fontId="0" fillId="24" borderId="0" xfId="0" applyFill="1" applyAlignment="1">
      <alignment horizontal="center"/>
    </xf>
    <xf numFmtId="4" fontId="0" fillId="24" borderId="0" xfId="0" applyNumberFormat="1" applyFill="1" applyAlignment="1">
      <alignment horizontal="center"/>
    </xf>
    <xf numFmtId="37" fontId="4" fillId="24" borderId="0" xfId="0" applyNumberFormat="1" applyFont="1" applyFill="1" applyAlignment="1">
      <alignment horizontal="center"/>
    </xf>
    <xf numFmtId="0" fontId="59" fillId="24" borderId="0" xfId="0" applyFont="1" applyFill="1" applyAlignment="1">
      <alignment horizontal="center"/>
    </xf>
    <xf numFmtId="3" fontId="4" fillId="24" borderId="0" xfId="0" applyNumberFormat="1" applyFont="1" applyFill="1" applyAlignment="1">
      <alignment horizontal="center"/>
    </xf>
    <xf numFmtId="0" fontId="4" fillId="33" borderId="0" xfId="0" applyFont="1" applyFill="1" applyAlignment="1">
      <alignment horizontal="center"/>
    </xf>
    <xf numFmtId="3" fontId="4" fillId="24" borderId="20" xfId="0" applyNumberFormat="1" applyFont="1" applyFill="1" applyBorder="1" applyAlignment="1">
      <alignment horizontal="center"/>
    </xf>
    <xf numFmtId="0" fontId="4" fillId="0" borderId="20" xfId="0" applyFont="1" applyFill="1" applyBorder="1" applyAlignment="1">
      <alignment horizontal="center"/>
    </xf>
    <xf numFmtId="3" fontId="4" fillId="0" borderId="20" xfId="0" applyNumberFormat="1" applyFont="1" applyFill="1" applyBorder="1" applyAlignment="1">
      <alignment horizontal="center"/>
    </xf>
    <xf numFmtId="3" fontId="4" fillId="0" borderId="21" xfId="0" applyNumberFormat="1" applyFont="1" applyBorder="1" applyAlignment="1">
      <alignment horizontal="center"/>
    </xf>
    <xf numFmtId="0" fontId="4" fillId="0" borderId="21" xfId="0" applyFont="1" applyBorder="1" applyAlignment="1">
      <alignment horizontal="center"/>
    </xf>
    <xf numFmtId="0" fontId="4" fillId="0" borderId="0" xfId="0" applyFont="1" applyAlignment="1">
      <alignment horizontal="left"/>
    </xf>
    <xf numFmtId="3" fontId="4" fillId="33" borderId="0" xfId="0" applyNumberFormat="1" applyFont="1" applyFill="1" applyAlignment="1">
      <alignment horizontal="center"/>
    </xf>
    <xf numFmtId="3" fontId="59" fillId="24" borderId="0" xfId="0" applyNumberFormat="1" applyFont="1" applyFill="1" applyAlignment="1">
      <alignment horizontal="center"/>
    </xf>
    <xf numFmtId="0" fontId="0" fillId="0" borderId="0" xfId="0" applyNumberFormat="1" applyBorder="1" applyAlignment="1">
      <alignment horizontal="center"/>
    </xf>
    <xf numFmtId="0" fontId="4" fillId="0" borderId="0" xfId="0" applyFont="1" applyAlignment="1">
      <alignment horizontal="center"/>
    </xf>
    <xf numFmtId="17" fontId="4" fillId="0" borderId="0" xfId="0" applyNumberFormat="1" applyFont="1" applyAlignment="1">
      <alignment horizontal="left"/>
    </xf>
    <xf numFmtId="168" fontId="4" fillId="33" borderId="0" xfId="0" applyNumberFormat="1" applyFont="1" applyFill="1" applyAlignment="1">
      <alignment horizontal="center"/>
    </xf>
    <xf numFmtId="3" fontId="4" fillId="0" borderId="0" xfId="0" applyNumberFormat="1" applyFont="1" applyAlignment="1">
      <alignment horizontal="center"/>
    </xf>
    <xf numFmtId="168" fontId="4" fillId="0" borderId="0" xfId="0" applyNumberFormat="1" applyFont="1" applyAlignment="1">
      <alignment horizontal="center"/>
    </xf>
    <xf numFmtId="1" fontId="4" fillId="33" borderId="0" xfId="0" applyNumberFormat="1" applyFont="1" applyFill="1" applyAlignment="1">
      <alignment horizontal="center"/>
    </xf>
    <xf numFmtId="0" fontId="2" fillId="33" borderId="0" xfId="0" applyFont="1" applyFill="1" applyAlignment="1">
      <alignment horizontal="center"/>
    </xf>
    <xf numFmtId="4" fontId="2" fillId="33" borderId="0" xfId="0" applyNumberFormat="1" applyFont="1" applyFill="1" applyAlignment="1">
      <alignment horizontal="center"/>
    </xf>
    <xf numFmtId="0" fontId="61" fillId="0" borderId="0" xfId="0" applyFont="1" applyAlignment="1">
      <alignment horizontal="center" wrapText="1"/>
    </xf>
    <xf numFmtId="3" fontId="61" fillId="0" borderId="0" xfId="0" applyNumberFormat="1" applyFont="1" applyAlignment="1">
      <alignment horizontal="center" wrapText="1"/>
    </xf>
    <xf numFmtId="3" fontId="4" fillId="0" borderId="0" xfId="0" applyNumberFormat="1" applyFont="1" applyAlignment="1">
      <alignment horizontal="center" wrapText="1"/>
    </xf>
    <xf numFmtId="3" fontId="4" fillId="33" borderId="0" xfId="0" applyNumberFormat="1" applyFont="1" applyFill="1" applyAlignment="1">
      <alignment horizontal="left"/>
    </xf>
    <xf numFmtId="3" fontId="56" fillId="0" borderId="0" xfId="0" applyNumberFormat="1" applyFont="1" applyAlignment="1">
      <alignment horizontal="center"/>
    </xf>
    <xf numFmtId="3" fontId="56" fillId="24" borderId="10" xfId="0" applyNumberFormat="1" applyFont="1" applyFill="1" applyBorder="1" applyAlignment="1">
      <alignment horizontal="center"/>
    </xf>
    <xf numFmtId="0" fontId="0" fillId="0" borderId="10" xfId="0" applyBorder="1" applyAlignment="1">
      <alignment horizontal="center"/>
    </xf>
    <xf numFmtId="0" fontId="4" fillId="33" borderId="10" xfId="0" applyFont="1" applyFill="1" applyBorder="1" applyAlignment="1">
      <alignment horizontal="center"/>
    </xf>
    <xf numFmtId="3" fontId="4" fillId="33" borderId="10" xfId="0" applyNumberFormat="1" applyFont="1" applyFill="1" applyBorder="1" applyAlignment="1">
      <alignment horizontal="center"/>
    </xf>
    <xf numFmtId="3" fontId="4" fillId="24" borderId="10" xfId="0" applyNumberFormat="1" applyFont="1" applyFill="1" applyBorder="1" applyAlignment="1">
      <alignment horizontal="center"/>
    </xf>
    <xf numFmtId="169" fontId="4" fillId="33" borderId="0" xfId="0" applyNumberFormat="1" applyFont="1" applyFill="1" applyAlignment="1">
      <alignment horizontal="center"/>
    </xf>
    <xf numFmtId="165" fontId="4" fillId="33" borderId="0" xfId="0" applyNumberFormat="1" applyFont="1" applyFill="1" applyAlignment="1">
      <alignment horizontal="center"/>
    </xf>
    <xf numFmtId="3" fontId="0" fillId="0" borderId="0" xfId="0" applyNumberFormat="1" applyAlignment="1">
      <alignment horizontal="left" indent="2"/>
    </xf>
    <xf numFmtId="0" fontId="63" fillId="0" borderId="0" xfId="0" applyFont="1" applyAlignment="1">
      <alignment vertical="center"/>
    </xf>
    <xf numFmtId="39" fontId="64" fillId="0" borderId="0" xfId="45" applyNumberFormat="1" applyFont="1" applyAlignment="1">
      <alignment horizontal="center" vertical="center"/>
    </xf>
    <xf numFmtId="37" fontId="64" fillId="0" borderId="14" xfId="49" applyNumberFormat="1" applyFont="1" applyBorder="1" applyAlignment="1" applyProtection="1">
      <alignment horizontal="center" vertical="center"/>
    </xf>
    <xf numFmtId="38" fontId="65" fillId="0" borderId="0" xfId="51" applyNumberFormat="1" applyFont="1" applyBorder="1" applyAlignment="1">
      <alignment horizontal="left" vertical="center" indent="1"/>
    </xf>
    <xf numFmtId="0" fontId="66" fillId="0" borderId="0" xfId="0" applyFont="1" applyAlignment="1">
      <alignment vertical="center"/>
    </xf>
    <xf numFmtId="38" fontId="67" fillId="0" borderId="0" xfId="51" applyNumberFormat="1" applyFont="1" applyBorder="1" applyAlignment="1">
      <alignment horizontal="left" vertical="center"/>
    </xf>
    <xf numFmtId="0" fontId="68" fillId="0" borderId="0" xfId="49" applyFont="1" applyBorder="1" applyAlignment="1">
      <alignment horizontal="center" vertical="center"/>
    </xf>
    <xf numFmtId="39" fontId="65" fillId="0" borderId="0" xfId="49" applyNumberFormat="1" applyFont="1" applyBorder="1" applyAlignment="1">
      <alignment horizontal="center" vertical="center"/>
    </xf>
    <xf numFmtId="37" fontId="65" fillId="0" borderId="0" xfId="49" applyNumberFormat="1" applyFont="1" applyBorder="1" applyAlignment="1" applyProtection="1">
      <alignment horizontal="center" vertical="center"/>
    </xf>
    <xf numFmtId="165" fontId="65" fillId="0" borderId="0" xfId="49" applyNumberFormat="1" applyFont="1" applyBorder="1" applyAlignment="1" applyProtection="1">
      <alignment horizontal="center" vertical="center"/>
    </xf>
    <xf numFmtId="39" fontId="65" fillId="0" borderId="0" xfId="45" applyNumberFormat="1" applyFont="1" applyAlignment="1">
      <alignment horizontal="center" vertical="center"/>
    </xf>
    <xf numFmtId="38" fontId="55" fillId="0" borderId="0" xfId="51" applyNumberFormat="1" applyFont="1" applyBorder="1" applyAlignment="1">
      <alignment horizontal="left" vertical="center" indent="1"/>
    </xf>
    <xf numFmtId="0" fontId="55" fillId="0" borderId="0" xfId="0" applyFont="1" applyAlignment="1">
      <alignment vertical="center"/>
    </xf>
    <xf numFmtId="39" fontId="55" fillId="0" borderId="0" xfId="45" applyNumberFormat="1" applyFont="1" applyAlignment="1">
      <alignment horizontal="center" vertical="center"/>
    </xf>
    <xf numFmtId="37" fontId="55" fillId="0" borderId="0" xfId="49" applyNumberFormat="1" applyFont="1" applyBorder="1" applyAlignment="1" applyProtection="1">
      <alignment horizontal="center" vertical="center"/>
    </xf>
    <xf numFmtId="38" fontId="69" fillId="0" borderId="0" xfId="51" applyNumberFormat="1" applyFont="1" applyBorder="1" applyAlignment="1">
      <alignment horizontal="left" vertical="center" indent="1"/>
    </xf>
    <xf numFmtId="0" fontId="40" fillId="0" borderId="0" xfId="0" applyFont="1" applyAlignment="1">
      <alignment vertical="center"/>
    </xf>
    <xf numFmtId="39" fontId="69" fillId="0" borderId="0" xfId="45" applyNumberFormat="1" applyFont="1" applyAlignment="1">
      <alignment horizontal="center" vertical="center"/>
    </xf>
    <xf numFmtId="167" fontId="69" fillId="32" borderId="0" xfId="0" applyNumberFormat="1" applyFont="1" applyFill="1" applyBorder="1" applyAlignment="1">
      <alignment horizontal="center" vertical="center"/>
    </xf>
    <xf numFmtId="167" fontId="69" fillId="24" borderId="10" xfId="0" applyNumberFormat="1" applyFont="1" applyFill="1" applyBorder="1" applyAlignment="1">
      <alignment horizontal="center" vertical="center"/>
    </xf>
    <xf numFmtId="0" fontId="70" fillId="0" borderId="0" xfId="49" applyFont="1" applyBorder="1" applyAlignment="1">
      <alignment horizontal="center" vertical="center"/>
    </xf>
    <xf numFmtId="165" fontId="69" fillId="0" borderId="0" xfId="49" applyNumberFormat="1" applyFont="1" applyBorder="1" applyAlignment="1" applyProtection="1">
      <alignment horizontal="center" vertical="center"/>
    </xf>
    <xf numFmtId="38" fontId="71" fillId="0" borderId="0" xfId="51" applyNumberFormat="1" applyFont="1" applyBorder="1" applyAlignment="1">
      <alignment horizontal="left" vertical="center"/>
    </xf>
    <xf numFmtId="39" fontId="69" fillId="0" borderId="0" xfId="49" applyNumberFormat="1" applyFont="1" applyBorder="1" applyAlignment="1">
      <alignment horizontal="center" vertical="center"/>
    </xf>
    <xf numFmtId="37" fontId="69" fillId="0" borderId="0" xfId="49" applyNumberFormat="1" applyFont="1" applyBorder="1" applyAlignment="1" applyProtection="1">
      <alignment horizontal="center" vertical="center"/>
    </xf>
    <xf numFmtId="37" fontId="69" fillId="0" borderId="14" xfId="49" applyNumberFormat="1" applyFont="1" applyBorder="1" applyAlignment="1" applyProtection="1">
      <alignment horizontal="center" vertical="center"/>
    </xf>
    <xf numFmtId="167" fontId="55" fillId="32" borderId="0" xfId="0" applyNumberFormat="1" applyFont="1" applyFill="1" applyBorder="1" applyAlignment="1">
      <alignment horizontal="center" vertical="center"/>
    </xf>
    <xf numFmtId="167" fontId="55" fillId="24" borderId="22" xfId="0" applyNumberFormat="1" applyFont="1" applyFill="1" applyBorder="1" applyAlignment="1">
      <alignment horizontal="center" vertical="center"/>
    </xf>
    <xf numFmtId="167" fontId="55" fillId="24" borderId="23" xfId="0" applyNumberFormat="1" applyFont="1" applyFill="1" applyBorder="1" applyAlignment="1">
      <alignment horizontal="center" vertical="center"/>
    </xf>
    <xf numFmtId="39" fontId="69" fillId="0" borderId="0" xfId="45" applyNumberFormat="1" applyFont="1" applyBorder="1" applyAlignment="1">
      <alignment horizontal="center" vertical="center"/>
    </xf>
    <xf numFmtId="167" fontId="69" fillId="32" borderId="14" xfId="0" applyNumberFormat="1" applyFont="1" applyFill="1" applyBorder="1" applyAlignment="1">
      <alignment horizontal="center" vertical="center"/>
    </xf>
    <xf numFmtId="167" fontId="69" fillId="24" borderId="24" xfId="0" applyNumberFormat="1" applyFont="1" applyFill="1" applyBorder="1" applyAlignment="1">
      <alignment horizontal="center" vertical="center"/>
    </xf>
    <xf numFmtId="37" fontId="65" fillId="0" borderId="14" xfId="49" applyNumberFormat="1" applyFont="1" applyBorder="1" applyAlignment="1" applyProtection="1">
      <alignment horizontal="center" vertical="center"/>
    </xf>
    <xf numFmtId="0" fontId="72" fillId="0" borderId="0" xfId="0" applyFont="1"/>
    <xf numFmtId="41" fontId="40" fillId="0" borderId="0" xfId="0" applyNumberFormat="1" applyFont="1" applyAlignment="1">
      <alignment horizontal="center" vertical="center"/>
    </xf>
    <xf numFmtId="167" fontId="63" fillId="0" borderId="10" xfId="0" applyNumberFormat="1" applyFont="1" applyBorder="1" applyAlignment="1">
      <alignment horizontal="center" vertical="center" wrapText="1"/>
    </xf>
    <xf numFmtId="41" fontId="63" fillId="0" borderId="10" xfId="50" applyNumberFormat="1" applyFont="1" applyFill="1" applyBorder="1" applyAlignment="1">
      <alignment vertical="center"/>
    </xf>
    <xf numFmtId="10" fontId="2" fillId="0" borderId="0" xfId="0" applyNumberFormat="1" applyFont="1" applyAlignment="1">
      <alignment horizontal="center"/>
    </xf>
    <xf numFmtId="10" fontId="2" fillId="24" borderId="0" xfId="0" applyNumberFormat="1" applyFont="1" applyFill="1" applyAlignment="1">
      <alignment horizontal="center"/>
    </xf>
    <xf numFmtId="17" fontId="56" fillId="33" borderId="0" xfId="0" applyNumberFormat="1" applyFont="1" applyFill="1" applyAlignment="1">
      <alignment horizontal="center"/>
    </xf>
    <xf numFmtId="3" fontId="58" fillId="33" borderId="0" xfId="0" applyNumberFormat="1" applyFont="1" applyFill="1" applyAlignment="1">
      <alignment horizontal="center"/>
    </xf>
    <xf numFmtId="2" fontId="58" fillId="33" borderId="0" xfId="0" applyNumberFormat="1" applyFont="1" applyFill="1" applyAlignment="1">
      <alignment horizontal="center"/>
    </xf>
    <xf numFmtId="37" fontId="56" fillId="33" borderId="0" xfId="0" applyNumberFormat="1" applyFont="1" applyFill="1" applyAlignment="1">
      <alignment horizontal="center"/>
    </xf>
    <xf numFmtId="37" fontId="2" fillId="33" borderId="0" xfId="0" applyNumberFormat="1" applyFont="1" applyFill="1" applyAlignment="1">
      <alignment horizontal="center"/>
    </xf>
    <xf numFmtId="0" fontId="58" fillId="33" borderId="0" xfId="0" applyFont="1" applyFill="1" applyAlignment="1">
      <alignment horizontal="center"/>
    </xf>
    <xf numFmtId="37" fontId="58" fillId="33" borderId="0" xfId="0" applyNumberFormat="1" applyFont="1" applyFill="1" applyAlignment="1">
      <alignment horizontal="center"/>
    </xf>
    <xf numFmtId="37" fontId="4" fillId="33" borderId="0" xfId="0" applyNumberFormat="1" applyFont="1" applyFill="1" applyAlignment="1">
      <alignment horizontal="center"/>
    </xf>
    <xf numFmtId="0" fontId="73" fillId="0" borderId="0" xfId="46" applyFont="1" applyFill="1" applyAlignment="1" applyProtection="1">
      <alignment horizontal="left" vertical="center"/>
    </xf>
    <xf numFmtId="0" fontId="74" fillId="0" borderId="0" xfId="46" applyFont="1" applyFill="1" applyAlignment="1" applyProtection="1">
      <alignment horizontal="left" vertical="center" indent="1"/>
    </xf>
    <xf numFmtId="0" fontId="43" fillId="0" borderId="9" xfId="0" applyFont="1" applyFill="1" applyBorder="1" applyAlignment="1">
      <alignment horizontal="left" vertical="center"/>
    </xf>
    <xf numFmtId="0" fontId="59" fillId="0" borderId="0" xfId="0" applyFont="1" applyFill="1" applyAlignment="1">
      <alignment horizontal="left" vertical="center"/>
    </xf>
    <xf numFmtId="0" fontId="75" fillId="0" borderId="0" xfId="46" applyFont="1" applyFill="1" applyAlignment="1" applyProtection="1">
      <alignment horizontal="center" vertical="center"/>
    </xf>
    <xf numFmtId="0" fontId="75" fillId="0" borderId="0" xfId="46" applyFont="1" applyFill="1"/>
    <xf numFmtId="15" fontId="31" fillId="28" borderId="25" xfId="46" applyNumberFormat="1" applyFont="1" applyFill="1" applyBorder="1" applyAlignment="1" applyProtection="1">
      <alignment horizontal="center" vertical="center"/>
      <protection locked="0"/>
    </xf>
    <xf numFmtId="18" fontId="31" fillId="28" borderId="26" xfId="46" applyNumberFormat="1" applyFont="1" applyFill="1" applyBorder="1" applyAlignment="1" applyProtection="1">
      <alignment horizontal="center" vertical="center"/>
      <protection locked="0"/>
    </xf>
    <xf numFmtId="3" fontId="58" fillId="34" borderId="0" xfId="0" applyNumberFormat="1" applyFont="1" applyFill="1" applyAlignment="1">
      <alignment horizontal="center"/>
    </xf>
    <xf numFmtId="3" fontId="2" fillId="34" borderId="0" xfId="0" applyNumberFormat="1" applyFont="1" applyFill="1" applyAlignment="1">
      <alignment horizontal="center" wrapText="1"/>
    </xf>
    <xf numFmtId="3" fontId="2" fillId="0" borderId="0" xfId="0" applyNumberFormat="1" applyFont="1" applyFill="1" applyAlignment="1">
      <alignment horizontal="center" wrapText="1"/>
    </xf>
    <xf numFmtId="3" fontId="3" fillId="0" borderId="0" xfId="0" applyNumberFormat="1" applyFont="1" applyFill="1" applyAlignment="1">
      <alignment horizontal="center"/>
    </xf>
    <xf numFmtId="3" fontId="3" fillId="0" borderId="0" xfId="0" applyNumberFormat="1" applyFont="1" applyFill="1" applyAlignment="1">
      <alignment horizontal="center" wrapText="1"/>
    </xf>
    <xf numFmtId="0" fontId="0" fillId="0" borderId="0" xfId="0" applyAlignment="1">
      <alignment horizontal="left"/>
    </xf>
    <xf numFmtId="0" fontId="45" fillId="30" borderId="0" xfId="52" applyFont="1" applyFill="1" applyBorder="1" applyAlignment="1">
      <alignment vertical="center"/>
    </xf>
    <xf numFmtId="167" fontId="44" fillId="28" borderId="0" xfId="0" applyNumberFormat="1" applyFont="1" applyFill="1" applyBorder="1" applyAlignment="1">
      <alignment horizontal="center" vertical="center"/>
    </xf>
    <xf numFmtId="37" fontId="39" fillId="0" borderId="14" xfId="49" applyNumberFormat="1" applyFont="1" applyBorder="1" applyAlignment="1" applyProtection="1">
      <alignment horizontal="center" vertical="center"/>
    </xf>
    <xf numFmtId="167" fontId="76" fillId="32" borderId="0" xfId="0" applyNumberFormat="1" applyFont="1" applyFill="1" applyBorder="1" applyAlignment="1">
      <alignment horizontal="center" vertical="center"/>
    </xf>
    <xf numFmtId="167" fontId="69" fillId="35" borderId="0" xfId="0" applyNumberFormat="1" applyFont="1" applyFill="1" applyBorder="1" applyAlignment="1">
      <alignment horizontal="center" vertical="center"/>
    </xf>
    <xf numFmtId="37" fontId="76" fillId="0" borderId="0" xfId="49" applyNumberFormat="1" applyFont="1" applyBorder="1" applyAlignment="1" applyProtection="1">
      <alignment horizontal="center" vertical="center"/>
    </xf>
    <xf numFmtId="37" fontId="77" fillId="0" borderId="14" xfId="49" applyNumberFormat="1" applyFont="1" applyBorder="1" applyAlignment="1" applyProtection="1">
      <alignment horizontal="center" vertical="center"/>
    </xf>
    <xf numFmtId="37" fontId="78" fillId="0" borderId="14" xfId="49" applyNumberFormat="1" applyFont="1" applyBorder="1" applyAlignment="1" applyProtection="1">
      <alignment horizontal="center" vertical="center"/>
    </xf>
    <xf numFmtId="179" fontId="40" fillId="0" borderId="0" xfId="0" applyNumberFormat="1" applyFont="1" applyAlignment="1">
      <alignment horizontal="center" vertical="center"/>
    </xf>
    <xf numFmtId="37" fontId="44" fillId="36" borderId="0" xfId="49" applyNumberFormat="1" applyFont="1" applyFill="1" applyBorder="1" applyAlignment="1" applyProtection="1">
      <alignment horizontal="center" vertical="center"/>
    </xf>
    <xf numFmtId="37" fontId="44" fillId="36" borderId="14" xfId="49" applyNumberFormat="1" applyFont="1" applyFill="1" applyBorder="1" applyAlignment="1" applyProtection="1">
      <alignment horizontal="center" vertical="center"/>
    </xf>
    <xf numFmtId="1" fontId="2" fillId="33" borderId="0" xfId="0" applyNumberFormat="1" applyFont="1" applyFill="1" applyAlignment="1">
      <alignment horizontal="center"/>
    </xf>
    <xf numFmtId="17" fontId="0" fillId="0" borderId="0" xfId="0" applyNumberFormat="1"/>
    <xf numFmtId="0" fontId="79" fillId="27" borderId="27" xfId="0" applyFont="1" applyFill="1" applyBorder="1" applyAlignment="1">
      <alignment horizontal="center" vertical="top" wrapText="1"/>
    </xf>
    <xf numFmtId="0" fontId="80" fillId="32" borderId="27" xfId="0" applyFont="1" applyFill="1" applyBorder="1" applyAlignment="1">
      <alignment horizontal="right" wrapText="1"/>
    </xf>
    <xf numFmtId="0" fontId="80" fillId="27" borderId="27" xfId="0" applyFont="1" applyFill="1" applyBorder="1" applyAlignment="1">
      <alignment horizontal="right" wrapText="1"/>
    </xf>
    <xf numFmtId="0" fontId="0" fillId="0" borderId="0" xfId="0" applyBorder="1"/>
    <xf numFmtId="0" fontId="0" fillId="0" borderId="0" xfId="0" applyFill="1" applyBorder="1"/>
    <xf numFmtId="175" fontId="0" fillId="0" borderId="0" xfId="0" applyNumberFormat="1"/>
    <xf numFmtId="2" fontId="58" fillId="0" borderId="0" xfId="0" applyNumberFormat="1" applyFont="1" applyFill="1" applyAlignment="1">
      <alignment horizontal="center"/>
    </xf>
    <xf numFmtId="2" fontId="32" fillId="0" borderId="0" xfId="0" applyNumberFormat="1" applyFont="1" applyFill="1" applyAlignment="1">
      <alignment horizontal="center"/>
    </xf>
    <xf numFmtId="0" fontId="49" fillId="0" borderId="0" xfId="0" applyFont="1" applyFill="1" applyAlignment="1">
      <alignment horizontal="left" vertical="center"/>
    </xf>
    <xf numFmtId="0" fontId="49" fillId="0" borderId="0" xfId="0" applyFont="1" applyFill="1" applyAlignment="1">
      <alignment horizontal="center" vertical="center"/>
    </xf>
    <xf numFmtId="0" fontId="81" fillId="0" borderId="0" xfId="0" applyFont="1" applyAlignment="1">
      <alignment vertical="center"/>
    </xf>
    <xf numFmtId="0" fontId="82" fillId="28" borderId="0" xfId="0" applyFont="1" applyFill="1" applyAlignment="1">
      <alignment horizontal="left" vertical="center"/>
    </xf>
    <xf numFmtId="0" fontId="83" fillId="28" borderId="0" xfId="0" applyFont="1" applyFill="1" applyAlignment="1">
      <alignment horizontal="center" vertical="center"/>
    </xf>
    <xf numFmtId="0" fontId="83" fillId="0" borderId="0" xfId="0" applyFont="1" applyAlignment="1">
      <alignment vertical="center"/>
    </xf>
    <xf numFmtId="0" fontId="83" fillId="0" borderId="0" xfId="0" applyFont="1" applyAlignment="1">
      <alignment horizontal="left" vertical="center"/>
    </xf>
    <xf numFmtId="0" fontId="84" fillId="30" borderId="15" xfId="52" applyFont="1" applyFill="1" applyBorder="1" applyAlignment="1">
      <alignment horizontal="left" vertical="center"/>
    </xf>
    <xf numFmtId="0" fontId="84" fillId="30" borderId="14" xfId="52" applyFont="1" applyFill="1" applyBorder="1" applyAlignment="1">
      <alignment horizontal="center" vertical="center"/>
    </xf>
    <xf numFmtId="3" fontId="84" fillId="30" borderId="10" xfId="52" applyNumberFormat="1" applyFont="1" applyFill="1" applyBorder="1" applyAlignment="1">
      <alignment horizontal="center" vertical="center" wrapText="1"/>
    </xf>
    <xf numFmtId="0" fontId="85" fillId="0" borderId="0" xfId="0" applyFont="1" applyAlignment="1">
      <alignment vertical="center"/>
    </xf>
    <xf numFmtId="0" fontId="48" fillId="0" borderId="15" xfId="0" applyFont="1" applyBorder="1" applyAlignment="1">
      <alignment horizontal="left" vertical="center"/>
    </xf>
    <xf numFmtId="3" fontId="48" fillId="0" borderId="13" xfId="50" applyNumberFormat="1" applyFont="1" applyFill="1" applyBorder="1" applyAlignment="1">
      <alignment horizontal="center" vertical="center"/>
    </xf>
    <xf numFmtId="0" fontId="49" fillId="0" borderId="15" xfId="0" applyFont="1" applyBorder="1" applyAlignment="1">
      <alignment horizontal="left" vertical="center"/>
    </xf>
    <xf numFmtId="1" fontId="48" fillId="0" borderId="13" xfId="50" applyNumberFormat="1" applyFont="1" applyFill="1" applyBorder="1" applyAlignment="1">
      <alignment horizontal="center" vertical="center"/>
    </xf>
    <xf numFmtId="0" fontId="49" fillId="0" borderId="14" xfId="0" applyFont="1" applyBorder="1" applyAlignment="1">
      <alignment horizontal="left" vertical="center"/>
    </xf>
    <xf numFmtId="177" fontId="49" fillId="0" borderId="13" xfId="50" applyNumberFormat="1" applyFont="1" applyFill="1" applyBorder="1" applyAlignment="1">
      <alignment horizontal="center" vertical="center"/>
    </xf>
    <xf numFmtId="174" fontId="49" fillId="0" borderId="13" xfId="50" applyNumberFormat="1" applyFont="1" applyFill="1" applyBorder="1" applyAlignment="1">
      <alignment horizontal="center" vertical="center"/>
    </xf>
    <xf numFmtId="0" fontId="48" fillId="0" borderId="10" xfId="0" applyFont="1" applyBorder="1" applyAlignment="1">
      <alignment vertical="center"/>
    </xf>
    <xf numFmtId="175" fontId="48" fillId="0" borderId="13" xfId="50" applyNumberFormat="1" applyFont="1" applyFill="1" applyBorder="1" applyAlignment="1">
      <alignment horizontal="center" vertical="center"/>
    </xf>
    <xf numFmtId="177" fontId="48" fillId="0" borderId="13" xfId="50" applyNumberFormat="1" applyFont="1" applyFill="1" applyBorder="1" applyAlignment="1">
      <alignment horizontal="center" vertical="center"/>
    </xf>
    <xf numFmtId="3" fontId="48" fillId="0" borderId="10" xfId="0" applyNumberFormat="1" applyFont="1" applyBorder="1" applyAlignment="1">
      <alignment vertical="center"/>
    </xf>
    <xf numFmtId="3" fontId="49" fillId="0" borderId="13" xfId="50" applyNumberFormat="1" applyFont="1" applyFill="1" applyBorder="1" applyAlignment="1">
      <alignment horizontal="center" vertical="center"/>
    </xf>
    <xf numFmtId="3" fontId="49" fillId="0" borderId="10" xfId="0" applyNumberFormat="1" applyFont="1" applyBorder="1" applyAlignment="1">
      <alignment vertical="center"/>
    </xf>
    <xf numFmtId="3" fontId="49" fillId="0" borderId="10" xfId="0" applyNumberFormat="1" applyFont="1" applyBorder="1" applyAlignment="1">
      <alignment horizontal="center" vertical="center"/>
    </xf>
    <xf numFmtId="3" fontId="81" fillId="0" borderId="0" xfId="0" applyNumberFormat="1" applyFont="1" applyAlignment="1">
      <alignment vertical="center"/>
    </xf>
    <xf numFmtId="0" fontId="81" fillId="0" borderId="0" xfId="0" applyFont="1" applyAlignment="1">
      <alignment horizontal="left" vertical="center"/>
    </xf>
    <xf numFmtId="0" fontId="84" fillId="30" borderId="10" xfId="52" applyFont="1" applyFill="1" applyBorder="1" applyAlignment="1">
      <alignment horizontal="center" vertical="center" wrapText="1"/>
    </xf>
    <xf numFmtId="0" fontId="49" fillId="0" borderId="13" xfId="0" applyFont="1" applyBorder="1" applyAlignment="1">
      <alignment horizontal="left" vertical="center"/>
    </xf>
    <xf numFmtId="175" fontId="48" fillId="0" borderId="10" xfId="50" applyNumberFormat="1" applyFont="1" applyFill="1" applyBorder="1" applyAlignment="1">
      <alignment horizontal="center" vertical="center"/>
    </xf>
    <xf numFmtId="3" fontId="48" fillId="0" borderId="10" xfId="0" applyNumberFormat="1" applyFont="1" applyBorder="1" applyAlignment="1">
      <alignment horizontal="center" vertical="center" wrapText="1"/>
    </xf>
    <xf numFmtId="176" fontId="48" fillId="0" borderId="10" xfId="0" applyNumberFormat="1" applyFont="1" applyBorder="1" applyAlignment="1">
      <alignment horizontal="center" vertical="center"/>
    </xf>
    <xf numFmtId="177" fontId="48" fillId="0" borderId="10" xfId="0" applyNumberFormat="1" applyFont="1" applyBorder="1" applyAlignment="1">
      <alignment horizontal="center" vertical="center"/>
    </xf>
    <xf numFmtId="3" fontId="48" fillId="0" borderId="10" xfId="0" applyNumberFormat="1" applyFont="1" applyBorder="1" applyAlignment="1">
      <alignment horizontal="center" vertical="center"/>
    </xf>
    <xf numFmtId="175" fontId="49" fillId="0" borderId="10" xfId="50" applyNumberFormat="1" applyFont="1" applyFill="1" applyBorder="1" applyAlignment="1">
      <alignment horizontal="center" vertical="center"/>
    </xf>
    <xf numFmtId="176" fontId="49" fillId="0" borderId="10" xfId="0" applyNumberFormat="1" applyFont="1" applyBorder="1" applyAlignment="1">
      <alignment horizontal="center" vertical="center"/>
    </xf>
    <xf numFmtId="177" fontId="49" fillId="0" borderId="10" xfId="0" applyNumberFormat="1" applyFont="1" applyBorder="1" applyAlignment="1">
      <alignment horizontal="center" vertical="center"/>
    </xf>
    <xf numFmtId="0" fontId="48" fillId="0" borderId="0" xfId="0" applyFont="1" applyBorder="1" applyAlignment="1">
      <alignment horizontal="left" vertical="center"/>
    </xf>
    <xf numFmtId="41" fontId="48" fillId="0" borderId="0" xfId="50" applyNumberFormat="1" applyFont="1" applyFill="1" applyBorder="1" applyAlignment="1">
      <alignment vertical="center"/>
    </xf>
    <xf numFmtId="0" fontId="81" fillId="0" borderId="0" xfId="0" applyFont="1" applyBorder="1" applyAlignment="1">
      <alignment vertical="center"/>
    </xf>
    <xf numFmtId="175" fontId="81" fillId="0" borderId="0" xfId="0" applyNumberFormat="1" applyFont="1" applyAlignment="1">
      <alignment vertical="center"/>
    </xf>
    <xf numFmtId="175" fontId="49" fillId="0" borderId="13" xfId="50" applyNumberFormat="1" applyFont="1" applyFill="1" applyBorder="1" applyAlignment="1">
      <alignment horizontal="center" vertical="center"/>
    </xf>
    <xf numFmtId="175" fontId="48" fillId="0" borderId="0" xfId="0" applyNumberFormat="1" applyFont="1" applyAlignment="1">
      <alignment vertical="center"/>
    </xf>
    <xf numFmtId="3" fontId="48" fillId="0" borderId="10" xfId="50" applyNumberFormat="1" applyFont="1" applyFill="1" applyBorder="1" applyAlignment="1">
      <alignment horizontal="center" vertical="center"/>
    </xf>
    <xf numFmtId="37" fontId="81" fillId="0" borderId="0" xfId="31" applyNumberFormat="1" applyFont="1" applyFill="1" applyBorder="1" applyAlignment="1">
      <alignment vertical="center"/>
    </xf>
    <xf numFmtId="37" fontId="81" fillId="0" borderId="0" xfId="31" applyNumberFormat="1" applyFont="1" applyFill="1" applyBorder="1" applyAlignment="1">
      <alignment horizontal="center" vertical="center"/>
    </xf>
    <xf numFmtId="37" fontId="82" fillId="0" borderId="0" xfId="31" applyNumberFormat="1" applyFont="1" applyFill="1" applyBorder="1" applyAlignment="1">
      <alignment horizontal="center" vertical="center"/>
    </xf>
    <xf numFmtId="3" fontId="49" fillId="0" borderId="10" xfId="50" applyNumberFormat="1" applyFont="1" applyFill="1" applyBorder="1" applyAlignment="1">
      <alignment horizontal="center" vertical="center"/>
    </xf>
    <xf numFmtId="0" fontId="83" fillId="0" borderId="0" xfId="0" applyFont="1" applyFill="1" applyAlignment="1">
      <alignment horizontal="center" vertical="center"/>
    </xf>
    <xf numFmtId="0" fontId="83" fillId="0" borderId="0" xfId="0" applyFont="1" applyAlignment="1">
      <alignment vertical="center" wrapText="1"/>
    </xf>
    <xf numFmtId="173" fontId="83" fillId="0" borderId="0" xfId="0" applyNumberFormat="1" applyFont="1" applyBorder="1" applyAlignment="1">
      <alignment horizontal="center" vertical="center"/>
    </xf>
    <xf numFmtId="3" fontId="49" fillId="0" borderId="10" xfId="0" applyNumberFormat="1" applyFont="1" applyBorder="1" applyAlignment="1">
      <alignment horizontal="center" vertical="center" wrapText="1"/>
    </xf>
    <xf numFmtId="0" fontId="48" fillId="0" borderId="0" xfId="0" applyFont="1" applyAlignment="1">
      <alignment vertical="center"/>
    </xf>
    <xf numFmtId="165" fontId="48" fillId="0" borderId="10" xfId="0" applyNumberFormat="1" applyFont="1" applyBorder="1" applyAlignment="1">
      <alignment horizontal="center" vertical="center"/>
    </xf>
    <xf numFmtId="165" fontId="49" fillId="0" borderId="10" xfId="0" applyNumberFormat="1" applyFont="1" applyBorder="1" applyAlignment="1">
      <alignment horizontal="center" vertical="center"/>
    </xf>
    <xf numFmtId="0" fontId="85" fillId="0" borderId="0" xfId="0" applyFont="1"/>
    <xf numFmtId="165" fontId="48" fillId="0" borderId="10" xfId="50" applyNumberFormat="1" applyFont="1" applyFill="1" applyBorder="1" applyAlignment="1">
      <alignment horizontal="center" vertical="center"/>
    </xf>
    <xf numFmtId="0" fontId="81" fillId="0" borderId="0" xfId="0" applyFont="1"/>
    <xf numFmtId="0" fontId="48" fillId="0" borderId="15" xfId="0" applyFont="1" applyBorder="1" applyAlignment="1">
      <alignment horizontal="left" vertical="center" indent="1"/>
    </xf>
    <xf numFmtId="180" fontId="48" fillId="0" borderId="10" xfId="50" applyNumberFormat="1" applyFont="1" applyFill="1" applyBorder="1" applyAlignment="1">
      <alignment horizontal="center" vertical="center"/>
    </xf>
    <xf numFmtId="175" fontId="48" fillId="0" borderId="0" xfId="50" applyNumberFormat="1" applyFont="1" applyFill="1" applyBorder="1" applyAlignment="1">
      <alignment horizontal="center" vertical="center"/>
    </xf>
    <xf numFmtId="3" fontId="85" fillId="0" borderId="0" xfId="0" applyNumberFormat="1" applyFont="1" applyAlignment="1">
      <alignment vertical="center"/>
    </xf>
    <xf numFmtId="177" fontId="48" fillId="0" borderId="10" xfId="0" applyNumberFormat="1" applyFont="1" applyBorder="1" applyAlignment="1">
      <alignment horizontal="center" vertical="center" wrapText="1"/>
    </xf>
    <xf numFmtId="177" fontId="49" fillId="0" borderId="10" xfId="0" applyNumberFormat="1" applyFont="1" applyBorder="1" applyAlignment="1">
      <alignment horizontal="center" vertical="center" wrapText="1"/>
    </xf>
    <xf numFmtId="3" fontId="81" fillId="0" borderId="0" xfId="0" applyNumberFormat="1" applyFont="1" applyBorder="1" applyAlignment="1">
      <alignment horizontal="center" vertical="center" wrapText="1"/>
    </xf>
    <xf numFmtId="173" fontId="49" fillId="0" borderId="12" xfId="0" applyNumberFormat="1" applyFont="1" applyBorder="1" applyAlignment="1">
      <alignment horizontal="center" vertical="center" wrapText="1"/>
    </xf>
    <xf numFmtId="173" fontId="81" fillId="0" borderId="0" xfId="0" applyNumberFormat="1" applyFont="1" applyBorder="1" applyAlignment="1">
      <alignment horizontal="center" vertical="center" wrapText="1"/>
    </xf>
    <xf numFmtId="0" fontId="81" fillId="28" borderId="0" xfId="0" applyFont="1" applyFill="1" applyAlignment="1">
      <alignment horizontal="center" vertical="center"/>
    </xf>
    <xf numFmtId="173" fontId="81" fillId="0" borderId="0" xfId="0" applyNumberFormat="1" applyFont="1" applyBorder="1" applyAlignment="1">
      <alignment horizontal="center" vertical="center"/>
    </xf>
    <xf numFmtId="9" fontId="48" fillId="0" borderId="10" xfId="0" applyNumberFormat="1" applyFont="1" applyBorder="1" applyAlignment="1">
      <alignment horizontal="center" vertical="center" wrapText="1"/>
    </xf>
    <xf numFmtId="9" fontId="81" fillId="0" borderId="0" xfId="0" applyNumberFormat="1" applyFont="1" applyBorder="1" applyAlignment="1">
      <alignment horizontal="center" vertical="center" wrapText="1"/>
    </xf>
    <xf numFmtId="0" fontId="49" fillId="0" borderId="0" xfId="0" applyFont="1" applyAlignment="1">
      <alignment vertical="center"/>
    </xf>
    <xf numFmtId="176" fontId="49" fillId="0" borderId="12" xfId="0" applyNumberFormat="1" applyFont="1" applyBorder="1" applyAlignment="1">
      <alignment horizontal="center" vertical="center" wrapText="1"/>
    </xf>
    <xf numFmtId="180" fontId="49" fillId="0" borderId="12" xfId="0" applyNumberFormat="1" applyFont="1" applyBorder="1" applyAlignment="1">
      <alignment horizontal="center" vertical="center" wrapText="1"/>
    </xf>
    <xf numFmtId="176" fontId="81" fillId="0" borderId="0" xfId="0" applyNumberFormat="1" applyFont="1" applyBorder="1" applyAlignment="1">
      <alignment horizontal="center" vertical="center" wrapText="1"/>
    </xf>
    <xf numFmtId="0" fontId="84" fillId="30" borderId="19" xfId="52" applyFont="1" applyFill="1" applyBorder="1" applyAlignment="1">
      <alignment horizontal="left" vertical="center"/>
    </xf>
    <xf numFmtId="0" fontId="84" fillId="30" borderId="18" xfId="52" applyFont="1" applyFill="1" applyBorder="1" applyAlignment="1">
      <alignment horizontal="center" vertical="center"/>
    </xf>
    <xf numFmtId="0" fontId="84" fillId="30" borderId="11" xfId="52" applyFont="1" applyFill="1" applyBorder="1" applyAlignment="1">
      <alignment horizontal="center" vertical="center" wrapText="1"/>
    </xf>
    <xf numFmtId="0" fontId="48" fillId="0" borderId="28" xfId="0" applyFont="1" applyBorder="1" applyAlignment="1">
      <alignment horizontal="left" vertical="center"/>
    </xf>
    <xf numFmtId="0" fontId="48" fillId="0" borderId="29" xfId="0" applyFont="1" applyBorder="1" applyAlignment="1">
      <alignment horizontal="left" vertical="center"/>
    </xf>
    <xf numFmtId="3" fontId="48" fillId="0" borderId="12" xfId="0" applyNumberFormat="1" applyFont="1" applyBorder="1" applyAlignment="1">
      <alignment horizontal="center" vertical="center" wrapText="1"/>
    </xf>
    <xf numFmtId="178" fontId="48" fillId="0" borderId="10" xfId="0" applyNumberFormat="1" applyFont="1" applyBorder="1" applyAlignment="1">
      <alignment horizontal="center" vertical="center" wrapText="1"/>
    </xf>
    <xf numFmtId="178" fontId="49" fillId="0" borderId="10" xfId="0" applyNumberFormat="1" applyFont="1" applyBorder="1" applyAlignment="1">
      <alignment horizontal="center" vertical="center" wrapText="1"/>
    </xf>
    <xf numFmtId="178" fontId="81" fillId="0" borderId="0" xfId="0" applyNumberFormat="1" applyFont="1" applyBorder="1" applyAlignment="1">
      <alignment horizontal="center" vertical="center" wrapText="1"/>
    </xf>
    <xf numFmtId="0" fontId="43" fillId="0" borderId="0" xfId="0" applyFont="1" applyFill="1" applyAlignment="1">
      <alignment horizontal="left" vertical="center"/>
    </xf>
    <xf numFmtId="0" fontId="49" fillId="0" borderId="29" xfId="0" applyFont="1" applyBorder="1" applyAlignment="1">
      <alignment horizontal="left" vertical="center"/>
    </xf>
    <xf numFmtId="0" fontId="49" fillId="0" borderId="30" xfId="0" applyFont="1" applyBorder="1" applyAlignment="1">
      <alignment horizontal="left" vertical="center"/>
    </xf>
    <xf numFmtId="0" fontId="49" fillId="0" borderId="28" xfId="0" applyFont="1" applyBorder="1" applyAlignment="1">
      <alignment horizontal="left" vertical="center"/>
    </xf>
    <xf numFmtId="3" fontId="43" fillId="0" borderId="13" xfId="50" applyNumberFormat="1" applyFont="1" applyFill="1" applyBorder="1" applyAlignment="1">
      <alignment horizontal="center" vertical="center"/>
    </xf>
    <xf numFmtId="0" fontId="43" fillId="0" borderId="10" xfId="0" applyFont="1" applyBorder="1" applyAlignment="1">
      <alignment vertical="center"/>
    </xf>
    <xf numFmtId="3" fontId="43" fillId="0" borderId="10" xfId="0" applyNumberFormat="1" applyFont="1" applyBorder="1" applyAlignment="1">
      <alignment vertical="center"/>
    </xf>
    <xf numFmtId="1" fontId="48" fillId="0" borderId="10" xfId="50" applyNumberFormat="1" applyFont="1" applyFill="1" applyBorder="1" applyAlignment="1">
      <alignment horizontal="center" vertical="center"/>
    </xf>
    <xf numFmtId="177" fontId="49" fillId="0" borderId="10" xfId="50" applyNumberFormat="1" applyFont="1" applyFill="1" applyBorder="1" applyAlignment="1">
      <alignment horizontal="center" vertical="center"/>
    </xf>
    <xf numFmtId="0" fontId="30" fillId="28" borderId="32" xfId="46" applyFont="1" applyFill="1" applyBorder="1" applyAlignment="1" applyProtection="1">
      <alignment horizontal="center" vertical="center"/>
    </xf>
    <xf numFmtId="0" fontId="30" fillId="28" borderId="33" xfId="46" applyFont="1" applyFill="1" applyBorder="1" applyAlignment="1" applyProtection="1">
      <alignment horizontal="center" vertical="center"/>
    </xf>
    <xf numFmtId="0" fontId="59" fillId="0" borderId="0" xfId="0" applyFont="1"/>
    <xf numFmtId="0" fontId="40" fillId="33" borderId="0" xfId="0" applyFont="1" applyFill="1" applyAlignment="1">
      <alignment horizontal="center" vertical="center"/>
    </xf>
    <xf numFmtId="0" fontId="41" fillId="29" borderId="15" xfId="0" applyFont="1" applyFill="1" applyBorder="1" applyAlignment="1">
      <alignment horizontal="center" vertical="center"/>
    </xf>
    <xf numFmtId="0" fontId="41" fillId="29" borderId="13" xfId="0" applyFont="1" applyFill="1" applyBorder="1" applyAlignment="1">
      <alignment horizontal="center" vertical="center"/>
    </xf>
    <xf numFmtId="0" fontId="44" fillId="28" borderId="15" xfId="0" applyFont="1" applyFill="1" applyBorder="1" applyAlignment="1">
      <alignment horizontal="center" vertical="center"/>
    </xf>
    <xf numFmtId="0" fontId="44" fillId="28" borderId="13" xfId="0" applyFont="1" applyFill="1" applyBorder="1" applyAlignment="1">
      <alignment horizontal="center" vertical="center"/>
    </xf>
    <xf numFmtId="0" fontId="44" fillId="28" borderId="14" xfId="0" applyFont="1" applyFill="1" applyBorder="1" applyAlignment="1">
      <alignment horizontal="center" vertical="center"/>
    </xf>
    <xf numFmtId="0" fontId="4" fillId="33" borderId="25" xfId="0" applyFont="1" applyFill="1" applyBorder="1" applyAlignment="1">
      <alignment horizontal="center"/>
    </xf>
    <xf numFmtId="0" fontId="4" fillId="33" borderId="26" xfId="0" applyFont="1" applyFill="1" applyBorder="1" applyAlignment="1">
      <alignment horizontal="center"/>
    </xf>
    <xf numFmtId="0" fontId="4" fillId="33" borderId="34" xfId="0" applyFont="1" applyFill="1" applyBorder="1" applyAlignment="1">
      <alignment horizontal="center"/>
    </xf>
    <xf numFmtId="0" fontId="4" fillId="33" borderId="35" xfId="0" applyFont="1" applyFill="1" applyBorder="1" applyAlignment="1">
      <alignment horizontal="center"/>
    </xf>
    <xf numFmtId="0" fontId="32" fillId="25" borderId="0" xfId="0" applyFont="1" applyFill="1" applyAlignment="1">
      <alignment horizontal="left" indent="2"/>
    </xf>
    <xf numFmtId="0" fontId="32" fillId="25" borderId="0" xfId="0" applyFont="1" applyFill="1" applyAlignment="1">
      <alignment horizontal="center"/>
    </xf>
    <xf numFmtId="0" fontId="4" fillId="33" borderId="0" xfId="0" applyFont="1" applyFill="1" applyAlignment="1">
      <alignment horizontal="center"/>
    </xf>
    <xf numFmtId="0" fontId="33" fillId="0" borderId="11" xfId="48" applyFont="1" applyFill="1" applyBorder="1" applyAlignment="1">
      <alignment horizontal="center" vertical="center"/>
    </xf>
    <xf numFmtId="0" fontId="0" fillId="0" borderId="12" xfId="0" applyFill="1" applyBorder="1" applyAlignment="1">
      <alignment horizontal="center" vertical="center"/>
    </xf>
    <xf numFmtId="15" fontId="33" fillId="0" borderId="11" xfId="48" applyNumberFormat="1" applyFill="1" applyBorder="1" applyAlignment="1">
      <alignment horizontal="left" vertical="center"/>
    </xf>
    <xf numFmtId="0" fontId="0" fillId="0" borderId="12" xfId="0" applyFill="1" applyBorder="1" applyAlignment="1">
      <alignment horizontal="left" vertical="center"/>
    </xf>
    <xf numFmtId="0" fontId="33" fillId="0" borderId="11" xfId="48" applyFont="1" applyFill="1" applyBorder="1" applyAlignment="1">
      <alignment vertical="center"/>
    </xf>
    <xf numFmtId="0" fontId="0" fillId="0" borderId="12" xfId="0" applyFill="1" applyBorder="1" applyAlignment="1">
      <alignment vertical="center"/>
    </xf>
    <xf numFmtId="0" fontId="0" fillId="0" borderId="31" xfId="0" applyBorder="1" applyAlignment="1">
      <alignment horizontal="left" vertical="center"/>
    </xf>
    <xf numFmtId="0" fontId="0" fillId="0" borderId="12" xfId="0" applyBorder="1" applyAlignment="1">
      <alignment horizontal="left" vertical="center"/>
    </xf>
    <xf numFmtId="15" fontId="33" fillId="0" borderId="11" xfId="48" applyNumberFormat="1" applyFont="1" applyFill="1" applyBorder="1" applyAlignment="1">
      <alignment horizontal="left" vertical="center" wrapText="1"/>
    </xf>
    <xf numFmtId="0" fontId="0" fillId="0" borderId="31" xfId="0" applyBorder="1" applyAlignment="1">
      <alignment vertical="center"/>
    </xf>
    <xf numFmtId="0" fontId="0" fillId="0" borderId="12" xfId="0" applyBorder="1" applyAlignment="1">
      <alignment vertical="center"/>
    </xf>
    <xf numFmtId="0" fontId="33" fillId="0" borderId="11" xfId="48" applyFont="1" applyBorder="1" applyAlignment="1">
      <alignment horizontal="center" vertical="center"/>
    </xf>
    <xf numFmtId="0" fontId="0" fillId="0" borderId="31" xfId="0" applyBorder="1" applyAlignment="1">
      <alignment horizontal="center" vertical="center"/>
    </xf>
    <xf numFmtId="0" fontId="0" fillId="0" borderId="12" xfId="0" applyBorder="1" applyAlignment="1">
      <alignment horizontal="center" vertical="center"/>
    </xf>
  </cellXfs>
  <cellStyles count="6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Exhibit 4 Total Loss Factors August 08 07 (Final)" xfId="29"/>
    <cellStyle name="Comma_OPDC_RA2009_Exhibits" xfId="30"/>
    <cellStyle name="Comma_OPDC_RA2009_Rates Design" xfId="31"/>
    <cellStyle name="Comma0" xfId="32"/>
    <cellStyle name="Currency0" xfId="33"/>
    <cellStyle name="Date" xfId="34"/>
    <cellStyle name="Explanatory Text" xfId="35" builtinId="53" customBuiltin="1"/>
    <cellStyle name="Fixed" xfId="36"/>
    <cellStyle name="Good" xfId="37" builtinId="26" customBuiltin="1"/>
    <cellStyle name="Heading 1" xfId="38" builtinId="16" customBuiltin="1"/>
    <cellStyle name="Heading 2" xfId="39" builtinId="17" customBuiltin="1"/>
    <cellStyle name="Heading 3" xfId="40" builtinId="18" customBuiltin="1"/>
    <cellStyle name="Heading 4" xfId="41" builtinId="19" customBuiltin="1"/>
    <cellStyle name="Input" xfId="42" builtinId="20" customBuiltin="1"/>
    <cellStyle name="Linked Cell" xfId="43" builtinId="24" customBuiltin="1"/>
    <cellStyle name="Neutral" xfId="44" builtinId="28" customBuiltin="1"/>
    <cellStyle name="Normal" xfId="0" builtinId="0"/>
    <cellStyle name="Normal_1999 Annual Statistics Customer Data" xfId="45"/>
    <cellStyle name="Normal_2000 Month End Commission Reporting" xfId="46"/>
    <cellStyle name="Normal_2006 Income Statement" xfId="47"/>
    <cellStyle name="Normal_ChathamKent April 23" xfId="48"/>
    <cellStyle name="Normal_Energy Stats" xfId="49"/>
    <cellStyle name="Normal_OEB Trial Balance - Regulatory-July24-07" xfId="50"/>
    <cellStyle name="Normal_Service Revenues History_96 to 98" xfId="51"/>
    <cellStyle name="Normal_Sheet2" xfId="52"/>
    <cellStyle name="Note" xfId="53" builtinId="10" customBuiltin="1"/>
    <cellStyle name="Output" xfId="54" builtinId="21" customBuiltin="1"/>
    <cellStyle name="Percent" xfId="55" builtinId="5"/>
    <cellStyle name="STYLE1" xfId="56"/>
    <cellStyle name="Subtotal" xfId="57"/>
    <cellStyle name="Title" xfId="58" builtinId="15" customBuiltin="1"/>
    <cellStyle name="Total" xfId="59" builtinId="25" customBuiltin="1"/>
    <cellStyle name="Warning Text" xfId="60"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theme" Target="theme/theme1.xml"/><Relationship Id="rId10" Type="http://schemas.openxmlformats.org/officeDocument/2006/relationships/worksheet" Target="worksheets/sheet9.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Actual vs. Predicted Purchases (Millions of kWhs)</a:t>
            </a:r>
          </a:p>
        </c:rich>
      </c:tx>
      <c:layout>
        <c:manualLayout>
          <c:xMode val="edge"/>
          <c:yMode val="edge"/>
          <c:x val="0.17425083240843545"/>
          <c:y val="3.9151712887438822E-2"/>
        </c:manualLayout>
      </c:layout>
      <c:spPr>
        <a:noFill/>
        <a:ln w="25400">
          <a:noFill/>
        </a:ln>
      </c:spPr>
    </c:title>
    <c:plotArea>
      <c:layout>
        <c:manualLayout>
          <c:layoutTarget val="inner"/>
          <c:xMode val="edge"/>
          <c:yMode val="edge"/>
          <c:x val="8.5460599334073267E-2"/>
          <c:y val="0.13050570962479607"/>
          <c:w val="0.86348501664817234"/>
          <c:h val="0.73735725938009922"/>
        </c:manualLayout>
      </c:layout>
      <c:barChart>
        <c:barDir val="col"/>
        <c:grouping val="clustered"/>
        <c:ser>
          <c:idx val="0"/>
          <c:order val="0"/>
          <c:tx>
            <c:strRef>
              <c:f>'Exhibit 3 Tables'!$E$108</c:f>
              <c:strCache>
                <c:ptCount val="1"/>
                <c:pt idx="0">
                  <c:v>Actual </c:v>
                </c:pt>
              </c:strCache>
            </c:strRef>
          </c:tx>
          <c:spPr>
            <a:solidFill>
              <a:srgbClr val="FFFFFF"/>
            </a:solidFill>
            <a:ln w="12700">
              <a:solidFill>
                <a:srgbClr val="000000"/>
              </a:solidFill>
              <a:prstDash val="solid"/>
            </a:ln>
          </c:spPr>
          <c:cat>
            <c:numRef>
              <c:f>'Exhibit 3 Tables'!$B$111:$B$123</c:f>
              <c:numCache>
                <c:formatCode>General</c:formatCode>
                <c:ptCount val="1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numCache>
            </c:numRef>
          </c:cat>
          <c:val>
            <c:numRef>
              <c:f>'Exhibit 3 Tables'!$E$111:$E$123</c:f>
              <c:numCache>
                <c:formatCode>0.0</c:formatCode>
                <c:ptCount val="13"/>
                <c:pt idx="0">
                  <c:v>300.91093298999999</c:v>
                </c:pt>
                <c:pt idx="1">
                  <c:v>302.782938</c:v>
                </c:pt>
                <c:pt idx="2">
                  <c:v>298.89460526938092</c:v>
                </c:pt>
                <c:pt idx="3">
                  <c:v>309.67396878091085</c:v>
                </c:pt>
                <c:pt idx="4">
                  <c:v>315.12497137999998</c:v>
                </c:pt>
                <c:pt idx="5">
                  <c:v>316.39665649</c:v>
                </c:pt>
                <c:pt idx="6">
                  <c:v>327.85885501000007</c:v>
                </c:pt>
                <c:pt idx="7">
                  <c:v>326.75873668000008</c:v>
                </c:pt>
                <c:pt idx="8">
                  <c:v>329.58305743</c:v>
                </c:pt>
                <c:pt idx="9">
                  <c:v>346.92294126000002</c:v>
                </c:pt>
                <c:pt idx="10">
                  <c:v>339.83666157000005</c:v>
                </c:pt>
                <c:pt idx="11">
                  <c:v>340.35091499999999</c:v>
                </c:pt>
                <c:pt idx="12">
                  <c:v>337.34221200000002</c:v>
                </c:pt>
              </c:numCache>
            </c:numRef>
          </c:val>
        </c:ser>
        <c:ser>
          <c:idx val="1"/>
          <c:order val="1"/>
          <c:tx>
            <c:strRef>
              <c:f>'Exhibit 3 Tables'!$F$108</c:f>
              <c:strCache>
                <c:ptCount val="1"/>
                <c:pt idx="0">
                  <c:v>Predicted </c:v>
                </c:pt>
              </c:strCache>
            </c:strRef>
          </c:tx>
          <c:spPr>
            <a:solidFill>
              <a:srgbClr val="000000"/>
            </a:solidFill>
            <a:ln w="12700">
              <a:solidFill>
                <a:srgbClr val="000000"/>
              </a:solidFill>
              <a:prstDash val="solid"/>
            </a:ln>
          </c:spPr>
          <c:cat>
            <c:numRef>
              <c:f>'Exhibit 3 Tables'!$B$111:$B$123</c:f>
              <c:numCache>
                <c:formatCode>General</c:formatCode>
                <c:ptCount val="13"/>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numCache>
            </c:numRef>
          </c:cat>
          <c:val>
            <c:numRef>
              <c:f>'Exhibit 3 Tables'!$F$111:$F$123</c:f>
              <c:numCache>
                <c:formatCode>0.0</c:formatCode>
                <c:ptCount val="13"/>
                <c:pt idx="0">
                  <c:v>300.35031664509324</c:v>
                </c:pt>
                <c:pt idx="1">
                  <c:v>302.4047236800323</c:v>
                </c:pt>
                <c:pt idx="2">
                  <c:v>300.58675393161838</c:v>
                </c:pt>
                <c:pt idx="3">
                  <c:v>307.833479242436</c:v>
                </c:pt>
                <c:pt idx="4">
                  <c:v>315.2776839965901</c:v>
                </c:pt>
                <c:pt idx="5">
                  <c:v>318.68574102586962</c:v>
                </c:pt>
                <c:pt idx="6">
                  <c:v>328.12084452430133</c:v>
                </c:pt>
                <c:pt idx="7">
                  <c:v>328.20024707995202</c:v>
                </c:pt>
                <c:pt idx="8">
                  <c:v>330.62050472542535</c:v>
                </c:pt>
                <c:pt idx="9">
                  <c:v>341.46669062847178</c:v>
                </c:pt>
                <c:pt idx="10">
                  <c:v>337.10984835921801</c:v>
                </c:pt>
                <c:pt idx="11">
                  <c:v>342.27812891195981</c:v>
                </c:pt>
                <c:pt idx="12">
                  <c:v>339.50248910932589</c:v>
                </c:pt>
              </c:numCache>
            </c:numRef>
          </c:val>
        </c:ser>
        <c:axId val="108767488"/>
        <c:axId val="108773376"/>
      </c:barChart>
      <c:catAx>
        <c:axId val="108767488"/>
        <c:scaling>
          <c:orientation val="minMax"/>
        </c:scaling>
        <c:axPos val="b"/>
        <c:numFmt formatCode="General" sourceLinked="1"/>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08773376"/>
        <c:crosses val="autoZero"/>
        <c:auto val="1"/>
        <c:lblAlgn val="ctr"/>
        <c:lblOffset val="100"/>
        <c:tickLblSkip val="1"/>
        <c:tickMarkSkip val="1"/>
      </c:catAx>
      <c:valAx>
        <c:axId val="108773376"/>
        <c:scaling>
          <c:orientation val="minMax"/>
          <c:min val="0"/>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108767488"/>
        <c:crosses val="autoZero"/>
        <c:crossBetween val="between"/>
      </c:valAx>
      <c:spPr>
        <a:solidFill>
          <a:srgbClr val="C0C0C0"/>
        </a:solidFill>
        <a:ln w="12700">
          <a:solidFill>
            <a:srgbClr val="808080"/>
          </a:solidFill>
          <a:prstDash val="solid"/>
        </a:ln>
      </c:spPr>
    </c:plotArea>
    <c:legend>
      <c:legendPos val="b"/>
      <c:layout>
        <c:manualLayout>
          <c:xMode val="edge"/>
          <c:yMode val="edge"/>
          <c:x val="0.37957824639289811"/>
          <c:y val="0.94616639477977149"/>
          <c:w val="0.22308546059933454"/>
          <c:h val="4.8939641109298562E-2"/>
        </c:manualLayout>
      </c:layout>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tabColor indexed="18"/>
  </sheetPr>
  <sheetViews>
    <sheetView workbookViewId="0"/>
  </sheetViews>
  <pageMargins left="0.75" right="0.75" top="1" bottom="1" header="0.5" footer="0.5"/>
  <pageSetup orientation="landscape" verticalDpi="12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3</xdr:col>
      <xdr:colOff>133350</xdr:colOff>
      <xdr:row>6</xdr:row>
      <xdr:rowOff>142875</xdr:rowOff>
    </xdr:to>
    <xdr:pic>
      <xdr:nvPicPr>
        <xdr:cNvPr id="13313" name="Picture 1" descr="OP_logo_white_bkg"/>
        <xdr:cNvPicPr>
          <a:picLocks noChangeAspect="1" noChangeArrowheads="1"/>
        </xdr:cNvPicPr>
      </xdr:nvPicPr>
      <xdr:blipFill>
        <a:blip xmlns:r="http://schemas.openxmlformats.org/officeDocument/2006/relationships" r:embed="rId1" cstate="print"/>
        <a:srcRect/>
        <a:stretch>
          <a:fillRect/>
        </a:stretch>
      </xdr:blipFill>
      <xdr:spPr bwMode="auto">
        <a:xfrm>
          <a:off x="276225" y="142875"/>
          <a:ext cx="2619375" cy="13716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Richmond%20Hill\Year%20End\RHH96YE_%20MEA%20Statistic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ummy%20Fil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Dummy File"/>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sheetPr enableFormatConditionsCalculation="0">
    <tabColor indexed="8"/>
  </sheetPr>
  <dimension ref="B1:S26"/>
  <sheetViews>
    <sheetView showGridLines="0" workbookViewId="0">
      <selection activeCell="C26" sqref="C26"/>
    </sheetView>
  </sheetViews>
  <sheetFormatPr defaultColWidth="13.7109375" defaultRowHeight="18" customHeight="1"/>
  <cols>
    <col min="1" max="1" width="1.7109375" style="32" customWidth="1"/>
    <col min="2" max="11" width="19.85546875" style="32" customWidth="1"/>
    <col min="12" max="16384" width="13.7109375" style="32"/>
  </cols>
  <sheetData>
    <row r="1" spans="2:19" ht="18" customHeight="1">
      <c r="B1" s="31"/>
      <c r="C1" s="31"/>
      <c r="D1" s="31"/>
      <c r="G1" s="33"/>
      <c r="H1" s="33"/>
      <c r="I1" s="33"/>
      <c r="J1" s="33"/>
      <c r="K1" s="33"/>
      <c r="L1" s="33"/>
      <c r="M1" s="33"/>
      <c r="N1" s="33"/>
      <c r="O1" s="33"/>
      <c r="P1" s="33"/>
      <c r="Q1" s="33"/>
      <c r="R1" s="33"/>
      <c r="S1" s="33"/>
    </row>
    <row r="2" spans="2:19" ht="18" customHeight="1">
      <c r="B2" s="31"/>
      <c r="C2" s="31"/>
      <c r="D2" s="31"/>
      <c r="G2" s="33"/>
      <c r="H2" s="33"/>
      <c r="I2" s="33"/>
      <c r="J2" s="33"/>
      <c r="K2" s="33"/>
      <c r="L2" s="33"/>
      <c r="M2" s="33"/>
      <c r="N2" s="33"/>
      <c r="O2" s="33"/>
      <c r="P2" s="33"/>
      <c r="Q2" s="33"/>
      <c r="R2" s="33"/>
      <c r="S2" s="33"/>
    </row>
    <row r="3" spans="2:19" ht="18" customHeight="1">
      <c r="B3" s="31"/>
      <c r="C3" s="31"/>
      <c r="D3" s="31"/>
      <c r="E3" s="33"/>
      <c r="F3" s="33"/>
      <c r="G3" s="33"/>
      <c r="H3" s="33"/>
      <c r="I3" s="33"/>
      <c r="J3" s="33"/>
      <c r="K3" s="33"/>
      <c r="L3" s="33"/>
      <c r="M3" s="33"/>
      <c r="N3" s="33"/>
      <c r="O3" s="33"/>
      <c r="P3" s="33"/>
      <c r="Q3" s="33"/>
      <c r="R3" s="33"/>
      <c r="S3" s="33"/>
    </row>
    <row r="4" spans="2:19" ht="18" customHeight="1">
      <c r="B4" s="31"/>
      <c r="C4" s="31"/>
      <c r="D4" s="31"/>
      <c r="E4" s="33"/>
      <c r="F4" s="33"/>
      <c r="G4" s="33"/>
      <c r="H4" s="33"/>
      <c r="I4" s="33"/>
      <c r="J4" s="33"/>
      <c r="K4" s="33"/>
      <c r="L4" s="33"/>
      <c r="M4" s="33"/>
      <c r="N4" s="33"/>
      <c r="O4" s="33"/>
      <c r="P4" s="33"/>
      <c r="Q4" s="33"/>
      <c r="R4" s="33"/>
      <c r="S4" s="33"/>
    </row>
    <row r="5" spans="2:19" ht="18" customHeight="1">
      <c r="B5" s="31"/>
      <c r="C5" s="31"/>
      <c r="D5" s="31"/>
      <c r="E5" s="33"/>
      <c r="F5" s="33"/>
      <c r="G5" s="33"/>
      <c r="H5" s="33"/>
      <c r="I5" s="33"/>
      <c r="J5" s="33"/>
      <c r="K5" s="33"/>
      <c r="L5" s="33"/>
      <c r="M5" s="33"/>
      <c r="N5" s="33"/>
      <c r="O5" s="33"/>
      <c r="P5" s="33"/>
      <c r="Q5" s="33"/>
      <c r="R5" s="33"/>
      <c r="S5" s="33"/>
    </row>
    <row r="6" spans="2:19" ht="18" customHeight="1">
      <c r="B6" s="31"/>
      <c r="C6" s="31"/>
      <c r="D6" s="31"/>
      <c r="E6" s="33"/>
      <c r="F6" s="33"/>
      <c r="G6" s="33"/>
      <c r="H6" s="33"/>
      <c r="I6" s="33"/>
      <c r="J6" s="33"/>
      <c r="K6" s="33"/>
      <c r="L6" s="33"/>
      <c r="M6" s="33"/>
      <c r="N6" s="33"/>
      <c r="O6" s="33"/>
      <c r="P6" s="33"/>
      <c r="Q6" s="33"/>
      <c r="R6" s="33"/>
      <c r="S6" s="33"/>
    </row>
    <row r="7" spans="2:19" ht="18" customHeight="1">
      <c r="B7" s="31"/>
      <c r="C7" s="31"/>
      <c r="D7" s="31"/>
      <c r="E7" s="33"/>
      <c r="F7" s="33"/>
      <c r="G7" s="33"/>
      <c r="H7" s="33"/>
      <c r="I7" s="33"/>
      <c r="J7" s="33"/>
      <c r="K7" s="33"/>
      <c r="L7" s="33"/>
      <c r="M7" s="33"/>
      <c r="N7" s="33"/>
      <c r="O7" s="33"/>
      <c r="P7" s="33"/>
      <c r="Q7" s="33"/>
      <c r="R7" s="33"/>
      <c r="S7" s="33"/>
    </row>
    <row r="8" spans="2:19" ht="18" customHeight="1">
      <c r="B8" s="31"/>
      <c r="C8" s="31"/>
      <c r="D8" s="31"/>
      <c r="E8" s="33"/>
      <c r="F8" s="33"/>
      <c r="G8" s="33"/>
      <c r="H8" s="33"/>
      <c r="I8" s="33"/>
      <c r="J8" s="33"/>
      <c r="K8" s="33"/>
      <c r="L8" s="33"/>
      <c r="M8" s="33"/>
      <c r="N8" s="33"/>
      <c r="O8" s="33"/>
      <c r="P8" s="33"/>
      <c r="Q8" s="33"/>
      <c r="R8" s="33"/>
      <c r="S8" s="33"/>
    </row>
    <row r="9" spans="2:19" ht="18" customHeight="1">
      <c r="B9" s="31"/>
      <c r="C9" s="31"/>
      <c r="D9" s="31"/>
      <c r="E9" s="33"/>
      <c r="F9" s="33"/>
      <c r="G9" s="33"/>
      <c r="H9" s="33"/>
      <c r="I9" s="33"/>
      <c r="J9" s="33"/>
      <c r="K9" s="33"/>
      <c r="L9" s="33"/>
      <c r="M9" s="33"/>
      <c r="N9" s="33"/>
      <c r="O9" s="33"/>
      <c r="P9" s="33"/>
      <c r="Q9" s="33"/>
      <c r="R9" s="33"/>
      <c r="S9" s="33"/>
    </row>
    <row r="10" spans="2:19" ht="55.5">
      <c r="B10" s="287" t="s">
        <v>82</v>
      </c>
      <c r="C10" s="34"/>
      <c r="D10" s="34"/>
      <c r="E10" s="33"/>
      <c r="F10" s="33"/>
      <c r="G10" s="33"/>
      <c r="H10" s="33"/>
      <c r="I10" s="33"/>
      <c r="J10" s="33"/>
      <c r="K10" s="33"/>
      <c r="L10" s="33"/>
      <c r="M10" s="33"/>
      <c r="N10" s="33"/>
      <c r="O10" s="33"/>
      <c r="P10" s="33"/>
      <c r="Q10" s="33"/>
      <c r="R10" s="33"/>
      <c r="S10" s="33"/>
    </row>
    <row r="11" spans="2:19" ht="41.25">
      <c r="B11" s="288" t="s">
        <v>310</v>
      </c>
      <c r="C11" s="34"/>
      <c r="D11" s="34"/>
      <c r="E11" s="33"/>
      <c r="F11" s="33"/>
      <c r="G11" s="33"/>
      <c r="H11" s="33"/>
      <c r="I11" s="33"/>
      <c r="J11" s="33"/>
      <c r="K11" s="33"/>
      <c r="L11" s="33"/>
      <c r="M11" s="33"/>
      <c r="N11" s="33"/>
      <c r="O11" s="33"/>
      <c r="P11" s="33"/>
      <c r="Q11" s="33"/>
      <c r="R11" s="33"/>
      <c r="S11" s="33"/>
    </row>
    <row r="12" spans="2:19" ht="18" customHeight="1">
      <c r="B12" s="35"/>
      <c r="C12" s="34"/>
      <c r="D12" s="34"/>
      <c r="E12" s="33"/>
      <c r="F12" s="33"/>
      <c r="G12" s="33"/>
      <c r="H12" s="33"/>
      <c r="I12" s="33"/>
      <c r="J12" s="33"/>
      <c r="K12" s="33"/>
      <c r="L12" s="33"/>
      <c r="M12" s="33"/>
      <c r="N12" s="33"/>
      <c r="O12" s="33"/>
      <c r="P12" s="33"/>
      <c r="Q12" s="33"/>
      <c r="R12" s="33"/>
      <c r="S12" s="33"/>
    </row>
    <row r="13" spans="2:19" ht="18" customHeight="1" thickBot="1">
      <c r="B13" s="289" t="s">
        <v>83</v>
      </c>
      <c r="C13" s="36"/>
      <c r="D13" s="34"/>
      <c r="E13" s="33"/>
      <c r="F13" s="33"/>
      <c r="G13" s="33"/>
      <c r="H13" s="33"/>
      <c r="I13" s="33"/>
      <c r="J13" s="33"/>
      <c r="K13" s="33"/>
      <c r="L13" s="33"/>
      <c r="M13" s="33"/>
      <c r="N13" s="33"/>
      <c r="O13" s="33"/>
      <c r="P13" s="33"/>
      <c r="Q13" s="33"/>
      <c r="R13" s="33"/>
      <c r="S13" s="33"/>
    </row>
    <row r="14" spans="2:19" ht="18" customHeight="1">
      <c r="B14" s="290" t="s">
        <v>84</v>
      </c>
      <c r="C14" s="291"/>
      <c r="D14" s="291"/>
      <c r="E14" s="33"/>
      <c r="F14" s="33"/>
      <c r="G14" s="33"/>
      <c r="H14" s="33"/>
      <c r="I14" s="33"/>
      <c r="J14" s="33"/>
      <c r="K14" s="33"/>
      <c r="L14" s="33"/>
      <c r="M14" s="33"/>
      <c r="N14" s="33"/>
      <c r="O14" s="33"/>
      <c r="P14" s="33"/>
      <c r="Q14" s="33"/>
      <c r="R14" s="33"/>
      <c r="S14" s="33"/>
    </row>
    <row r="15" spans="2:19" ht="18" customHeight="1">
      <c r="B15" s="290" t="s">
        <v>85</v>
      </c>
      <c r="C15" s="291"/>
      <c r="D15" s="291"/>
      <c r="E15" s="33"/>
      <c r="F15" s="33"/>
      <c r="G15" s="33"/>
      <c r="H15" s="33"/>
      <c r="I15" s="33"/>
      <c r="J15" s="33"/>
      <c r="K15" s="33"/>
      <c r="L15" s="33"/>
      <c r="M15" s="33"/>
      <c r="N15" s="33"/>
      <c r="O15" s="33"/>
      <c r="P15" s="33"/>
      <c r="Q15" s="33"/>
      <c r="R15" s="33"/>
      <c r="S15" s="33"/>
    </row>
    <row r="16" spans="2:19" ht="18" customHeight="1">
      <c r="B16" s="290" t="s">
        <v>311</v>
      </c>
      <c r="C16" s="291"/>
      <c r="D16" s="291"/>
      <c r="E16" s="33"/>
      <c r="F16" s="33"/>
      <c r="G16" s="33"/>
      <c r="H16" s="33"/>
      <c r="I16" s="33"/>
      <c r="J16" s="33"/>
      <c r="K16" s="33"/>
      <c r="L16" s="33"/>
      <c r="M16" s="33"/>
      <c r="N16" s="33"/>
      <c r="O16" s="33"/>
      <c r="P16" s="33"/>
      <c r="Q16" s="33"/>
      <c r="R16" s="33"/>
      <c r="S16" s="33"/>
    </row>
    <row r="17" spans="2:19" ht="18" customHeight="1">
      <c r="B17" s="290" t="s">
        <v>237</v>
      </c>
      <c r="C17" s="292"/>
      <c r="D17" s="292"/>
      <c r="E17" s="33"/>
      <c r="F17" s="33"/>
      <c r="G17" s="33"/>
      <c r="H17" s="33"/>
      <c r="I17" s="33"/>
      <c r="J17" s="33"/>
      <c r="K17" s="33"/>
      <c r="L17" s="33"/>
      <c r="M17" s="33"/>
      <c r="N17" s="33"/>
      <c r="O17" s="33"/>
      <c r="P17" s="33"/>
      <c r="Q17" s="33"/>
      <c r="R17" s="33"/>
      <c r="S17" s="33"/>
    </row>
    <row r="18" spans="2:19" ht="18" customHeight="1">
      <c r="B18" s="292"/>
      <c r="C18" s="292"/>
      <c r="D18" s="292"/>
      <c r="E18" s="33"/>
      <c r="F18" s="33"/>
      <c r="G18" s="33"/>
      <c r="H18" s="33"/>
      <c r="I18" s="33"/>
      <c r="J18" s="33"/>
      <c r="K18" s="33"/>
      <c r="L18" s="33"/>
      <c r="M18" s="33"/>
      <c r="N18" s="33"/>
      <c r="O18" s="33"/>
      <c r="P18" s="33"/>
      <c r="Q18" s="33"/>
      <c r="R18" s="33"/>
      <c r="S18" s="33"/>
    </row>
    <row r="19" spans="2:19" ht="18" customHeight="1">
      <c r="B19" s="417" t="s">
        <v>312</v>
      </c>
      <c r="C19" s="417"/>
      <c r="D19" s="417"/>
      <c r="E19" s="33"/>
      <c r="F19" s="33"/>
      <c r="G19" s="33"/>
      <c r="H19" s="33"/>
      <c r="I19" s="33"/>
      <c r="J19" s="33"/>
      <c r="K19" s="33"/>
      <c r="L19" s="33"/>
      <c r="M19" s="33"/>
      <c r="N19" s="33"/>
      <c r="O19" s="33"/>
      <c r="P19" s="33"/>
      <c r="Q19" s="33"/>
      <c r="R19" s="33"/>
      <c r="S19" s="33"/>
    </row>
    <row r="20" spans="2:19" ht="18" customHeight="1">
      <c r="B20" s="417" t="s">
        <v>86</v>
      </c>
      <c r="C20" s="417"/>
      <c r="D20" s="417"/>
      <c r="E20" s="33"/>
      <c r="F20" s="33"/>
      <c r="G20" s="33"/>
      <c r="H20" s="33"/>
      <c r="I20" s="33"/>
      <c r="J20" s="33"/>
      <c r="K20" s="33"/>
      <c r="L20" s="33"/>
      <c r="M20" s="33"/>
      <c r="N20" s="33"/>
      <c r="O20" s="33"/>
      <c r="P20" s="33"/>
      <c r="Q20" s="33"/>
      <c r="R20" s="33"/>
      <c r="S20" s="33"/>
    </row>
    <row r="21" spans="2:19" ht="18" customHeight="1">
      <c r="B21" s="417" t="s">
        <v>313</v>
      </c>
      <c r="C21" s="417"/>
      <c r="D21" s="417"/>
      <c r="E21" s="33"/>
      <c r="F21" s="33"/>
      <c r="G21" s="33"/>
      <c r="H21" s="33"/>
      <c r="I21" s="33"/>
      <c r="J21" s="33"/>
      <c r="K21" s="33"/>
      <c r="L21" s="33"/>
      <c r="M21" s="33"/>
      <c r="N21" s="33"/>
      <c r="O21" s="33"/>
      <c r="P21" s="33"/>
      <c r="Q21" s="33"/>
      <c r="R21" s="33"/>
      <c r="S21" s="33"/>
    </row>
    <row r="22" spans="2:19" ht="18" customHeight="1">
      <c r="B22" s="33"/>
      <c r="C22" s="33"/>
      <c r="D22" s="33"/>
      <c r="E22" s="33"/>
      <c r="F22" s="33"/>
      <c r="G22" s="33"/>
      <c r="H22" s="33"/>
      <c r="I22" s="33"/>
      <c r="J22" s="33"/>
      <c r="K22" s="33"/>
      <c r="L22" s="33"/>
      <c r="M22" s="33"/>
      <c r="N22" s="33"/>
      <c r="O22" s="33"/>
      <c r="P22" s="33"/>
      <c r="Q22" s="33"/>
      <c r="R22" s="33"/>
      <c r="S22" s="33"/>
    </row>
    <row r="23" spans="2:19" ht="18" customHeight="1" thickBot="1">
      <c r="B23" s="33"/>
      <c r="C23" s="33"/>
      <c r="D23" s="33"/>
      <c r="E23" s="33"/>
      <c r="F23" s="33"/>
      <c r="G23" s="33"/>
      <c r="H23" s="33"/>
      <c r="I23" s="33"/>
      <c r="J23" s="33"/>
      <c r="K23" s="33"/>
      <c r="L23" s="33"/>
      <c r="M23" s="33"/>
      <c r="N23" s="33"/>
      <c r="O23" s="33"/>
      <c r="P23" s="33"/>
      <c r="Q23" s="33"/>
      <c r="R23" s="33"/>
      <c r="S23" s="33"/>
    </row>
    <row r="24" spans="2:19" ht="18" customHeight="1" thickBot="1">
      <c r="B24" s="415" t="s">
        <v>87</v>
      </c>
      <c r="C24" s="416"/>
      <c r="D24" s="33"/>
      <c r="E24" s="33"/>
      <c r="F24" s="33"/>
      <c r="G24" s="33"/>
      <c r="H24" s="33"/>
      <c r="I24" s="33"/>
      <c r="J24" s="33"/>
      <c r="K24" s="33"/>
      <c r="L24" s="33"/>
      <c r="M24" s="33"/>
      <c r="N24" s="33"/>
      <c r="O24" s="33"/>
      <c r="P24" s="33"/>
      <c r="Q24" s="33"/>
      <c r="R24" s="33"/>
      <c r="S24" s="33"/>
    </row>
    <row r="25" spans="2:19" ht="18" customHeight="1" thickBot="1">
      <c r="B25" s="293">
        <v>39995</v>
      </c>
      <c r="C25" s="294">
        <v>0.41666666666666669</v>
      </c>
      <c r="D25" s="33"/>
      <c r="E25" s="33"/>
      <c r="F25" s="33"/>
      <c r="G25" s="33"/>
      <c r="H25" s="33"/>
      <c r="I25" s="33"/>
      <c r="J25" s="33"/>
      <c r="K25" s="33"/>
      <c r="L25" s="33"/>
      <c r="M25" s="33"/>
      <c r="N25" s="33"/>
      <c r="O25" s="33"/>
      <c r="P25" s="33"/>
      <c r="Q25" s="33"/>
      <c r="R25" s="33"/>
      <c r="S25" s="33"/>
    </row>
    <row r="26" spans="2:19" ht="18" customHeight="1">
      <c r="B26" s="33"/>
      <c r="C26" s="33"/>
      <c r="D26" s="33"/>
      <c r="E26" s="33"/>
      <c r="F26" s="33"/>
      <c r="G26" s="33"/>
      <c r="H26" s="33"/>
      <c r="I26" s="33"/>
      <c r="J26" s="33"/>
      <c r="K26" s="33"/>
      <c r="L26" s="33"/>
      <c r="M26" s="33"/>
      <c r="N26" s="33"/>
      <c r="O26" s="33"/>
      <c r="P26" s="33"/>
      <c r="Q26" s="33"/>
      <c r="R26" s="33"/>
      <c r="S26" s="33"/>
    </row>
  </sheetData>
  <mergeCells count="4">
    <mergeCell ref="B24:C24"/>
    <mergeCell ref="B19:D19"/>
    <mergeCell ref="B20:D20"/>
    <mergeCell ref="B21:D21"/>
  </mergeCells>
  <phoneticPr fontId="0"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enableFormatConditionsCalculation="0">
    <tabColor indexed="48"/>
  </sheetPr>
  <dimension ref="A1:Y242"/>
  <sheetViews>
    <sheetView workbookViewId="0">
      <selection activeCell="Y16" sqref="Y16:Y27"/>
    </sheetView>
  </sheetViews>
  <sheetFormatPr defaultRowHeight="12.75"/>
  <cols>
    <col min="2" max="2" width="11.140625" customWidth="1" collapsed="1"/>
    <col min="3" max="3" width="11.85546875" customWidth="1"/>
  </cols>
  <sheetData>
    <row r="1" spans="1:25" ht="13.5" thickBot="1">
      <c r="B1" s="314" t="s">
        <v>330</v>
      </c>
      <c r="C1" s="314" t="s">
        <v>343</v>
      </c>
      <c r="D1" t="s">
        <v>330</v>
      </c>
      <c r="E1">
        <v>1989</v>
      </c>
      <c r="F1">
        <v>1990</v>
      </c>
      <c r="G1">
        <v>1991</v>
      </c>
      <c r="H1" s="317">
        <v>1992</v>
      </c>
      <c r="I1" s="317">
        <v>1993</v>
      </c>
      <c r="J1" s="317">
        <v>1994</v>
      </c>
      <c r="K1" s="317">
        <v>1995</v>
      </c>
      <c r="L1" s="317">
        <v>1996</v>
      </c>
      <c r="M1" s="317">
        <v>1997</v>
      </c>
      <c r="N1" s="317">
        <v>1998</v>
      </c>
      <c r="O1" s="317">
        <v>1999</v>
      </c>
      <c r="P1" s="317">
        <v>2000</v>
      </c>
      <c r="Q1" s="317">
        <v>2001</v>
      </c>
      <c r="R1" s="317">
        <v>2002</v>
      </c>
      <c r="S1" s="317">
        <v>2003</v>
      </c>
      <c r="T1" s="317">
        <v>2004</v>
      </c>
      <c r="U1" s="317">
        <v>2005</v>
      </c>
      <c r="V1" s="317">
        <v>2006</v>
      </c>
      <c r="W1" s="317">
        <v>2007</v>
      </c>
      <c r="X1" s="317">
        <v>2008</v>
      </c>
      <c r="Y1" s="318">
        <v>2008</v>
      </c>
    </row>
    <row r="2" spans="1:25" ht="13.5" thickBot="1">
      <c r="A2" s="313">
        <v>32539</v>
      </c>
      <c r="B2" s="315">
        <v>718.8</v>
      </c>
      <c r="C2" s="315">
        <v>0</v>
      </c>
      <c r="D2" t="s">
        <v>331</v>
      </c>
      <c r="E2">
        <f>B2</f>
        <v>718.8</v>
      </c>
      <c r="F2">
        <f>B14</f>
        <v>643.29999999999995</v>
      </c>
      <c r="G2">
        <f>B26</f>
        <v>835.6</v>
      </c>
      <c r="H2">
        <f>B38</f>
        <v>788</v>
      </c>
      <c r="I2">
        <f>B50</f>
        <v>745.2</v>
      </c>
      <c r="J2">
        <f>B62</f>
        <v>1029.9000000000001</v>
      </c>
      <c r="K2">
        <f>B74</f>
        <v>711.8</v>
      </c>
      <c r="L2">
        <f>B86</f>
        <v>839.4</v>
      </c>
      <c r="M2">
        <f>B98</f>
        <v>836.4</v>
      </c>
      <c r="N2">
        <f>B110</f>
        <v>726</v>
      </c>
      <c r="O2">
        <f>B122</f>
        <v>830.4</v>
      </c>
      <c r="P2">
        <f>B134</f>
        <v>812.5</v>
      </c>
      <c r="Q2">
        <f>B146</f>
        <v>757.4</v>
      </c>
      <c r="R2">
        <f>B158</f>
        <v>644.79999999999995</v>
      </c>
      <c r="S2">
        <f>B170</f>
        <v>898.2</v>
      </c>
      <c r="T2">
        <f>B182</f>
        <v>949.8</v>
      </c>
      <c r="U2">
        <f>B194</f>
        <v>849.1</v>
      </c>
      <c r="V2">
        <f>B206</f>
        <v>645.79999999999995</v>
      </c>
      <c r="W2">
        <f>B218</f>
        <v>778.8</v>
      </c>
      <c r="X2">
        <f>B230</f>
        <v>708.5</v>
      </c>
      <c r="Y2" s="319">
        <f>TREND(E2:X2,$E$1:$X$1,$Y$1)</f>
        <v>789.44285714285706</v>
      </c>
    </row>
    <row r="3" spans="1:25" ht="13.5" thickBot="1">
      <c r="A3" s="313">
        <v>32567</v>
      </c>
      <c r="B3" s="315">
        <v>760.5</v>
      </c>
      <c r="C3" s="315">
        <v>0</v>
      </c>
      <c r="D3" t="s">
        <v>332</v>
      </c>
      <c r="E3">
        <f t="shared" ref="E3:E13" si="0">B3</f>
        <v>760.5</v>
      </c>
      <c r="F3">
        <f t="shared" ref="F3:F13" si="1">B15</f>
        <v>672.2</v>
      </c>
      <c r="G3">
        <f t="shared" ref="G3:G13" si="2">B27</f>
        <v>649</v>
      </c>
      <c r="H3">
        <f t="shared" ref="H3:H13" si="3">B39</f>
        <v>711.7</v>
      </c>
      <c r="I3">
        <f t="shared" ref="I3:I13" si="4">B51</f>
        <v>817.6</v>
      </c>
      <c r="J3">
        <f t="shared" ref="J3:J13" si="5">B63</f>
        <v>803.3</v>
      </c>
      <c r="K3">
        <f t="shared" ref="K3:K13" si="6">B75</f>
        <v>778.1</v>
      </c>
      <c r="L3">
        <f t="shared" ref="L3:L13" si="7">B87</f>
        <v>739.6</v>
      </c>
      <c r="M3">
        <f t="shared" ref="M3:M13" si="8">B99</f>
        <v>679.5</v>
      </c>
      <c r="N3">
        <f t="shared" ref="N3:N13" si="9">B111</f>
        <v>561.79999999999995</v>
      </c>
      <c r="O3">
        <f t="shared" ref="O3:O13" si="10">B123</f>
        <v>510.9</v>
      </c>
      <c r="P3">
        <f t="shared" ref="P3:P13" si="11">B135</f>
        <v>643.9</v>
      </c>
      <c r="Q3">
        <f t="shared" ref="Q3:Q13" si="12">B147</f>
        <v>682.2</v>
      </c>
      <c r="R3">
        <f t="shared" ref="R3:R13" si="13">B159</f>
        <v>623.20000000000005</v>
      </c>
      <c r="S3">
        <f t="shared" ref="S3:S13" si="14">B171</f>
        <v>781.4</v>
      </c>
      <c r="T3">
        <f t="shared" ref="T3:T13" si="15">B183</f>
        <v>684.2</v>
      </c>
      <c r="U3">
        <f t="shared" ref="U3:U13" si="16">B195</f>
        <v>671.5</v>
      </c>
      <c r="V3">
        <f t="shared" ref="V3:V13" si="17">B207</f>
        <v>695.6</v>
      </c>
      <c r="W3">
        <f t="shared" ref="W3:W13" si="18">B219</f>
        <v>801.1</v>
      </c>
      <c r="X3">
        <f t="shared" ref="X3:X13" si="19">B231</f>
        <v>702.2</v>
      </c>
      <c r="Y3" s="319">
        <f t="shared" ref="Y3:Y13" si="20">TREND(E3:X3,$E$1:$X$1,$Y$1)</f>
        <v>684.6642857142856</v>
      </c>
    </row>
    <row r="4" spans="1:25" ht="13.5" thickBot="1">
      <c r="A4" s="313">
        <v>32598</v>
      </c>
      <c r="B4" s="315">
        <v>567.4</v>
      </c>
      <c r="C4" s="315">
        <v>0</v>
      </c>
      <c r="D4" t="s">
        <v>333</v>
      </c>
      <c r="E4">
        <f t="shared" si="0"/>
        <v>567.4</v>
      </c>
      <c r="F4">
        <f t="shared" si="1"/>
        <v>600.20000000000005</v>
      </c>
      <c r="G4">
        <f t="shared" si="2"/>
        <v>588</v>
      </c>
      <c r="H4">
        <f t="shared" si="3"/>
        <v>672.4</v>
      </c>
      <c r="I4">
        <f t="shared" si="4"/>
        <v>653.1</v>
      </c>
      <c r="J4">
        <f t="shared" si="5"/>
        <v>627.79999999999995</v>
      </c>
      <c r="K4">
        <f t="shared" si="6"/>
        <v>567</v>
      </c>
      <c r="L4">
        <f t="shared" si="7"/>
        <v>669</v>
      </c>
      <c r="M4">
        <f t="shared" si="8"/>
        <v>677.9</v>
      </c>
      <c r="N4">
        <f t="shared" si="9"/>
        <v>554</v>
      </c>
      <c r="O4">
        <f t="shared" si="10"/>
        <v>507.9</v>
      </c>
      <c r="P4">
        <f t="shared" si="11"/>
        <v>480.8</v>
      </c>
      <c r="Q4">
        <f t="shared" si="12"/>
        <v>630.9</v>
      </c>
      <c r="R4">
        <f t="shared" si="13"/>
        <v>611.1</v>
      </c>
      <c r="S4">
        <f t="shared" si="14"/>
        <v>633.1</v>
      </c>
      <c r="T4">
        <f t="shared" si="15"/>
        <v>559.20000000000005</v>
      </c>
      <c r="U4">
        <f t="shared" si="16"/>
        <v>651.4</v>
      </c>
      <c r="V4">
        <f t="shared" si="17"/>
        <v>605.20000000000005</v>
      </c>
      <c r="W4">
        <f t="shared" si="18"/>
        <v>592.70000000000005</v>
      </c>
      <c r="X4">
        <f t="shared" si="19"/>
        <v>558.5</v>
      </c>
      <c r="Y4" s="319">
        <f t="shared" si="20"/>
        <v>587.40857142857158</v>
      </c>
    </row>
    <row r="5" spans="1:25" ht="13.5" thickBot="1">
      <c r="A5" s="313">
        <v>32628</v>
      </c>
      <c r="B5" s="315">
        <v>448.7</v>
      </c>
      <c r="C5" s="315">
        <v>0</v>
      </c>
      <c r="D5" t="s">
        <v>334</v>
      </c>
      <c r="E5">
        <f t="shared" si="0"/>
        <v>448.7</v>
      </c>
      <c r="F5">
        <f t="shared" si="1"/>
        <v>333.5</v>
      </c>
      <c r="G5">
        <f t="shared" si="2"/>
        <v>318.60000000000002</v>
      </c>
      <c r="H5">
        <f t="shared" si="3"/>
        <v>413.6</v>
      </c>
      <c r="I5">
        <f t="shared" si="4"/>
        <v>370.3</v>
      </c>
      <c r="J5">
        <f t="shared" si="5"/>
        <v>348.4</v>
      </c>
      <c r="K5">
        <f t="shared" si="6"/>
        <v>455.3</v>
      </c>
      <c r="L5">
        <f t="shared" si="7"/>
        <v>455.1</v>
      </c>
      <c r="M5">
        <f t="shared" si="8"/>
        <v>410.1</v>
      </c>
      <c r="N5">
        <f t="shared" si="9"/>
        <v>314.8</v>
      </c>
      <c r="O5">
        <f t="shared" si="10"/>
        <v>335.1</v>
      </c>
      <c r="P5">
        <f t="shared" si="11"/>
        <v>375</v>
      </c>
      <c r="Q5">
        <f t="shared" si="12"/>
        <v>342.4</v>
      </c>
      <c r="R5">
        <f t="shared" si="13"/>
        <v>369.2</v>
      </c>
      <c r="S5">
        <f t="shared" si="14"/>
        <v>419</v>
      </c>
      <c r="T5">
        <f t="shared" si="15"/>
        <v>360.4</v>
      </c>
      <c r="U5">
        <f t="shared" si="16"/>
        <v>338.5</v>
      </c>
      <c r="V5">
        <f t="shared" si="17"/>
        <v>326.10000000000002</v>
      </c>
      <c r="W5">
        <f t="shared" si="18"/>
        <v>381.2</v>
      </c>
      <c r="X5">
        <f t="shared" si="19"/>
        <v>264.2</v>
      </c>
      <c r="Y5" s="319">
        <f t="shared" si="20"/>
        <v>338.38142857142884</v>
      </c>
    </row>
    <row r="6" spans="1:25" ht="13.5" thickBot="1">
      <c r="A6" s="313">
        <v>32659</v>
      </c>
      <c r="B6" s="315">
        <v>191.2</v>
      </c>
      <c r="C6" s="315">
        <v>6.3</v>
      </c>
      <c r="D6" t="s">
        <v>335</v>
      </c>
      <c r="E6">
        <f t="shared" si="0"/>
        <v>191.2</v>
      </c>
      <c r="F6">
        <f t="shared" si="1"/>
        <v>217.1</v>
      </c>
      <c r="G6">
        <f t="shared" si="2"/>
        <v>125.3</v>
      </c>
      <c r="H6">
        <f t="shared" si="3"/>
        <v>164.3</v>
      </c>
      <c r="I6">
        <f t="shared" si="4"/>
        <v>196.5</v>
      </c>
      <c r="J6">
        <f t="shared" si="5"/>
        <v>223.5</v>
      </c>
      <c r="K6">
        <f t="shared" si="6"/>
        <v>172.3</v>
      </c>
      <c r="L6">
        <f t="shared" si="7"/>
        <v>209.3</v>
      </c>
      <c r="M6">
        <f t="shared" si="8"/>
        <v>261.8</v>
      </c>
      <c r="N6">
        <f t="shared" si="9"/>
        <v>54.9</v>
      </c>
      <c r="O6">
        <f t="shared" si="10"/>
        <v>112.6</v>
      </c>
      <c r="P6">
        <f t="shared" si="11"/>
        <v>163.30000000000001</v>
      </c>
      <c r="Q6">
        <f t="shared" si="12"/>
        <v>132.4</v>
      </c>
      <c r="R6">
        <f t="shared" si="13"/>
        <v>241.7</v>
      </c>
      <c r="S6">
        <f t="shared" si="14"/>
        <v>187.7</v>
      </c>
      <c r="T6">
        <f t="shared" si="15"/>
        <v>187.6</v>
      </c>
      <c r="U6">
        <f t="shared" si="16"/>
        <v>202.9</v>
      </c>
      <c r="V6">
        <f t="shared" si="17"/>
        <v>155.1</v>
      </c>
      <c r="W6">
        <f t="shared" si="18"/>
        <v>77.400000000000006</v>
      </c>
      <c r="X6">
        <f t="shared" si="19"/>
        <v>216.1</v>
      </c>
      <c r="Y6" s="319">
        <f t="shared" si="20"/>
        <v>163.86714285714288</v>
      </c>
    </row>
    <row r="7" spans="1:25" ht="13.5" thickBot="1">
      <c r="A7" s="313">
        <v>32689</v>
      </c>
      <c r="B7" s="315">
        <v>37.700000000000003</v>
      </c>
      <c r="C7" s="315">
        <v>35</v>
      </c>
      <c r="D7" t="s">
        <v>336</v>
      </c>
      <c r="E7">
        <f t="shared" si="0"/>
        <v>37.700000000000003</v>
      </c>
      <c r="F7">
        <f t="shared" si="1"/>
        <v>44.8</v>
      </c>
      <c r="G7">
        <f t="shared" si="2"/>
        <v>23.1</v>
      </c>
      <c r="H7">
        <f t="shared" si="3"/>
        <v>73.400000000000006</v>
      </c>
      <c r="I7">
        <f t="shared" si="4"/>
        <v>59.2</v>
      </c>
      <c r="J7">
        <f t="shared" si="5"/>
        <v>50.4</v>
      </c>
      <c r="K7">
        <f t="shared" si="6"/>
        <v>24.9</v>
      </c>
      <c r="L7">
        <f t="shared" si="7"/>
        <v>35.1</v>
      </c>
      <c r="M7">
        <f t="shared" si="8"/>
        <v>11.6</v>
      </c>
      <c r="N7">
        <f t="shared" si="9"/>
        <v>58.2</v>
      </c>
      <c r="O7">
        <f t="shared" si="10"/>
        <v>29.6</v>
      </c>
      <c r="P7">
        <f t="shared" si="11"/>
        <v>62</v>
      </c>
      <c r="Q7">
        <f t="shared" si="12"/>
        <v>43.3</v>
      </c>
      <c r="R7">
        <f t="shared" si="13"/>
        <v>51.7</v>
      </c>
      <c r="S7">
        <f t="shared" si="14"/>
        <v>46.2</v>
      </c>
      <c r="T7">
        <f t="shared" si="15"/>
        <v>58.9</v>
      </c>
      <c r="U7">
        <f t="shared" si="16"/>
        <v>15.3</v>
      </c>
      <c r="V7">
        <f t="shared" si="17"/>
        <v>33.200000000000003</v>
      </c>
      <c r="W7">
        <f t="shared" si="18"/>
        <v>34.6</v>
      </c>
      <c r="X7">
        <f t="shared" si="19"/>
        <v>35.6</v>
      </c>
      <c r="Y7" s="319">
        <f t="shared" si="20"/>
        <v>37.818571428571545</v>
      </c>
    </row>
    <row r="8" spans="1:25" ht="13.5" thickBot="1">
      <c r="A8" s="313">
        <v>32720</v>
      </c>
      <c r="B8" s="315">
        <v>4.7</v>
      </c>
      <c r="C8" s="315">
        <v>116.8</v>
      </c>
      <c r="D8" t="s">
        <v>337</v>
      </c>
      <c r="E8">
        <f t="shared" si="0"/>
        <v>4.7</v>
      </c>
      <c r="F8">
        <f t="shared" si="1"/>
        <v>3.7</v>
      </c>
      <c r="G8">
        <f t="shared" si="2"/>
        <v>3.7</v>
      </c>
      <c r="H8">
        <f t="shared" si="3"/>
        <v>35.6</v>
      </c>
      <c r="I8">
        <f t="shared" si="4"/>
        <v>1.4</v>
      </c>
      <c r="J8">
        <f t="shared" si="5"/>
        <v>6</v>
      </c>
      <c r="K8">
        <f t="shared" si="6"/>
        <v>18.399999999999999</v>
      </c>
      <c r="L8">
        <f t="shared" si="7"/>
        <v>11.2</v>
      </c>
      <c r="M8">
        <f t="shared" si="8"/>
        <v>20.2</v>
      </c>
      <c r="N8">
        <f t="shared" si="9"/>
        <v>2.8</v>
      </c>
      <c r="O8">
        <f t="shared" si="10"/>
        <v>3.9</v>
      </c>
      <c r="P8">
        <f t="shared" si="11"/>
        <v>21.9</v>
      </c>
      <c r="Q8">
        <f t="shared" si="12"/>
        <v>27</v>
      </c>
      <c r="R8">
        <f t="shared" si="13"/>
        <v>3.1</v>
      </c>
      <c r="S8">
        <f t="shared" si="14"/>
        <v>5.0999999999999996</v>
      </c>
      <c r="T8">
        <f t="shared" si="15"/>
        <v>8.3000000000000007</v>
      </c>
      <c r="U8">
        <f t="shared" si="16"/>
        <v>1.2</v>
      </c>
      <c r="V8">
        <f t="shared" si="17"/>
        <v>3</v>
      </c>
      <c r="W8">
        <f t="shared" si="18"/>
        <v>11.6</v>
      </c>
      <c r="X8">
        <f t="shared" si="19"/>
        <v>3.9</v>
      </c>
      <c r="Y8" s="319">
        <f t="shared" si="20"/>
        <v>7.7442857142856951</v>
      </c>
    </row>
    <row r="9" spans="1:25" ht="13.5" thickBot="1">
      <c r="A9" s="313">
        <v>32751</v>
      </c>
      <c r="B9" s="315">
        <v>17.899999999999999</v>
      </c>
      <c r="C9" s="315">
        <v>61.6</v>
      </c>
      <c r="D9" t="s">
        <v>338</v>
      </c>
      <c r="E9">
        <f t="shared" si="0"/>
        <v>17.899999999999999</v>
      </c>
      <c r="F9">
        <f t="shared" si="1"/>
        <v>6.9</v>
      </c>
      <c r="G9">
        <f t="shared" si="2"/>
        <v>8.6999999999999993</v>
      </c>
      <c r="H9">
        <f t="shared" si="3"/>
        <v>38.799999999999997</v>
      </c>
      <c r="I9">
        <f t="shared" si="4"/>
        <v>12.5</v>
      </c>
      <c r="J9">
        <f t="shared" si="5"/>
        <v>38.1</v>
      </c>
      <c r="K9">
        <f t="shared" si="6"/>
        <v>7.8</v>
      </c>
      <c r="L9">
        <f t="shared" si="7"/>
        <v>6.4</v>
      </c>
      <c r="M9">
        <f t="shared" si="8"/>
        <v>21.8</v>
      </c>
      <c r="N9">
        <f t="shared" si="9"/>
        <v>3.9</v>
      </c>
      <c r="O9">
        <f t="shared" si="10"/>
        <v>19.2</v>
      </c>
      <c r="P9">
        <f t="shared" si="11"/>
        <v>33.299999999999997</v>
      </c>
      <c r="Q9">
        <f t="shared" si="12"/>
        <v>1.9</v>
      </c>
      <c r="R9">
        <f t="shared" si="13"/>
        <v>9.1</v>
      </c>
      <c r="S9">
        <f t="shared" si="14"/>
        <v>8.1</v>
      </c>
      <c r="T9">
        <f t="shared" si="15"/>
        <v>14</v>
      </c>
      <c r="U9">
        <f t="shared" si="16"/>
        <v>1.9</v>
      </c>
      <c r="V9">
        <f t="shared" si="17"/>
        <v>12.4</v>
      </c>
      <c r="W9">
        <f t="shared" si="18"/>
        <v>19.3</v>
      </c>
      <c r="X9">
        <f t="shared" si="19"/>
        <v>19.600000000000001</v>
      </c>
      <c r="Y9" s="319">
        <f t="shared" si="20"/>
        <v>12.23571428571438</v>
      </c>
    </row>
    <row r="10" spans="1:25" ht="13.5" thickBot="1">
      <c r="A10" s="313">
        <v>32781</v>
      </c>
      <c r="B10" s="315">
        <v>109.1</v>
      </c>
      <c r="C10" s="315">
        <v>21.6</v>
      </c>
      <c r="D10" t="s">
        <v>339</v>
      </c>
      <c r="E10">
        <f t="shared" si="0"/>
        <v>109.1</v>
      </c>
      <c r="F10">
        <f t="shared" si="1"/>
        <v>123.2</v>
      </c>
      <c r="G10">
        <f t="shared" si="2"/>
        <v>145.9</v>
      </c>
      <c r="H10">
        <f t="shared" si="3"/>
        <v>116.5</v>
      </c>
      <c r="I10">
        <f t="shared" si="4"/>
        <v>169.3</v>
      </c>
      <c r="J10">
        <f t="shared" si="5"/>
        <v>93.8</v>
      </c>
      <c r="K10">
        <f t="shared" si="6"/>
        <v>150.4</v>
      </c>
      <c r="L10">
        <f t="shared" si="7"/>
        <v>84.4</v>
      </c>
      <c r="M10">
        <f t="shared" si="8"/>
        <v>88.6</v>
      </c>
      <c r="N10">
        <f t="shared" si="9"/>
        <v>57.3</v>
      </c>
      <c r="O10">
        <f t="shared" si="10"/>
        <v>76.400000000000006</v>
      </c>
      <c r="P10">
        <f t="shared" si="11"/>
        <v>131.4</v>
      </c>
      <c r="Q10">
        <f t="shared" si="12"/>
        <v>112.3</v>
      </c>
      <c r="R10">
        <f t="shared" si="13"/>
        <v>40.200000000000003</v>
      </c>
      <c r="S10">
        <f t="shared" si="14"/>
        <v>65.599999999999994</v>
      </c>
      <c r="T10">
        <f t="shared" si="15"/>
        <v>48.9</v>
      </c>
      <c r="U10">
        <f t="shared" si="16"/>
        <v>48.9</v>
      </c>
      <c r="V10">
        <f t="shared" si="17"/>
        <v>128.19999999999999</v>
      </c>
      <c r="W10">
        <f t="shared" si="18"/>
        <v>59</v>
      </c>
      <c r="X10">
        <f t="shared" si="19"/>
        <v>83.7</v>
      </c>
      <c r="Y10" s="319">
        <f t="shared" si="20"/>
        <v>62.505714285714021</v>
      </c>
    </row>
    <row r="11" spans="1:25" ht="13.5" thickBot="1">
      <c r="A11" s="313">
        <v>32812</v>
      </c>
      <c r="B11" s="315">
        <v>269.3</v>
      </c>
      <c r="C11" s="315">
        <v>0</v>
      </c>
      <c r="D11" t="s">
        <v>340</v>
      </c>
      <c r="E11">
        <f t="shared" si="0"/>
        <v>269.3</v>
      </c>
      <c r="F11">
        <f t="shared" si="1"/>
        <v>303.7</v>
      </c>
      <c r="G11">
        <f t="shared" si="2"/>
        <v>282.5</v>
      </c>
      <c r="H11">
        <f t="shared" si="3"/>
        <v>335.1</v>
      </c>
      <c r="I11">
        <f t="shared" si="4"/>
        <v>328.4</v>
      </c>
      <c r="J11">
        <f t="shared" si="5"/>
        <v>275.8</v>
      </c>
      <c r="K11">
        <f t="shared" si="6"/>
        <v>243.4</v>
      </c>
      <c r="L11">
        <f t="shared" si="7"/>
        <v>285.2</v>
      </c>
      <c r="M11">
        <f t="shared" si="8"/>
        <v>296.89999999999998</v>
      </c>
      <c r="N11">
        <f t="shared" si="9"/>
        <v>250.3</v>
      </c>
      <c r="O11">
        <f t="shared" si="10"/>
        <v>306.10000000000002</v>
      </c>
      <c r="P11">
        <f t="shared" si="11"/>
        <v>261.5</v>
      </c>
      <c r="Q11">
        <f t="shared" si="12"/>
        <v>272.10000000000002</v>
      </c>
      <c r="R11">
        <f t="shared" si="13"/>
        <v>335.7</v>
      </c>
      <c r="S11">
        <f t="shared" si="14"/>
        <v>305.3</v>
      </c>
      <c r="T11">
        <f t="shared" si="15"/>
        <v>265.60000000000002</v>
      </c>
      <c r="U11">
        <f t="shared" si="16"/>
        <v>247.7</v>
      </c>
      <c r="V11">
        <f t="shared" si="17"/>
        <v>310.10000000000002</v>
      </c>
      <c r="W11">
        <f t="shared" si="18"/>
        <v>164.1</v>
      </c>
      <c r="X11">
        <f t="shared" si="19"/>
        <v>297.60000000000002</v>
      </c>
      <c r="Y11" s="319">
        <f t="shared" si="20"/>
        <v>264.30000000000018</v>
      </c>
    </row>
    <row r="12" spans="1:25" ht="13.5" thickBot="1">
      <c r="A12" s="313">
        <v>32842</v>
      </c>
      <c r="B12" s="315">
        <v>507.8</v>
      </c>
      <c r="C12" s="315">
        <v>0</v>
      </c>
      <c r="D12" t="s">
        <v>341</v>
      </c>
      <c r="E12">
        <f t="shared" si="0"/>
        <v>507.8</v>
      </c>
      <c r="F12">
        <f t="shared" si="1"/>
        <v>444.9</v>
      </c>
      <c r="G12">
        <f t="shared" si="2"/>
        <v>492.8</v>
      </c>
      <c r="H12">
        <f t="shared" si="3"/>
        <v>480.6</v>
      </c>
      <c r="I12">
        <f t="shared" si="4"/>
        <v>494.7</v>
      </c>
      <c r="J12">
        <f t="shared" si="5"/>
        <v>413.1</v>
      </c>
      <c r="K12">
        <f t="shared" si="6"/>
        <v>579</v>
      </c>
      <c r="L12">
        <f t="shared" si="7"/>
        <v>548.20000000000005</v>
      </c>
      <c r="M12">
        <f t="shared" si="8"/>
        <v>487.5</v>
      </c>
      <c r="N12">
        <f t="shared" si="9"/>
        <v>445.4</v>
      </c>
      <c r="O12">
        <f t="shared" si="10"/>
        <v>412.8</v>
      </c>
      <c r="P12">
        <f t="shared" si="11"/>
        <v>485.6</v>
      </c>
      <c r="Q12">
        <f t="shared" si="12"/>
        <v>365.8</v>
      </c>
      <c r="R12">
        <f t="shared" si="13"/>
        <v>501.1</v>
      </c>
      <c r="S12">
        <f t="shared" si="14"/>
        <v>438.5</v>
      </c>
      <c r="T12">
        <f t="shared" si="15"/>
        <v>434.9</v>
      </c>
      <c r="U12">
        <f t="shared" si="16"/>
        <v>448.1</v>
      </c>
      <c r="V12">
        <f t="shared" si="17"/>
        <v>406.4</v>
      </c>
      <c r="W12">
        <f t="shared" si="18"/>
        <v>499.3</v>
      </c>
      <c r="X12">
        <f t="shared" si="19"/>
        <v>444</v>
      </c>
      <c r="Y12" s="319">
        <f t="shared" si="20"/>
        <v>438.44857142857018</v>
      </c>
    </row>
    <row r="13" spans="1:25" ht="13.5" thickBot="1">
      <c r="A13" s="313">
        <v>32873</v>
      </c>
      <c r="B13" s="315">
        <v>950.1</v>
      </c>
      <c r="C13" s="315">
        <v>0</v>
      </c>
      <c r="D13" t="s">
        <v>342</v>
      </c>
      <c r="E13">
        <f t="shared" si="0"/>
        <v>950.1</v>
      </c>
      <c r="F13">
        <f t="shared" si="1"/>
        <v>664.3</v>
      </c>
      <c r="G13">
        <f t="shared" si="2"/>
        <v>678.1</v>
      </c>
      <c r="H13">
        <f t="shared" si="3"/>
        <v>641.4</v>
      </c>
      <c r="I13">
        <f t="shared" si="4"/>
        <v>712.4</v>
      </c>
      <c r="J13">
        <f t="shared" si="5"/>
        <v>639</v>
      </c>
      <c r="K13">
        <f t="shared" si="6"/>
        <v>805.8</v>
      </c>
      <c r="L13">
        <f t="shared" si="7"/>
        <v>605.6</v>
      </c>
      <c r="M13">
        <f t="shared" si="8"/>
        <v>635.9</v>
      </c>
      <c r="N13">
        <f t="shared" si="9"/>
        <v>612.70000000000005</v>
      </c>
      <c r="O13">
        <f t="shared" si="10"/>
        <v>647</v>
      </c>
      <c r="P13">
        <f t="shared" si="11"/>
        <v>845.7</v>
      </c>
      <c r="Q13">
        <f t="shared" si="12"/>
        <v>554.29999999999995</v>
      </c>
      <c r="R13">
        <f t="shared" si="13"/>
        <v>680.5</v>
      </c>
      <c r="S13">
        <f t="shared" si="14"/>
        <v>631.4</v>
      </c>
      <c r="T13">
        <f t="shared" si="15"/>
        <v>742.6</v>
      </c>
      <c r="U13">
        <f t="shared" si="16"/>
        <v>712.9</v>
      </c>
      <c r="V13">
        <f t="shared" si="17"/>
        <v>560.4</v>
      </c>
      <c r="W13">
        <f t="shared" si="18"/>
        <v>686.6</v>
      </c>
      <c r="X13">
        <f t="shared" si="19"/>
        <v>594.4</v>
      </c>
      <c r="Y13" s="319">
        <f t="shared" si="20"/>
        <v>627.0457142857158</v>
      </c>
    </row>
    <row r="14" spans="1:25" ht="13.5" thickBot="1">
      <c r="A14" s="313">
        <v>32904</v>
      </c>
      <c r="B14" s="315">
        <v>643.29999999999995</v>
      </c>
      <c r="C14" s="315">
        <v>0</v>
      </c>
      <c r="X14">
        <f>SUM(E2:X13)</f>
        <v>84427.5</v>
      </c>
      <c r="Y14">
        <f>X14-B242</f>
        <v>0</v>
      </c>
    </row>
    <row r="15" spans="1:25" ht="13.5" thickBot="1">
      <c r="A15" s="313">
        <v>32932</v>
      </c>
      <c r="B15" s="315">
        <v>672.2</v>
      </c>
      <c r="C15" s="315">
        <v>0</v>
      </c>
      <c r="D15" t="s">
        <v>343</v>
      </c>
    </row>
    <row r="16" spans="1:25" ht="13.5" thickBot="1">
      <c r="A16" s="313">
        <v>32963</v>
      </c>
      <c r="B16" s="315">
        <v>600.20000000000005</v>
      </c>
      <c r="C16" s="315">
        <v>0</v>
      </c>
      <c r="D16" t="s">
        <v>331</v>
      </c>
      <c r="E16">
        <f>C2</f>
        <v>0</v>
      </c>
      <c r="F16">
        <f>C14</f>
        <v>0</v>
      </c>
      <c r="G16">
        <f>C26</f>
        <v>0</v>
      </c>
      <c r="H16">
        <f>C38</f>
        <v>0</v>
      </c>
      <c r="I16">
        <f>C50</f>
        <v>0</v>
      </c>
      <c r="J16">
        <f>C62</f>
        <v>0</v>
      </c>
      <c r="K16">
        <f>C74</f>
        <v>0</v>
      </c>
      <c r="L16">
        <f>C86</f>
        <v>0</v>
      </c>
      <c r="M16">
        <f>C98</f>
        <v>0</v>
      </c>
      <c r="N16">
        <f>C110</f>
        <v>0</v>
      </c>
      <c r="O16">
        <f>C122</f>
        <v>0</v>
      </c>
      <c r="P16">
        <f>C134</f>
        <v>0</v>
      </c>
      <c r="Q16">
        <f>C146</f>
        <v>0</v>
      </c>
      <c r="R16">
        <f>C158</f>
        <v>0</v>
      </c>
      <c r="S16">
        <f>C170</f>
        <v>0</v>
      </c>
      <c r="T16">
        <f>C182</f>
        <v>0</v>
      </c>
      <c r="U16">
        <f>C194</f>
        <v>0</v>
      </c>
      <c r="V16">
        <f>C206</f>
        <v>0</v>
      </c>
      <c r="W16">
        <f>C218</f>
        <v>0</v>
      </c>
      <c r="X16">
        <f>C230</f>
        <v>0</v>
      </c>
      <c r="Y16" s="319">
        <f>TREND(E16:X16,$E$1:$X$1,$Y$1)</f>
        <v>0</v>
      </c>
    </row>
    <row r="17" spans="1:25" ht="13.5" thickBot="1">
      <c r="A17" s="313">
        <v>32993</v>
      </c>
      <c r="B17" s="315">
        <v>333.5</v>
      </c>
      <c r="C17" s="315">
        <v>10.1</v>
      </c>
      <c r="D17" t="s">
        <v>332</v>
      </c>
      <c r="E17">
        <f t="shared" ref="E17:E27" si="21">C3</f>
        <v>0</v>
      </c>
      <c r="F17">
        <f t="shared" ref="F17:F27" si="22">C15</f>
        <v>0</v>
      </c>
      <c r="G17">
        <f t="shared" ref="G17:G27" si="23">C27</f>
        <v>0</v>
      </c>
      <c r="H17">
        <f t="shared" ref="H17:H27" si="24">C39</f>
        <v>0</v>
      </c>
      <c r="I17">
        <f t="shared" ref="I17:I27" si="25">C51</f>
        <v>0</v>
      </c>
      <c r="J17">
        <f t="shared" ref="J17:J27" si="26">C63</f>
        <v>0</v>
      </c>
      <c r="K17">
        <f t="shared" ref="K17:K27" si="27">C75</f>
        <v>0</v>
      </c>
      <c r="L17">
        <f t="shared" ref="L17:L27" si="28">C87</f>
        <v>0</v>
      </c>
      <c r="M17">
        <f t="shared" ref="M17:M27" si="29">C99</f>
        <v>0</v>
      </c>
      <c r="N17">
        <f t="shared" ref="N17:N27" si="30">C111</f>
        <v>0</v>
      </c>
      <c r="O17">
        <f t="shared" ref="O17:O27" si="31">C123</f>
        <v>0</v>
      </c>
      <c r="P17">
        <f t="shared" ref="P17:P27" si="32">C135</f>
        <v>0</v>
      </c>
      <c r="Q17">
        <f t="shared" ref="Q17:Q27" si="33">C147</f>
        <v>0</v>
      </c>
      <c r="R17">
        <f t="shared" ref="R17:R27" si="34">C159</f>
        <v>0</v>
      </c>
      <c r="S17">
        <f t="shared" ref="S17:S27" si="35">C171</f>
        <v>0</v>
      </c>
      <c r="T17">
        <f t="shared" ref="T17:T27" si="36">C183</f>
        <v>0</v>
      </c>
      <c r="U17">
        <f t="shared" ref="U17:U27" si="37">C195</f>
        <v>0</v>
      </c>
      <c r="V17">
        <f t="shared" ref="V17:V27" si="38">C207</f>
        <v>0</v>
      </c>
      <c r="W17">
        <f t="shared" ref="W17:W27" si="39">C219</f>
        <v>0</v>
      </c>
      <c r="X17">
        <f t="shared" ref="X17:X27" si="40">C231</f>
        <v>0</v>
      </c>
      <c r="Y17" s="319">
        <f t="shared" ref="Y17:Y27" si="41">TREND(E17:X17,$E$1:$X$1,$Y$1)</f>
        <v>0</v>
      </c>
    </row>
    <row r="18" spans="1:25" ht="13.5" thickBot="1">
      <c r="A18" s="313">
        <v>33024</v>
      </c>
      <c r="B18" s="315">
        <v>217.1</v>
      </c>
      <c r="C18" s="315">
        <v>1.3</v>
      </c>
      <c r="D18" t="s">
        <v>333</v>
      </c>
      <c r="E18">
        <f t="shared" si="21"/>
        <v>0</v>
      </c>
      <c r="F18">
        <f t="shared" si="22"/>
        <v>0</v>
      </c>
      <c r="G18">
        <f t="shared" si="23"/>
        <v>0</v>
      </c>
      <c r="H18">
        <f t="shared" si="24"/>
        <v>0</v>
      </c>
      <c r="I18">
        <f t="shared" si="25"/>
        <v>0</v>
      </c>
      <c r="J18">
        <f t="shared" si="26"/>
        <v>0</v>
      </c>
      <c r="K18">
        <f t="shared" si="27"/>
        <v>0</v>
      </c>
      <c r="L18">
        <f t="shared" si="28"/>
        <v>0</v>
      </c>
      <c r="M18">
        <f t="shared" si="29"/>
        <v>0</v>
      </c>
      <c r="N18">
        <f t="shared" si="30"/>
        <v>0</v>
      </c>
      <c r="O18">
        <f t="shared" si="31"/>
        <v>0</v>
      </c>
      <c r="P18">
        <f t="shared" si="32"/>
        <v>0</v>
      </c>
      <c r="Q18">
        <f t="shared" si="33"/>
        <v>0</v>
      </c>
      <c r="R18">
        <f t="shared" si="34"/>
        <v>0</v>
      </c>
      <c r="S18">
        <f t="shared" si="35"/>
        <v>0</v>
      </c>
      <c r="T18">
        <f t="shared" si="36"/>
        <v>0</v>
      </c>
      <c r="U18">
        <f t="shared" si="37"/>
        <v>0</v>
      </c>
      <c r="V18">
        <f t="shared" si="38"/>
        <v>0</v>
      </c>
      <c r="W18">
        <f t="shared" si="39"/>
        <v>0</v>
      </c>
      <c r="X18">
        <f t="shared" si="40"/>
        <v>0</v>
      </c>
      <c r="Y18" s="319">
        <f t="shared" si="41"/>
        <v>0</v>
      </c>
    </row>
    <row r="19" spans="1:25" ht="13.5" thickBot="1">
      <c r="A19" s="313">
        <v>33054</v>
      </c>
      <c r="B19" s="315">
        <v>44.8</v>
      </c>
      <c r="C19" s="315">
        <v>33</v>
      </c>
      <c r="D19" t="s">
        <v>334</v>
      </c>
      <c r="E19">
        <f t="shared" si="21"/>
        <v>0</v>
      </c>
      <c r="F19">
        <f t="shared" si="22"/>
        <v>10.1</v>
      </c>
      <c r="G19">
        <f t="shared" si="23"/>
        <v>2</v>
      </c>
      <c r="H19">
        <f t="shared" si="24"/>
        <v>0</v>
      </c>
      <c r="I19">
        <f t="shared" si="25"/>
        <v>0</v>
      </c>
      <c r="J19">
        <f t="shared" si="26"/>
        <v>0</v>
      </c>
      <c r="K19">
        <f t="shared" si="27"/>
        <v>0</v>
      </c>
      <c r="L19">
        <f t="shared" si="28"/>
        <v>0</v>
      </c>
      <c r="M19">
        <f t="shared" si="29"/>
        <v>0</v>
      </c>
      <c r="N19">
        <f t="shared" si="30"/>
        <v>0</v>
      </c>
      <c r="O19">
        <f t="shared" si="31"/>
        <v>0</v>
      </c>
      <c r="P19">
        <f t="shared" si="32"/>
        <v>0</v>
      </c>
      <c r="Q19">
        <f t="shared" si="33"/>
        <v>0</v>
      </c>
      <c r="R19">
        <f t="shared" si="34"/>
        <v>6.8</v>
      </c>
      <c r="S19">
        <f t="shared" si="35"/>
        <v>0.3</v>
      </c>
      <c r="T19">
        <f t="shared" si="36"/>
        <v>0</v>
      </c>
      <c r="U19">
        <f t="shared" si="37"/>
        <v>0</v>
      </c>
      <c r="V19">
        <f t="shared" si="38"/>
        <v>0</v>
      </c>
      <c r="W19">
        <f t="shared" si="39"/>
        <v>2</v>
      </c>
      <c r="X19">
        <f t="shared" si="40"/>
        <v>0.8</v>
      </c>
      <c r="Y19" s="319">
        <f t="shared" si="41"/>
        <v>0.37000000000000455</v>
      </c>
    </row>
    <row r="20" spans="1:25" ht="13.5" thickBot="1">
      <c r="A20" s="313">
        <v>33085</v>
      </c>
      <c r="B20" s="315">
        <v>3.7</v>
      </c>
      <c r="C20" s="315">
        <v>75</v>
      </c>
      <c r="D20" t="s">
        <v>335</v>
      </c>
      <c r="E20">
        <f t="shared" si="21"/>
        <v>6.3</v>
      </c>
      <c r="F20">
        <f t="shared" si="22"/>
        <v>1.3</v>
      </c>
      <c r="G20">
        <f t="shared" si="23"/>
        <v>36</v>
      </c>
      <c r="H20">
        <f t="shared" si="24"/>
        <v>5.8</v>
      </c>
      <c r="I20">
        <f t="shared" si="25"/>
        <v>1.3</v>
      </c>
      <c r="J20">
        <f t="shared" si="26"/>
        <v>8.3000000000000007</v>
      </c>
      <c r="K20">
        <f t="shared" si="27"/>
        <v>0.5</v>
      </c>
      <c r="L20">
        <f t="shared" si="28"/>
        <v>6.6</v>
      </c>
      <c r="M20">
        <f t="shared" si="29"/>
        <v>0</v>
      </c>
      <c r="N20">
        <f t="shared" si="30"/>
        <v>19.2</v>
      </c>
      <c r="O20">
        <f t="shared" si="31"/>
        <v>8.6999999999999993</v>
      </c>
      <c r="P20">
        <f t="shared" si="32"/>
        <v>15.6</v>
      </c>
      <c r="Q20">
        <f t="shared" si="33"/>
        <v>8.3000000000000007</v>
      </c>
      <c r="R20">
        <f t="shared" si="34"/>
        <v>4.8</v>
      </c>
      <c r="S20">
        <f t="shared" si="35"/>
        <v>0</v>
      </c>
      <c r="T20">
        <f t="shared" si="36"/>
        <v>8.6</v>
      </c>
      <c r="U20">
        <f t="shared" si="37"/>
        <v>0</v>
      </c>
      <c r="V20">
        <f t="shared" si="38"/>
        <v>18.899999999999999</v>
      </c>
      <c r="W20">
        <f t="shared" si="39"/>
        <v>1</v>
      </c>
      <c r="X20">
        <f t="shared" si="40"/>
        <v>0.8</v>
      </c>
      <c r="Y20" s="319">
        <f t="shared" si="41"/>
        <v>5.0214285714286007</v>
      </c>
    </row>
    <row r="21" spans="1:25" ht="13.5" thickBot="1">
      <c r="A21" s="313">
        <v>33116</v>
      </c>
      <c r="B21" s="315">
        <v>6.9</v>
      </c>
      <c r="C21" s="315">
        <v>54.6</v>
      </c>
      <c r="D21" t="s">
        <v>336</v>
      </c>
      <c r="E21">
        <f t="shared" si="21"/>
        <v>35</v>
      </c>
      <c r="F21">
        <f t="shared" si="22"/>
        <v>33</v>
      </c>
      <c r="G21">
        <f t="shared" si="23"/>
        <v>56.4</v>
      </c>
      <c r="H21">
        <f t="shared" si="24"/>
        <v>18.600000000000001</v>
      </c>
      <c r="I21">
        <f t="shared" si="25"/>
        <v>17.3</v>
      </c>
      <c r="J21">
        <f t="shared" si="26"/>
        <v>47.8</v>
      </c>
      <c r="K21">
        <f t="shared" si="27"/>
        <v>70.900000000000006</v>
      </c>
      <c r="L21">
        <f t="shared" si="28"/>
        <v>33.4</v>
      </c>
      <c r="M21">
        <f t="shared" si="29"/>
        <v>54.9</v>
      </c>
      <c r="N21">
        <f t="shared" si="30"/>
        <v>66</v>
      </c>
      <c r="O21">
        <f t="shared" si="31"/>
        <v>62.1</v>
      </c>
      <c r="P21">
        <f t="shared" si="32"/>
        <v>25.1</v>
      </c>
      <c r="Q21">
        <f t="shared" si="33"/>
        <v>56.6</v>
      </c>
      <c r="R21">
        <f t="shared" si="34"/>
        <v>55.4</v>
      </c>
      <c r="S21">
        <f t="shared" si="35"/>
        <v>42</v>
      </c>
      <c r="T21">
        <f t="shared" si="36"/>
        <v>25.5</v>
      </c>
      <c r="U21">
        <f t="shared" si="37"/>
        <v>109.7</v>
      </c>
      <c r="V21">
        <f t="shared" si="38"/>
        <v>64.5</v>
      </c>
      <c r="W21">
        <f t="shared" si="39"/>
        <v>79.099999999999994</v>
      </c>
      <c r="X21">
        <f t="shared" si="40"/>
        <v>52.4</v>
      </c>
      <c r="Y21" s="319">
        <f t="shared" si="41"/>
        <v>67.230000000000018</v>
      </c>
    </row>
    <row r="22" spans="1:25" ht="13.5" thickBot="1">
      <c r="A22" s="313">
        <v>33146</v>
      </c>
      <c r="B22" s="315">
        <v>123.2</v>
      </c>
      <c r="C22" s="315">
        <v>14.3</v>
      </c>
      <c r="D22" t="s">
        <v>337</v>
      </c>
      <c r="E22">
        <f t="shared" si="21"/>
        <v>116.8</v>
      </c>
      <c r="F22">
        <f t="shared" si="22"/>
        <v>75</v>
      </c>
      <c r="G22">
        <f t="shared" si="23"/>
        <v>86.8</v>
      </c>
      <c r="H22">
        <f t="shared" si="24"/>
        <v>12</v>
      </c>
      <c r="I22">
        <f t="shared" si="25"/>
        <v>82.7</v>
      </c>
      <c r="J22">
        <f t="shared" si="26"/>
        <v>82.3</v>
      </c>
      <c r="K22">
        <f t="shared" si="27"/>
        <v>92.1</v>
      </c>
      <c r="L22">
        <f t="shared" si="28"/>
        <v>43.7</v>
      </c>
      <c r="M22">
        <f t="shared" si="29"/>
        <v>82.7</v>
      </c>
      <c r="N22">
        <f t="shared" si="30"/>
        <v>82.5</v>
      </c>
      <c r="O22">
        <f t="shared" si="31"/>
        <v>129</v>
      </c>
      <c r="P22">
        <f t="shared" si="32"/>
        <v>44.6</v>
      </c>
      <c r="Q22">
        <f t="shared" si="33"/>
        <v>73.2</v>
      </c>
      <c r="R22">
        <f t="shared" si="34"/>
        <v>144</v>
      </c>
      <c r="S22">
        <f t="shared" si="35"/>
        <v>76.5</v>
      </c>
      <c r="T22">
        <f t="shared" si="36"/>
        <v>72</v>
      </c>
      <c r="U22">
        <f t="shared" si="37"/>
        <v>152.69999999999999</v>
      </c>
      <c r="V22">
        <f t="shared" si="38"/>
        <v>143.6</v>
      </c>
      <c r="W22">
        <f t="shared" si="39"/>
        <v>72.099999999999994</v>
      </c>
      <c r="X22">
        <f t="shared" si="40"/>
        <v>78.400000000000006</v>
      </c>
      <c r="Y22" s="319">
        <f t="shared" si="41"/>
        <v>102.67285714285708</v>
      </c>
    </row>
    <row r="23" spans="1:25" ht="13.5" thickBot="1">
      <c r="A23" s="313">
        <v>33177</v>
      </c>
      <c r="B23" s="315">
        <v>303.7</v>
      </c>
      <c r="C23" s="315">
        <v>0</v>
      </c>
      <c r="D23" t="s">
        <v>338</v>
      </c>
      <c r="E23">
        <f t="shared" si="21"/>
        <v>61.6</v>
      </c>
      <c r="F23">
        <f t="shared" si="22"/>
        <v>54.6</v>
      </c>
      <c r="G23">
        <f t="shared" si="23"/>
        <v>73.7</v>
      </c>
      <c r="H23">
        <f t="shared" si="24"/>
        <v>26</v>
      </c>
      <c r="I23">
        <f t="shared" si="25"/>
        <v>86.2</v>
      </c>
      <c r="J23">
        <f t="shared" si="26"/>
        <v>32.200000000000003</v>
      </c>
      <c r="K23">
        <f t="shared" si="27"/>
        <v>99.7</v>
      </c>
      <c r="L23">
        <f t="shared" si="28"/>
        <v>71.8</v>
      </c>
      <c r="M23">
        <f t="shared" si="29"/>
        <v>30.3</v>
      </c>
      <c r="N23">
        <f t="shared" si="30"/>
        <v>81.599999999999994</v>
      </c>
      <c r="O23">
        <f t="shared" si="31"/>
        <v>41.9</v>
      </c>
      <c r="P23">
        <f t="shared" si="32"/>
        <v>49.2</v>
      </c>
      <c r="Q23">
        <f t="shared" si="33"/>
        <v>119.6</v>
      </c>
      <c r="R23">
        <f t="shared" si="34"/>
        <v>86.2</v>
      </c>
      <c r="S23">
        <f t="shared" si="35"/>
        <v>102.8</v>
      </c>
      <c r="T23">
        <f t="shared" si="36"/>
        <v>32</v>
      </c>
      <c r="U23">
        <f t="shared" si="37"/>
        <v>104.7</v>
      </c>
      <c r="V23">
        <f t="shared" si="38"/>
        <v>77.099999999999994</v>
      </c>
      <c r="W23">
        <f t="shared" si="39"/>
        <v>85.1</v>
      </c>
      <c r="X23">
        <f t="shared" si="40"/>
        <v>31.2</v>
      </c>
      <c r="Y23" s="319">
        <f t="shared" si="41"/>
        <v>76.05857142857144</v>
      </c>
    </row>
    <row r="24" spans="1:25" ht="13.5" thickBot="1">
      <c r="A24" s="313">
        <v>33207</v>
      </c>
      <c r="B24" s="315">
        <v>444.9</v>
      </c>
      <c r="C24" s="315">
        <v>0</v>
      </c>
      <c r="D24" t="s">
        <v>339</v>
      </c>
      <c r="E24">
        <f t="shared" si="21"/>
        <v>21.6</v>
      </c>
      <c r="F24">
        <f t="shared" si="22"/>
        <v>14.3</v>
      </c>
      <c r="G24">
        <f t="shared" si="23"/>
        <v>17.600000000000001</v>
      </c>
      <c r="H24">
        <f t="shared" si="24"/>
        <v>19.2</v>
      </c>
      <c r="I24">
        <f t="shared" si="25"/>
        <v>9.6</v>
      </c>
      <c r="J24">
        <f t="shared" si="26"/>
        <v>7.1</v>
      </c>
      <c r="K24">
        <f t="shared" si="27"/>
        <v>4.3</v>
      </c>
      <c r="L24">
        <f t="shared" si="28"/>
        <v>23.6</v>
      </c>
      <c r="M24">
        <f t="shared" si="29"/>
        <v>5.8</v>
      </c>
      <c r="N24">
        <f t="shared" si="30"/>
        <v>21.4</v>
      </c>
      <c r="O24">
        <f t="shared" si="31"/>
        <v>38.200000000000003</v>
      </c>
      <c r="P24">
        <f t="shared" si="32"/>
        <v>20</v>
      </c>
      <c r="Q24">
        <f t="shared" si="33"/>
        <v>19.399999999999999</v>
      </c>
      <c r="R24">
        <f t="shared" si="34"/>
        <v>58.4</v>
      </c>
      <c r="S24">
        <f t="shared" si="35"/>
        <v>10.6</v>
      </c>
      <c r="T24">
        <f t="shared" si="36"/>
        <v>28.1</v>
      </c>
      <c r="U24">
        <f t="shared" si="37"/>
        <v>38.4</v>
      </c>
      <c r="V24">
        <f t="shared" si="38"/>
        <v>4.0999999999999996</v>
      </c>
      <c r="W24">
        <f t="shared" si="39"/>
        <v>28.4</v>
      </c>
      <c r="X24">
        <f t="shared" si="40"/>
        <v>13.6</v>
      </c>
      <c r="Y24" s="319">
        <f t="shared" si="41"/>
        <v>25.805714285714203</v>
      </c>
    </row>
    <row r="25" spans="1:25" ht="13.5" thickBot="1">
      <c r="A25" s="313">
        <v>33238</v>
      </c>
      <c r="B25" s="315">
        <v>664.3</v>
      </c>
      <c r="C25" s="315">
        <v>0</v>
      </c>
      <c r="D25" t="s">
        <v>340</v>
      </c>
      <c r="E25">
        <f t="shared" si="21"/>
        <v>0</v>
      </c>
      <c r="F25">
        <f t="shared" si="22"/>
        <v>0</v>
      </c>
      <c r="G25">
        <f t="shared" si="23"/>
        <v>0</v>
      </c>
      <c r="H25">
        <f t="shared" si="24"/>
        <v>0</v>
      </c>
      <c r="I25">
        <f t="shared" si="25"/>
        <v>0</v>
      </c>
      <c r="J25">
        <f t="shared" si="26"/>
        <v>0</v>
      </c>
      <c r="K25">
        <f t="shared" si="27"/>
        <v>1.5</v>
      </c>
      <c r="L25">
        <f t="shared" si="28"/>
        <v>0</v>
      </c>
      <c r="M25">
        <f t="shared" si="29"/>
        <v>0.8</v>
      </c>
      <c r="N25">
        <f t="shared" si="30"/>
        <v>0</v>
      </c>
      <c r="O25">
        <f t="shared" si="31"/>
        <v>0</v>
      </c>
      <c r="P25">
        <f t="shared" si="32"/>
        <v>0</v>
      </c>
      <c r="Q25">
        <f t="shared" si="33"/>
        <v>0</v>
      </c>
      <c r="R25">
        <f t="shared" si="34"/>
        <v>6.8</v>
      </c>
      <c r="S25">
        <f t="shared" si="35"/>
        <v>0</v>
      </c>
      <c r="T25">
        <f t="shared" si="36"/>
        <v>0</v>
      </c>
      <c r="U25">
        <f t="shared" si="37"/>
        <v>6.1</v>
      </c>
      <c r="V25">
        <f t="shared" si="38"/>
        <v>0</v>
      </c>
      <c r="W25">
        <f t="shared" si="39"/>
        <v>4.0999999999999996</v>
      </c>
      <c r="X25">
        <f t="shared" si="40"/>
        <v>0.5</v>
      </c>
      <c r="Y25" s="319">
        <f t="shared" si="41"/>
        <v>2.3700000000000614</v>
      </c>
    </row>
    <row r="26" spans="1:25" ht="13.5" thickBot="1">
      <c r="A26" s="313">
        <v>33269</v>
      </c>
      <c r="B26" s="315">
        <v>835.6</v>
      </c>
      <c r="C26" s="315">
        <v>0</v>
      </c>
      <c r="D26" t="s">
        <v>341</v>
      </c>
      <c r="E26">
        <f t="shared" si="21"/>
        <v>0</v>
      </c>
      <c r="F26">
        <f t="shared" si="22"/>
        <v>0</v>
      </c>
      <c r="G26">
        <f t="shared" si="23"/>
        <v>0</v>
      </c>
      <c r="H26">
        <f t="shared" si="24"/>
        <v>0</v>
      </c>
      <c r="I26">
        <f t="shared" si="25"/>
        <v>0</v>
      </c>
      <c r="J26">
        <f t="shared" si="26"/>
        <v>0</v>
      </c>
      <c r="K26">
        <f t="shared" si="27"/>
        <v>0</v>
      </c>
      <c r="L26">
        <f t="shared" si="28"/>
        <v>0</v>
      </c>
      <c r="M26">
        <f t="shared" si="29"/>
        <v>0</v>
      </c>
      <c r="N26">
        <f t="shared" si="30"/>
        <v>0</v>
      </c>
      <c r="O26">
        <f t="shared" si="31"/>
        <v>0</v>
      </c>
      <c r="P26">
        <f t="shared" si="32"/>
        <v>0</v>
      </c>
      <c r="Q26">
        <f t="shared" si="33"/>
        <v>0</v>
      </c>
      <c r="R26">
        <f t="shared" si="34"/>
        <v>0</v>
      </c>
      <c r="S26">
        <f t="shared" si="35"/>
        <v>0</v>
      </c>
      <c r="T26">
        <f t="shared" si="36"/>
        <v>0</v>
      </c>
      <c r="U26">
        <f t="shared" si="37"/>
        <v>0</v>
      </c>
      <c r="V26">
        <f t="shared" si="38"/>
        <v>0</v>
      </c>
      <c r="W26">
        <f t="shared" si="39"/>
        <v>0</v>
      </c>
      <c r="X26">
        <f t="shared" si="40"/>
        <v>0</v>
      </c>
      <c r="Y26" s="319">
        <f t="shared" si="41"/>
        <v>0</v>
      </c>
    </row>
    <row r="27" spans="1:25" ht="13.5" thickBot="1">
      <c r="A27" s="313">
        <v>33297</v>
      </c>
      <c r="B27" s="315">
        <v>649</v>
      </c>
      <c r="C27" s="315">
        <v>0</v>
      </c>
      <c r="D27" t="s">
        <v>342</v>
      </c>
      <c r="E27">
        <f t="shared" si="21"/>
        <v>0</v>
      </c>
      <c r="F27">
        <f t="shared" si="22"/>
        <v>0</v>
      </c>
      <c r="G27">
        <f t="shared" si="23"/>
        <v>0</v>
      </c>
      <c r="H27">
        <f t="shared" si="24"/>
        <v>0</v>
      </c>
      <c r="I27">
        <f t="shared" si="25"/>
        <v>0</v>
      </c>
      <c r="J27">
        <f t="shared" si="26"/>
        <v>0</v>
      </c>
      <c r="K27">
        <f t="shared" si="27"/>
        <v>0</v>
      </c>
      <c r="L27">
        <f t="shared" si="28"/>
        <v>0</v>
      </c>
      <c r="M27">
        <f t="shared" si="29"/>
        <v>0</v>
      </c>
      <c r="N27">
        <f t="shared" si="30"/>
        <v>0</v>
      </c>
      <c r="O27">
        <f t="shared" si="31"/>
        <v>0</v>
      </c>
      <c r="P27">
        <f t="shared" si="32"/>
        <v>0</v>
      </c>
      <c r="Q27">
        <f t="shared" si="33"/>
        <v>0</v>
      </c>
      <c r="R27">
        <f t="shared" si="34"/>
        <v>0</v>
      </c>
      <c r="S27">
        <f t="shared" si="35"/>
        <v>0</v>
      </c>
      <c r="T27">
        <f t="shared" si="36"/>
        <v>0</v>
      </c>
      <c r="U27">
        <f t="shared" si="37"/>
        <v>0</v>
      </c>
      <c r="V27">
        <f t="shared" si="38"/>
        <v>0</v>
      </c>
      <c r="W27">
        <f t="shared" si="39"/>
        <v>0</v>
      </c>
      <c r="X27">
        <f t="shared" si="40"/>
        <v>0</v>
      </c>
      <c r="Y27" s="319">
        <f t="shared" si="41"/>
        <v>0</v>
      </c>
    </row>
    <row r="28" spans="1:25" ht="13.5" thickBot="1">
      <c r="A28" s="313">
        <v>33328</v>
      </c>
      <c r="B28" s="315">
        <v>588</v>
      </c>
      <c r="C28" s="315">
        <v>0</v>
      </c>
      <c r="X28">
        <f>SUM(E16:X27)</f>
        <v>4693.4000000000015</v>
      </c>
      <c r="Y28">
        <f>X28-C242</f>
        <v>0</v>
      </c>
    </row>
    <row r="29" spans="1:25" ht="13.5" thickBot="1">
      <c r="A29" s="313">
        <v>33358</v>
      </c>
      <c r="B29" s="315">
        <v>318.60000000000002</v>
      </c>
      <c r="C29" s="315">
        <v>2</v>
      </c>
    </row>
    <row r="30" spans="1:25" ht="13.5" thickBot="1">
      <c r="A30" s="313">
        <v>33389</v>
      </c>
      <c r="B30" s="315">
        <v>125.3</v>
      </c>
      <c r="C30" s="315">
        <v>36</v>
      </c>
    </row>
    <row r="31" spans="1:25" ht="13.5" thickBot="1">
      <c r="A31" s="313">
        <v>33419</v>
      </c>
      <c r="B31" s="315">
        <v>23.1</v>
      </c>
      <c r="C31" s="315">
        <v>56.4</v>
      </c>
    </row>
    <row r="32" spans="1:25" ht="13.5" thickBot="1">
      <c r="A32" s="313">
        <v>33450</v>
      </c>
      <c r="B32" s="315">
        <v>3.7</v>
      </c>
      <c r="C32" s="315">
        <v>86.8</v>
      </c>
    </row>
    <row r="33" spans="1:3" ht="13.5" thickBot="1">
      <c r="A33" s="313">
        <v>33481</v>
      </c>
      <c r="B33" s="315">
        <v>8.6999999999999993</v>
      </c>
      <c r="C33" s="315">
        <v>73.7</v>
      </c>
    </row>
    <row r="34" spans="1:3" ht="13.5" thickBot="1">
      <c r="A34" s="313">
        <v>33511</v>
      </c>
      <c r="B34" s="315">
        <v>145.9</v>
      </c>
      <c r="C34" s="315">
        <v>17.600000000000001</v>
      </c>
    </row>
    <row r="35" spans="1:3" ht="13.5" thickBot="1">
      <c r="A35" s="313">
        <v>33542</v>
      </c>
      <c r="B35" s="315">
        <v>282.5</v>
      </c>
      <c r="C35" s="315">
        <v>0</v>
      </c>
    </row>
    <row r="36" spans="1:3" ht="13.5" thickBot="1">
      <c r="A36" s="313">
        <v>33572</v>
      </c>
      <c r="B36" s="315">
        <v>492.8</v>
      </c>
      <c r="C36" s="315">
        <v>0</v>
      </c>
    </row>
    <row r="37" spans="1:3" ht="13.5" thickBot="1">
      <c r="A37" s="313">
        <v>33603</v>
      </c>
      <c r="B37" s="315">
        <v>678.1</v>
      </c>
      <c r="C37" s="315">
        <v>0</v>
      </c>
    </row>
    <row r="38" spans="1:3" ht="13.5" thickBot="1">
      <c r="A38" s="313">
        <v>33634</v>
      </c>
      <c r="B38" s="315">
        <v>788</v>
      </c>
      <c r="C38" s="315">
        <v>0</v>
      </c>
    </row>
    <row r="39" spans="1:3" ht="13.5" thickBot="1">
      <c r="A39" s="313">
        <v>33663</v>
      </c>
      <c r="B39" s="315">
        <v>711.7</v>
      </c>
      <c r="C39" s="315">
        <v>0</v>
      </c>
    </row>
    <row r="40" spans="1:3" ht="13.5" thickBot="1">
      <c r="A40" s="313">
        <v>33694</v>
      </c>
      <c r="B40" s="315">
        <v>672.4</v>
      </c>
      <c r="C40" s="315">
        <v>0</v>
      </c>
    </row>
    <row r="41" spans="1:3" ht="13.5" thickBot="1">
      <c r="A41" s="313">
        <v>33724</v>
      </c>
      <c r="B41" s="315">
        <v>413.6</v>
      </c>
      <c r="C41" s="315">
        <v>0</v>
      </c>
    </row>
    <row r="42" spans="1:3" ht="13.5" thickBot="1">
      <c r="A42" s="313">
        <v>33755</v>
      </c>
      <c r="B42" s="315">
        <v>164.3</v>
      </c>
      <c r="C42" s="315">
        <v>5.8</v>
      </c>
    </row>
    <row r="43" spans="1:3" ht="13.5" thickBot="1">
      <c r="A43" s="313">
        <v>33785</v>
      </c>
      <c r="B43" s="315">
        <v>73.400000000000006</v>
      </c>
      <c r="C43" s="315">
        <v>18.600000000000001</v>
      </c>
    </row>
    <row r="44" spans="1:3" ht="13.5" thickBot="1">
      <c r="A44" s="313">
        <v>33816</v>
      </c>
      <c r="B44" s="315">
        <v>35.6</v>
      </c>
      <c r="C44" s="315">
        <v>12</v>
      </c>
    </row>
    <row r="45" spans="1:3" ht="13.5" thickBot="1">
      <c r="A45" s="313">
        <v>33847</v>
      </c>
      <c r="B45" s="315">
        <v>38.799999999999997</v>
      </c>
      <c r="C45" s="315">
        <v>26</v>
      </c>
    </row>
    <row r="46" spans="1:3" ht="13.5" thickBot="1">
      <c r="A46" s="313">
        <v>33877</v>
      </c>
      <c r="B46" s="315">
        <v>116.5</v>
      </c>
      <c r="C46" s="315">
        <v>19.2</v>
      </c>
    </row>
    <row r="47" spans="1:3" ht="13.5" thickBot="1">
      <c r="A47" s="313">
        <v>33908</v>
      </c>
      <c r="B47" s="315">
        <v>335.1</v>
      </c>
      <c r="C47" s="315">
        <v>0</v>
      </c>
    </row>
    <row r="48" spans="1:3" ht="13.5" thickBot="1">
      <c r="A48" s="313">
        <v>33938</v>
      </c>
      <c r="B48" s="315">
        <v>480.6</v>
      </c>
      <c r="C48" s="315">
        <v>0</v>
      </c>
    </row>
    <row r="49" spans="1:3" ht="13.5" thickBot="1">
      <c r="A49" s="313">
        <v>33969</v>
      </c>
      <c r="B49" s="315">
        <v>641.4</v>
      </c>
      <c r="C49" s="315">
        <v>0</v>
      </c>
    </row>
    <row r="50" spans="1:3" ht="13.5" thickBot="1">
      <c r="A50" s="313">
        <v>34000</v>
      </c>
      <c r="B50" s="315">
        <v>745.2</v>
      </c>
      <c r="C50" s="315">
        <v>0</v>
      </c>
    </row>
    <row r="51" spans="1:3" ht="13.5" thickBot="1">
      <c r="A51" s="313">
        <v>34028</v>
      </c>
      <c r="B51" s="315">
        <v>817.6</v>
      </c>
      <c r="C51" s="315">
        <v>0</v>
      </c>
    </row>
    <row r="52" spans="1:3" ht="13.5" thickBot="1">
      <c r="A52" s="313">
        <v>34059</v>
      </c>
      <c r="B52" s="315">
        <v>653.1</v>
      </c>
      <c r="C52" s="315">
        <v>0</v>
      </c>
    </row>
    <row r="53" spans="1:3" ht="13.5" thickBot="1">
      <c r="A53" s="313">
        <v>34089</v>
      </c>
      <c r="B53" s="315">
        <v>370.3</v>
      </c>
      <c r="C53" s="315">
        <v>0</v>
      </c>
    </row>
    <row r="54" spans="1:3" ht="13.5" thickBot="1">
      <c r="A54" s="313">
        <v>34120</v>
      </c>
      <c r="B54" s="315">
        <v>196.5</v>
      </c>
      <c r="C54" s="315">
        <v>1.3</v>
      </c>
    </row>
    <row r="55" spans="1:3" ht="13.5" thickBot="1">
      <c r="A55" s="313">
        <v>34150</v>
      </c>
      <c r="B55" s="315">
        <v>59.2</v>
      </c>
      <c r="C55" s="315">
        <v>17.3</v>
      </c>
    </row>
    <row r="56" spans="1:3" ht="13.5" thickBot="1">
      <c r="A56" s="313">
        <v>34181</v>
      </c>
      <c r="B56" s="315">
        <v>1.4</v>
      </c>
      <c r="C56" s="315">
        <v>82.7</v>
      </c>
    </row>
    <row r="57" spans="1:3" ht="13.5" thickBot="1">
      <c r="A57" s="313">
        <v>34212</v>
      </c>
      <c r="B57" s="315">
        <v>12.5</v>
      </c>
      <c r="C57" s="315">
        <v>86.2</v>
      </c>
    </row>
    <row r="58" spans="1:3" ht="13.5" thickBot="1">
      <c r="A58" s="313">
        <v>34242</v>
      </c>
      <c r="B58" s="315">
        <v>169.3</v>
      </c>
      <c r="C58" s="315">
        <v>9.6</v>
      </c>
    </row>
    <row r="59" spans="1:3" ht="13.5" thickBot="1">
      <c r="A59" s="313">
        <v>34273</v>
      </c>
      <c r="B59" s="315">
        <v>328.4</v>
      </c>
      <c r="C59" s="315">
        <v>0</v>
      </c>
    </row>
    <row r="60" spans="1:3" ht="13.5" thickBot="1">
      <c r="A60" s="313">
        <v>34303</v>
      </c>
      <c r="B60" s="315">
        <v>494.7</v>
      </c>
      <c r="C60" s="315">
        <v>0</v>
      </c>
    </row>
    <row r="61" spans="1:3" ht="13.5" thickBot="1">
      <c r="A61" s="313">
        <v>34334</v>
      </c>
      <c r="B61" s="315">
        <v>712.4</v>
      </c>
      <c r="C61" s="315">
        <v>0</v>
      </c>
    </row>
    <row r="62" spans="1:3" ht="13.5" thickBot="1">
      <c r="A62" s="313">
        <v>34365</v>
      </c>
      <c r="B62" s="315">
        <v>1029.9000000000001</v>
      </c>
      <c r="C62" s="315">
        <v>0</v>
      </c>
    </row>
    <row r="63" spans="1:3" ht="13.5" thickBot="1">
      <c r="A63" s="313">
        <v>34393</v>
      </c>
      <c r="B63" s="315">
        <v>803.3</v>
      </c>
      <c r="C63" s="315">
        <v>0</v>
      </c>
    </row>
    <row r="64" spans="1:3" ht="13.5" thickBot="1">
      <c r="A64" s="313">
        <v>34424</v>
      </c>
      <c r="B64" s="315">
        <v>627.79999999999995</v>
      </c>
      <c r="C64" s="315">
        <v>0</v>
      </c>
    </row>
    <row r="65" spans="1:3" ht="13.5" thickBot="1">
      <c r="A65" s="313">
        <v>34454</v>
      </c>
      <c r="B65" s="315">
        <v>348.4</v>
      </c>
      <c r="C65" s="315">
        <v>0</v>
      </c>
    </row>
    <row r="66" spans="1:3" ht="13.5" thickBot="1">
      <c r="A66" s="313">
        <v>34485</v>
      </c>
      <c r="B66" s="315">
        <v>223.5</v>
      </c>
      <c r="C66" s="315">
        <v>8.3000000000000007</v>
      </c>
    </row>
    <row r="67" spans="1:3" ht="13.5" thickBot="1">
      <c r="A67" s="313">
        <v>34515</v>
      </c>
      <c r="B67" s="315">
        <v>50.4</v>
      </c>
      <c r="C67" s="315">
        <v>47.8</v>
      </c>
    </row>
    <row r="68" spans="1:3" ht="13.5" thickBot="1">
      <c r="A68" s="313">
        <v>34546</v>
      </c>
      <c r="B68" s="315">
        <v>6</v>
      </c>
      <c r="C68" s="315">
        <v>82.3</v>
      </c>
    </row>
    <row r="69" spans="1:3" ht="13.5" thickBot="1">
      <c r="A69" s="313">
        <v>34577</v>
      </c>
      <c r="B69" s="315">
        <v>38.1</v>
      </c>
      <c r="C69" s="315">
        <v>32.200000000000003</v>
      </c>
    </row>
    <row r="70" spans="1:3" ht="13.5" thickBot="1">
      <c r="A70" s="313">
        <v>34607</v>
      </c>
      <c r="B70" s="315">
        <v>93.8</v>
      </c>
      <c r="C70" s="315">
        <v>7.1</v>
      </c>
    </row>
    <row r="71" spans="1:3" ht="13.5" thickBot="1">
      <c r="A71" s="313">
        <v>34638</v>
      </c>
      <c r="B71" s="315">
        <v>275.8</v>
      </c>
      <c r="C71" s="315">
        <v>0</v>
      </c>
    </row>
    <row r="72" spans="1:3" ht="13.5" thickBot="1">
      <c r="A72" s="313">
        <v>34668</v>
      </c>
      <c r="B72" s="315">
        <v>413.1</v>
      </c>
      <c r="C72" s="315">
        <v>0</v>
      </c>
    </row>
    <row r="73" spans="1:3" ht="13.5" thickBot="1">
      <c r="A73" s="313">
        <v>34699</v>
      </c>
      <c r="B73" s="315">
        <v>639</v>
      </c>
      <c r="C73" s="315">
        <v>0</v>
      </c>
    </row>
    <row r="74" spans="1:3" ht="13.5" thickBot="1">
      <c r="A74" s="313">
        <v>34730</v>
      </c>
      <c r="B74" s="315">
        <v>711.8</v>
      </c>
      <c r="C74" s="315">
        <v>0</v>
      </c>
    </row>
    <row r="75" spans="1:3" ht="13.5" thickBot="1">
      <c r="A75" s="313">
        <v>34758</v>
      </c>
      <c r="B75" s="315">
        <v>778.1</v>
      </c>
      <c r="C75" s="315">
        <v>0</v>
      </c>
    </row>
    <row r="76" spans="1:3" ht="13.5" thickBot="1">
      <c r="A76" s="313">
        <v>34789</v>
      </c>
      <c r="B76" s="315">
        <v>567</v>
      </c>
      <c r="C76" s="315">
        <v>0</v>
      </c>
    </row>
    <row r="77" spans="1:3" ht="13.5" thickBot="1">
      <c r="A77" s="313">
        <v>34819</v>
      </c>
      <c r="B77" s="315">
        <v>455.3</v>
      </c>
      <c r="C77" s="315">
        <v>0</v>
      </c>
    </row>
    <row r="78" spans="1:3" ht="13.5" thickBot="1">
      <c r="A78" s="313">
        <v>34850</v>
      </c>
      <c r="B78" s="315">
        <v>172.3</v>
      </c>
      <c r="C78" s="315">
        <v>0.5</v>
      </c>
    </row>
    <row r="79" spans="1:3" ht="13.5" thickBot="1">
      <c r="A79" s="313">
        <v>34880</v>
      </c>
      <c r="B79" s="315">
        <v>24.9</v>
      </c>
      <c r="C79" s="315">
        <v>70.900000000000006</v>
      </c>
    </row>
    <row r="80" spans="1:3" ht="13.5" thickBot="1">
      <c r="A80" s="313">
        <v>34911</v>
      </c>
      <c r="B80" s="315">
        <v>18.399999999999999</v>
      </c>
      <c r="C80" s="315">
        <v>92.1</v>
      </c>
    </row>
    <row r="81" spans="1:3" ht="13.5" thickBot="1">
      <c r="A81" s="313">
        <v>34942</v>
      </c>
      <c r="B81" s="315">
        <v>7.8</v>
      </c>
      <c r="C81" s="315">
        <v>99.7</v>
      </c>
    </row>
    <row r="82" spans="1:3" ht="13.5" thickBot="1">
      <c r="A82" s="313">
        <v>34972</v>
      </c>
      <c r="B82" s="315">
        <v>150.4</v>
      </c>
      <c r="C82" s="315">
        <v>4.3</v>
      </c>
    </row>
    <row r="83" spans="1:3" ht="13.5" thickBot="1">
      <c r="A83" s="313">
        <v>35003</v>
      </c>
      <c r="B83" s="315">
        <v>243.4</v>
      </c>
      <c r="C83" s="315">
        <v>1.5</v>
      </c>
    </row>
    <row r="84" spans="1:3" ht="13.5" thickBot="1">
      <c r="A84" s="313">
        <v>35033</v>
      </c>
      <c r="B84" s="315">
        <v>579</v>
      </c>
      <c r="C84" s="315">
        <v>0</v>
      </c>
    </row>
    <row r="85" spans="1:3" ht="13.5" thickBot="1">
      <c r="A85" s="313">
        <v>35064</v>
      </c>
      <c r="B85" s="315">
        <v>805.8</v>
      </c>
      <c r="C85" s="315">
        <v>0</v>
      </c>
    </row>
    <row r="86" spans="1:3" ht="13.5" thickBot="1">
      <c r="A86" s="313">
        <v>35095</v>
      </c>
      <c r="B86" s="315">
        <v>839.4</v>
      </c>
      <c r="C86" s="315">
        <v>0</v>
      </c>
    </row>
    <row r="87" spans="1:3" ht="13.5" thickBot="1">
      <c r="A87" s="313">
        <v>35124</v>
      </c>
      <c r="B87" s="315">
        <v>739.6</v>
      </c>
      <c r="C87" s="315">
        <v>0</v>
      </c>
    </row>
    <row r="88" spans="1:3" ht="13.5" thickBot="1">
      <c r="A88" s="313">
        <v>35155</v>
      </c>
      <c r="B88" s="315">
        <v>669</v>
      </c>
      <c r="C88" s="315">
        <v>0</v>
      </c>
    </row>
    <row r="89" spans="1:3" ht="13.5" thickBot="1">
      <c r="A89" s="313">
        <v>35185</v>
      </c>
      <c r="B89" s="315">
        <v>455.1</v>
      </c>
      <c r="C89" s="315">
        <v>0</v>
      </c>
    </row>
    <row r="90" spans="1:3" ht="13.5" thickBot="1">
      <c r="A90" s="313">
        <v>35216</v>
      </c>
      <c r="B90" s="315">
        <v>209.3</v>
      </c>
      <c r="C90" s="315">
        <v>6.6</v>
      </c>
    </row>
    <row r="91" spans="1:3" ht="13.5" thickBot="1">
      <c r="A91" s="313">
        <v>35246</v>
      </c>
      <c r="B91" s="315">
        <v>35.1</v>
      </c>
      <c r="C91" s="315">
        <v>33.4</v>
      </c>
    </row>
    <row r="92" spans="1:3" ht="13.5" thickBot="1">
      <c r="A92" s="313">
        <v>35277</v>
      </c>
      <c r="B92" s="315">
        <v>11.2</v>
      </c>
      <c r="C92" s="315">
        <v>43.7</v>
      </c>
    </row>
    <row r="93" spans="1:3" ht="13.5" thickBot="1">
      <c r="A93" s="313">
        <v>35308</v>
      </c>
      <c r="B93" s="315">
        <v>6.4</v>
      </c>
      <c r="C93" s="315">
        <v>71.8</v>
      </c>
    </row>
    <row r="94" spans="1:3" ht="13.5" thickBot="1">
      <c r="A94" s="313">
        <v>35338</v>
      </c>
      <c r="B94" s="315">
        <v>84.4</v>
      </c>
      <c r="C94" s="315">
        <v>23.6</v>
      </c>
    </row>
    <row r="95" spans="1:3" ht="13.5" thickBot="1">
      <c r="A95" s="313">
        <v>35369</v>
      </c>
      <c r="B95" s="315">
        <v>285.2</v>
      </c>
      <c r="C95" s="315">
        <v>0</v>
      </c>
    </row>
    <row r="96" spans="1:3" ht="13.5" thickBot="1">
      <c r="A96" s="313">
        <v>35399</v>
      </c>
      <c r="B96" s="315">
        <v>548.20000000000005</v>
      </c>
      <c r="C96" s="315">
        <v>0</v>
      </c>
    </row>
    <row r="97" spans="1:3" ht="13.5" thickBot="1">
      <c r="A97" s="313">
        <v>35430</v>
      </c>
      <c r="B97" s="315">
        <v>605.6</v>
      </c>
      <c r="C97" s="315">
        <v>0</v>
      </c>
    </row>
    <row r="98" spans="1:3" ht="13.5" thickBot="1">
      <c r="A98" s="313">
        <v>35461</v>
      </c>
      <c r="B98" s="315">
        <v>836.4</v>
      </c>
      <c r="C98" s="315">
        <v>0</v>
      </c>
    </row>
    <row r="99" spans="1:3" ht="13.5" thickBot="1">
      <c r="A99" s="313">
        <v>35489</v>
      </c>
      <c r="B99" s="315">
        <v>679.5</v>
      </c>
      <c r="C99" s="315">
        <v>0</v>
      </c>
    </row>
    <row r="100" spans="1:3" ht="13.5" thickBot="1">
      <c r="A100" s="313">
        <v>35520</v>
      </c>
      <c r="B100" s="315">
        <v>677.9</v>
      </c>
      <c r="C100" s="315">
        <v>0</v>
      </c>
    </row>
    <row r="101" spans="1:3" ht="13.5" thickBot="1">
      <c r="A101" s="313">
        <v>35550</v>
      </c>
      <c r="B101" s="315">
        <v>410.1</v>
      </c>
      <c r="C101" s="315">
        <v>0</v>
      </c>
    </row>
    <row r="102" spans="1:3" ht="13.5" thickBot="1">
      <c r="A102" s="313">
        <v>35581</v>
      </c>
      <c r="B102" s="315">
        <v>261.8</v>
      </c>
      <c r="C102" s="315">
        <v>0</v>
      </c>
    </row>
    <row r="103" spans="1:3" ht="13.5" thickBot="1">
      <c r="A103" s="313">
        <v>35611</v>
      </c>
      <c r="B103" s="315">
        <v>11.6</v>
      </c>
      <c r="C103" s="315">
        <v>54.9</v>
      </c>
    </row>
    <row r="104" spans="1:3" ht="13.5" thickBot="1">
      <c r="A104" s="313">
        <v>35642</v>
      </c>
      <c r="B104" s="315">
        <v>20.2</v>
      </c>
      <c r="C104" s="315">
        <v>82.7</v>
      </c>
    </row>
    <row r="105" spans="1:3" ht="13.5" thickBot="1">
      <c r="A105" s="313">
        <v>35673</v>
      </c>
      <c r="B105" s="315">
        <v>21.8</v>
      </c>
      <c r="C105" s="315">
        <v>30.3</v>
      </c>
    </row>
    <row r="106" spans="1:3" ht="13.5" thickBot="1">
      <c r="A106" s="313">
        <v>35703</v>
      </c>
      <c r="B106" s="315">
        <v>88.6</v>
      </c>
      <c r="C106" s="315">
        <v>5.8</v>
      </c>
    </row>
    <row r="107" spans="1:3" ht="13.5" thickBot="1">
      <c r="A107" s="313">
        <v>35734</v>
      </c>
      <c r="B107" s="315">
        <v>296.89999999999998</v>
      </c>
      <c r="C107" s="315">
        <v>0.8</v>
      </c>
    </row>
    <row r="108" spans="1:3" ht="13.5" thickBot="1">
      <c r="A108" s="313">
        <v>35764</v>
      </c>
      <c r="B108" s="315">
        <v>487.5</v>
      </c>
      <c r="C108" s="315">
        <v>0</v>
      </c>
    </row>
    <row r="109" spans="1:3" ht="13.5" thickBot="1">
      <c r="A109" s="313">
        <v>35795</v>
      </c>
      <c r="B109" s="315">
        <v>635.9</v>
      </c>
      <c r="C109" s="315">
        <v>0</v>
      </c>
    </row>
    <row r="110" spans="1:3" ht="13.5" thickBot="1">
      <c r="A110" s="313">
        <v>35826</v>
      </c>
      <c r="B110" s="315">
        <v>726</v>
      </c>
      <c r="C110" s="315">
        <v>0</v>
      </c>
    </row>
    <row r="111" spans="1:3" ht="13.5" thickBot="1">
      <c r="A111" s="313">
        <v>35854</v>
      </c>
      <c r="B111" s="315">
        <v>561.79999999999995</v>
      </c>
      <c r="C111" s="315">
        <v>0</v>
      </c>
    </row>
    <row r="112" spans="1:3" ht="13.5" thickBot="1">
      <c r="A112" s="313">
        <v>35885</v>
      </c>
      <c r="B112" s="315">
        <v>554</v>
      </c>
      <c r="C112" s="315">
        <v>0</v>
      </c>
    </row>
    <row r="113" spans="1:3" ht="13.5" thickBot="1">
      <c r="A113" s="313">
        <v>35915</v>
      </c>
      <c r="B113" s="315">
        <v>314.8</v>
      </c>
      <c r="C113" s="315">
        <v>0</v>
      </c>
    </row>
    <row r="114" spans="1:3" ht="13.5" thickBot="1">
      <c r="A114" s="313">
        <v>35946</v>
      </c>
      <c r="B114" s="315">
        <v>54.9</v>
      </c>
      <c r="C114" s="315">
        <v>19.2</v>
      </c>
    </row>
    <row r="115" spans="1:3" ht="13.5" thickBot="1">
      <c r="A115" s="313">
        <v>35976</v>
      </c>
      <c r="B115" s="315">
        <v>58.2</v>
      </c>
      <c r="C115" s="315">
        <v>66</v>
      </c>
    </row>
    <row r="116" spans="1:3" ht="13.5" thickBot="1">
      <c r="A116" s="313">
        <v>36007</v>
      </c>
      <c r="B116" s="315">
        <v>2.8</v>
      </c>
      <c r="C116" s="315">
        <v>82.5</v>
      </c>
    </row>
    <row r="117" spans="1:3" ht="13.5" thickBot="1">
      <c r="A117" s="313">
        <v>36038</v>
      </c>
      <c r="B117" s="315">
        <v>3.9</v>
      </c>
      <c r="C117" s="315">
        <v>81.599999999999994</v>
      </c>
    </row>
    <row r="118" spans="1:3" ht="13.5" thickBot="1">
      <c r="A118" s="313">
        <v>36068</v>
      </c>
      <c r="B118" s="315">
        <v>57.3</v>
      </c>
      <c r="C118" s="315">
        <v>21.4</v>
      </c>
    </row>
    <row r="119" spans="1:3" ht="13.5" thickBot="1">
      <c r="A119" s="313">
        <v>36099</v>
      </c>
      <c r="B119" s="315">
        <v>250.3</v>
      </c>
      <c r="C119" s="315">
        <v>0</v>
      </c>
    </row>
    <row r="120" spans="1:3" ht="13.5" thickBot="1">
      <c r="A120" s="313">
        <v>36129</v>
      </c>
      <c r="B120" s="315">
        <v>445.4</v>
      </c>
      <c r="C120" s="315">
        <v>0</v>
      </c>
    </row>
    <row r="121" spans="1:3" ht="13.5" thickBot="1">
      <c r="A121" s="313">
        <v>36160</v>
      </c>
      <c r="B121" s="315">
        <v>612.70000000000005</v>
      </c>
      <c r="C121" s="315">
        <v>0</v>
      </c>
    </row>
    <row r="122" spans="1:3" ht="13.5" thickBot="1">
      <c r="A122" s="313">
        <v>36191</v>
      </c>
      <c r="B122" s="315">
        <v>830.4</v>
      </c>
      <c r="C122" s="315">
        <v>0</v>
      </c>
    </row>
    <row r="123" spans="1:3" ht="13.5" thickBot="1">
      <c r="A123" s="313">
        <v>36219</v>
      </c>
      <c r="B123" s="315">
        <v>510.9</v>
      </c>
      <c r="C123" s="315">
        <v>0</v>
      </c>
    </row>
    <row r="124" spans="1:3" ht="13.5" thickBot="1">
      <c r="A124" s="313">
        <v>36250</v>
      </c>
      <c r="B124" s="315">
        <v>507.9</v>
      </c>
      <c r="C124" s="315">
        <v>0</v>
      </c>
    </row>
    <row r="125" spans="1:3" ht="13.5" thickBot="1">
      <c r="A125" s="313">
        <v>36280</v>
      </c>
      <c r="B125" s="316">
        <v>335.1</v>
      </c>
      <c r="C125" s="316">
        <v>0</v>
      </c>
    </row>
    <row r="126" spans="1:3" ht="13.5" thickBot="1">
      <c r="A126" s="313">
        <v>36311</v>
      </c>
      <c r="B126" s="315">
        <v>112.6</v>
      </c>
      <c r="C126" s="315">
        <v>8.6999999999999993</v>
      </c>
    </row>
    <row r="127" spans="1:3" ht="13.5" thickBot="1">
      <c r="A127" s="313">
        <v>36341</v>
      </c>
      <c r="B127" s="315">
        <v>29.6</v>
      </c>
      <c r="C127" s="315">
        <v>62.1</v>
      </c>
    </row>
    <row r="128" spans="1:3" ht="13.5" thickBot="1">
      <c r="A128" s="313">
        <v>36372</v>
      </c>
      <c r="B128" s="315">
        <v>3.9</v>
      </c>
      <c r="C128" s="315">
        <v>129</v>
      </c>
    </row>
    <row r="129" spans="1:3" ht="13.5" thickBot="1">
      <c r="A129" s="313">
        <v>36403</v>
      </c>
      <c r="B129" s="315">
        <v>19.2</v>
      </c>
      <c r="C129" s="315">
        <v>41.9</v>
      </c>
    </row>
    <row r="130" spans="1:3" ht="13.5" thickBot="1">
      <c r="A130" s="313">
        <v>36433</v>
      </c>
      <c r="B130" s="315">
        <v>76.400000000000006</v>
      </c>
      <c r="C130" s="315">
        <v>38.200000000000003</v>
      </c>
    </row>
    <row r="131" spans="1:3" ht="13.5" thickBot="1">
      <c r="A131" s="313">
        <v>36464</v>
      </c>
      <c r="B131" s="315">
        <v>306.10000000000002</v>
      </c>
      <c r="C131" s="315">
        <v>0</v>
      </c>
    </row>
    <row r="132" spans="1:3" ht="13.5" thickBot="1">
      <c r="A132" s="313">
        <v>36494</v>
      </c>
      <c r="B132" s="315">
        <v>412.8</v>
      </c>
      <c r="C132" s="315">
        <v>0</v>
      </c>
    </row>
    <row r="133" spans="1:3" ht="13.5" thickBot="1">
      <c r="A133" s="313">
        <v>36525</v>
      </c>
      <c r="B133" s="315">
        <v>647</v>
      </c>
      <c r="C133" s="315">
        <v>0</v>
      </c>
    </row>
    <row r="134" spans="1:3" ht="13.5" thickBot="1">
      <c r="A134" s="313">
        <v>36556</v>
      </c>
      <c r="B134" s="315">
        <v>812.5</v>
      </c>
      <c r="C134" s="315">
        <v>0</v>
      </c>
    </row>
    <row r="135" spans="1:3" ht="13.5" thickBot="1">
      <c r="A135" s="313">
        <v>36585</v>
      </c>
      <c r="B135" s="315">
        <v>643.9</v>
      </c>
      <c r="C135" s="315">
        <v>0</v>
      </c>
    </row>
    <row r="136" spans="1:3" ht="13.5" thickBot="1">
      <c r="A136" s="313">
        <v>36616</v>
      </c>
      <c r="B136" s="315">
        <v>480.8</v>
      </c>
      <c r="C136" s="315">
        <v>0</v>
      </c>
    </row>
    <row r="137" spans="1:3" ht="13.5" thickBot="1">
      <c r="A137" s="313">
        <v>36646</v>
      </c>
      <c r="B137" s="315">
        <v>375</v>
      </c>
      <c r="C137" s="315">
        <v>0</v>
      </c>
    </row>
    <row r="138" spans="1:3" ht="13.5" thickBot="1">
      <c r="A138" s="313">
        <v>36677</v>
      </c>
      <c r="B138" s="315">
        <v>163.30000000000001</v>
      </c>
      <c r="C138" s="315">
        <v>15.6</v>
      </c>
    </row>
    <row r="139" spans="1:3" ht="13.5" thickBot="1">
      <c r="A139" s="313">
        <v>36707</v>
      </c>
      <c r="B139" s="315">
        <v>62</v>
      </c>
      <c r="C139" s="315">
        <v>25.1</v>
      </c>
    </row>
    <row r="140" spans="1:3" ht="13.5" thickBot="1">
      <c r="A140" s="313">
        <v>36738</v>
      </c>
      <c r="B140" s="315">
        <v>21.9</v>
      </c>
      <c r="C140" s="315">
        <v>44.6</v>
      </c>
    </row>
    <row r="141" spans="1:3" ht="13.5" thickBot="1">
      <c r="A141" s="313">
        <v>36769</v>
      </c>
      <c r="B141" s="316">
        <v>33.299999999999997</v>
      </c>
      <c r="C141" s="316">
        <v>49.2</v>
      </c>
    </row>
    <row r="142" spans="1:3" ht="13.5" thickBot="1">
      <c r="A142" s="313">
        <v>36799</v>
      </c>
      <c r="B142" s="315">
        <v>131.4</v>
      </c>
      <c r="C142" s="315">
        <v>20</v>
      </c>
    </row>
    <row r="143" spans="1:3" ht="13.5" thickBot="1">
      <c r="A143" s="313">
        <v>36830</v>
      </c>
      <c r="B143" s="315">
        <v>261.5</v>
      </c>
      <c r="C143" s="315">
        <v>0</v>
      </c>
    </row>
    <row r="144" spans="1:3" ht="13.5" thickBot="1">
      <c r="A144" s="313">
        <v>36860</v>
      </c>
      <c r="B144" s="315">
        <v>485.6</v>
      </c>
      <c r="C144" s="315">
        <v>0</v>
      </c>
    </row>
    <row r="145" spans="1:3" ht="13.5" thickBot="1">
      <c r="A145" s="313">
        <v>36891</v>
      </c>
      <c r="B145" s="315">
        <v>845.7</v>
      </c>
      <c r="C145" s="315">
        <v>0</v>
      </c>
    </row>
    <row r="146" spans="1:3" ht="13.5" thickBot="1">
      <c r="A146" s="313">
        <v>36922</v>
      </c>
      <c r="B146" s="315">
        <v>757.4</v>
      </c>
      <c r="C146" s="315">
        <v>0</v>
      </c>
    </row>
    <row r="147" spans="1:3" ht="13.5" thickBot="1">
      <c r="A147" s="313">
        <v>36950</v>
      </c>
      <c r="B147" s="315">
        <v>682.2</v>
      </c>
      <c r="C147" s="315">
        <v>0</v>
      </c>
    </row>
    <row r="148" spans="1:3" ht="13.5" thickBot="1">
      <c r="A148" s="313">
        <v>36981</v>
      </c>
      <c r="B148" s="315">
        <v>630.9</v>
      </c>
      <c r="C148" s="315">
        <v>0</v>
      </c>
    </row>
    <row r="149" spans="1:3" ht="13.5" thickBot="1">
      <c r="A149" s="313">
        <v>37011</v>
      </c>
      <c r="B149" s="315">
        <v>342.4</v>
      </c>
      <c r="C149" s="315">
        <v>0</v>
      </c>
    </row>
    <row r="150" spans="1:3" ht="13.5" thickBot="1">
      <c r="A150" s="313">
        <v>37042</v>
      </c>
      <c r="B150" s="315">
        <v>132.4</v>
      </c>
      <c r="C150" s="315">
        <v>8.3000000000000007</v>
      </c>
    </row>
    <row r="151" spans="1:3" ht="13.5" thickBot="1">
      <c r="A151" s="313">
        <v>37072</v>
      </c>
      <c r="B151" s="315">
        <v>43.3</v>
      </c>
      <c r="C151" s="315">
        <v>56.6</v>
      </c>
    </row>
    <row r="152" spans="1:3" ht="13.5" thickBot="1">
      <c r="A152" s="313">
        <v>37103</v>
      </c>
      <c r="B152" s="315">
        <v>27</v>
      </c>
      <c r="C152" s="315">
        <v>73.2</v>
      </c>
    </row>
    <row r="153" spans="1:3" ht="13.5" thickBot="1">
      <c r="A153" s="313">
        <v>37134</v>
      </c>
      <c r="B153" s="315">
        <v>1.9</v>
      </c>
      <c r="C153" s="315">
        <v>119.6</v>
      </c>
    </row>
    <row r="154" spans="1:3" ht="13.5" thickBot="1">
      <c r="A154" s="313">
        <v>37164</v>
      </c>
      <c r="B154" s="315">
        <v>112.3</v>
      </c>
      <c r="C154" s="315">
        <v>19.399999999999999</v>
      </c>
    </row>
    <row r="155" spans="1:3" ht="13.5" thickBot="1">
      <c r="A155" s="313">
        <v>37195</v>
      </c>
      <c r="B155" s="315">
        <v>272.10000000000002</v>
      </c>
      <c r="C155" s="315">
        <v>0</v>
      </c>
    </row>
    <row r="156" spans="1:3" ht="13.5" thickBot="1">
      <c r="A156" s="313">
        <v>37225</v>
      </c>
      <c r="B156" s="315">
        <v>365.8</v>
      </c>
      <c r="C156" s="315">
        <v>0</v>
      </c>
    </row>
    <row r="157" spans="1:3" ht="13.5" thickBot="1">
      <c r="A157" s="313">
        <v>37256</v>
      </c>
      <c r="B157" s="315">
        <v>554.29999999999995</v>
      </c>
      <c r="C157" s="315">
        <v>0</v>
      </c>
    </row>
    <row r="158" spans="1:3" ht="13.5" thickBot="1">
      <c r="A158" s="313">
        <v>37287</v>
      </c>
      <c r="B158" s="315">
        <v>644.79999999999995</v>
      </c>
      <c r="C158" s="315">
        <v>0</v>
      </c>
    </row>
    <row r="159" spans="1:3" ht="13.5" thickBot="1">
      <c r="A159" s="313">
        <v>37315</v>
      </c>
      <c r="B159" s="315">
        <v>623.20000000000005</v>
      </c>
      <c r="C159" s="315">
        <v>0</v>
      </c>
    </row>
    <row r="160" spans="1:3" ht="13.5" thickBot="1">
      <c r="A160" s="313">
        <v>37346</v>
      </c>
      <c r="B160" s="315">
        <v>611.1</v>
      </c>
      <c r="C160" s="315">
        <v>0</v>
      </c>
    </row>
    <row r="161" spans="1:3" ht="13.5" thickBot="1">
      <c r="A161" s="313">
        <v>37376</v>
      </c>
      <c r="B161" s="315">
        <v>369.2</v>
      </c>
      <c r="C161" s="315">
        <v>6.8</v>
      </c>
    </row>
    <row r="162" spans="1:3" ht="13.5" thickBot="1">
      <c r="A162" s="313">
        <v>37407</v>
      </c>
      <c r="B162" s="315">
        <v>241.7</v>
      </c>
      <c r="C162" s="315">
        <v>4.8</v>
      </c>
    </row>
    <row r="163" spans="1:3" ht="13.5" thickBot="1">
      <c r="A163" s="313">
        <v>37437</v>
      </c>
      <c r="B163" s="315">
        <v>51.7</v>
      </c>
      <c r="C163" s="315">
        <v>55.4</v>
      </c>
    </row>
    <row r="164" spans="1:3" ht="13.5" thickBot="1">
      <c r="A164" s="313">
        <v>37468</v>
      </c>
      <c r="B164" s="315">
        <v>3.1</v>
      </c>
      <c r="C164" s="315">
        <v>144</v>
      </c>
    </row>
    <row r="165" spans="1:3" ht="13.5" thickBot="1">
      <c r="A165" s="313">
        <v>37499</v>
      </c>
      <c r="B165" s="315">
        <v>9.1</v>
      </c>
      <c r="C165" s="315">
        <v>86.2</v>
      </c>
    </row>
    <row r="166" spans="1:3" ht="13.5" thickBot="1">
      <c r="A166" s="313">
        <v>37529</v>
      </c>
      <c r="B166" s="315">
        <v>40.200000000000003</v>
      </c>
      <c r="C166" s="315">
        <v>58.4</v>
      </c>
    </row>
    <row r="167" spans="1:3" ht="13.5" thickBot="1">
      <c r="A167" s="313">
        <v>37560</v>
      </c>
      <c r="B167" s="315">
        <v>335.7</v>
      </c>
      <c r="C167" s="315">
        <v>6.8</v>
      </c>
    </row>
    <row r="168" spans="1:3" ht="13.5" thickBot="1">
      <c r="A168" s="313">
        <v>37590</v>
      </c>
      <c r="B168" s="315">
        <v>501.1</v>
      </c>
      <c r="C168" s="315">
        <v>0</v>
      </c>
    </row>
    <row r="169" spans="1:3" ht="13.5" thickBot="1">
      <c r="A169" s="313">
        <v>37621</v>
      </c>
      <c r="B169" s="315">
        <v>680.5</v>
      </c>
      <c r="C169" s="315">
        <v>0</v>
      </c>
    </row>
    <row r="170" spans="1:3" ht="13.5" thickBot="1">
      <c r="A170" s="313">
        <v>37652</v>
      </c>
      <c r="B170" s="315">
        <v>898.2</v>
      </c>
      <c r="C170" s="315">
        <v>0</v>
      </c>
    </row>
    <row r="171" spans="1:3" ht="13.5" thickBot="1">
      <c r="A171" s="313">
        <v>37680</v>
      </c>
      <c r="B171" s="315">
        <v>781.4</v>
      </c>
      <c r="C171" s="315">
        <v>0</v>
      </c>
    </row>
    <row r="172" spans="1:3" ht="13.5" thickBot="1">
      <c r="A172" s="313">
        <v>37711</v>
      </c>
      <c r="B172" s="315">
        <v>633.1</v>
      </c>
      <c r="C172" s="315">
        <v>0</v>
      </c>
    </row>
    <row r="173" spans="1:3" ht="13.5" thickBot="1">
      <c r="A173" s="313">
        <v>37741</v>
      </c>
      <c r="B173" s="315">
        <v>419</v>
      </c>
      <c r="C173" s="315">
        <v>0.3</v>
      </c>
    </row>
    <row r="174" spans="1:3" ht="13.5" thickBot="1">
      <c r="A174" s="313">
        <v>37772</v>
      </c>
      <c r="B174" s="315">
        <v>187.7</v>
      </c>
      <c r="C174" s="315">
        <v>0</v>
      </c>
    </row>
    <row r="175" spans="1:3" ht="13.5" thickBot="1">
      <c r="A175" s="313">
        <v>37802</v>
      </c>
      <c r="B175" s="315">
        <v>46.2</v>
      </c>
      <c r="C175" s="315">
        <v>42</v>
      </c>
    </row>
    <row r="176" spans="1:3" ht="13.5" thickBot="1">
      <c r="A176" s="313">
        <v>37833</v>
      </c>
      <c r="B176" s="315">
        <v>5.0999999999999996</v>
      </c>
      <c r="C176" s="315">
        <v>76.5</v>
      </c>
    </row>
    <row r="177" spans="1:3" ht="13.5" thickBot="1">
      <c r="A177" s="313">
        <v>37864</v>
      </c>
      <c r="B177" s="315">
        <v>8.1</v>
      </c>
      <c r="C177" s="315">
        <v>102.8</v>
      </c>
    </row>
    <row r="178" spans="1:3" ht="13.5" thickBot="1">
      <c r="A178" s="313">
        <v>37894</v>
      </c>
      <c r="B178" s="315">
        <v>65.599999999999994</v>
      </c>
      <c r="C178" s="315">
        <v>10.6</v>
      </c>
    </row>
    <row r="179" spans="1:3" ht="13.5" thickBot="1">
      <c r="A179" s="313">
        <v>37925</v>
      </c>
      <c r="B179" s="315">
        <v>305.3</v>
      </c>
      <c r="C179" s="315">
        <v>0</v>
      </c>
    </row>
    <row r="180" spans="1:3" ht="13.5" thickBot="1">
      <c r="A180" s="313">
        <v>37955</v>
      </c>
      <c r="B180" s="315">
        <v>438.5</v>
      </c>
      <c r="C180" s="315">
        <v>0</v>
      </c>
    </row>
    <row r="181" spans="1:3" ht="13.5" thickBot="1">
      <c r="A181" s="313">
        <v>37986</v>
      </c>
      <c r="B181" s="315">
        <v>631.4</v>
      </c>
      <c r="C181" s="315">
        <v>0</v>
      </c>
    </row>
    <row r="182" spans="1:3" ht="13.5" thickBot="1">
      <c r="A182" s="313">
        <v>38017</v>
      </c>
      <c r="B182" s="315">
        <v>949.8</v>
      </c>
      <c r="C182" s="315">
        <v>0</v>
      </c>
    </row>
    <row r="183" spans="1:3" ht="13.5" thickBot="1">
      <c r="A183" s="313">
        <v>38046</v>
      </c>
      <c r="B183" s="315">
        <v>684.2</v>
      </c>
      <c r="C183" s="315">
        <v>0</v>
      </c>
    </row>
    <row r="184" spans="1:3" ht="13.5" thickBot="1">
      <c r="A184" s="313">
        <v>38077</v>
      </c>
      <c r="B184" s="315">
        <v>559.20000000000005</v>
      </c>
      <c r="C184" s="315">
        <v>0</v>
      </c>
    </row>
    <row r="185" spans="1:3" ht="13.5" thickBot="1">
      <c r="A185" s="313">
        <v>38107</v>
      </c>
      <c r="B185" s="315">
        <v>360.4</v>
      </c>
      <c r="C185" s="315">
        <v>0</v>
      </c>
    </row>
    <row r="186" spans="1:3" ht="13.5" thickBot="1">
      <c r="A186" s="313">
        <v>38138</v>
      </c>
      <c r="B186" s="315">
        <v>187.6</v>
      </c>
      <c r="C186" s="315">
        <v>8.6</v>
      </c>
    </row>
    <row r="187" spans="1:3" ht="13.5" thickBot="1">
      <c r="A187" s="313">
        <v>38168</v>
      </c>
      <c r="B187" s="315">
        <v>58.9</v>
      </c>
      <c r="C187" s="315">
        <v>25.5</v>
      </c>
    </row>
    <row r="188" spans="1:3" ht="13.5" thickBot="1">
      <c r="A188" s="313">
        <v>38199</v>
      </c>
      <c r="B188" s="315">
        <v>8.3000000000000007</v>
      </c>
      <c r="C188" s="315">
        <v>72</v>
      </c>
    </row>
    <row r="189" spans="1:3" ht="13.5" thickBot="1">
      <c r="A189" s="313">
        <v>38230</v>
      </c>
      <c r="B189" s="315">
        <v>14</v>
      </c>
      <c r="C189" s="315">
        <v>32</v>
      </c>
    </row>
    <row r="190" spans="1:3" ht="13.5" thickBot="1">
      <c r="A190" s="313">
        <v>38260</v>
      </c>
      <c r="B190" s="315">
        <v>48.9</v>
      </c>
      <c r="C190" s="315">
        <v>28.1</v>
      </c>
    </row>
    <row r="191" spans="1:3" ht="13.5" thickBot="1">
      <c r="A191" s="313">
        <v>38291</v>
      </c>
      <c r="B191" s="315">
        <v>265.60000000000002</v>
      </c>
      <c r="C191" s="315">
        <v>0</v>
      </c>
    </row>
    <row r="192" spans="1:3" ht="13.5" thickBot="1">
      <c r="A192" s="313">
        <v>38321</v>
      </c>
      <c r="B192" s="315">
        <v>434.9</v>
      </c>
      <c r="C192" s="315">
        <v>0</v>
      </c>
    </row>
    <row r="193" spans="1:3" ht="13.5" thickBot="1">
      <c r="A193" s="313">
        <v>38352</v>
      </c>
      <c r="B193" s="315">
        <v>742.6</v>
      </c>
      <c r="C193" s="315">
        <v>0</v>
      </c>
    </row>
    <row r="194" spans="1:3" ht="13.5" thickBot="1">
      <c r="A194" s="313">
        <v>38383</v>
      </c>
      <c r="B194" s="315">
        <v>849.1</v>
      </c>
      <c r="C194" s="315">
        <v>0</v>
      </c>
    </row>
    <row r="195" spans="1:3" ht="13.5" thickBot="1">
      <c r="A195" s="313">
        <v>38411</v>
      </c>
      <c r="B195" s="315">
        <v>671.5</v>
      </c>
      <c r="C195" s="315">
        <v>0</v>
      </c>
    </row>
    <row r="196" spans="1:3" ht="13.5" thickBot="1">
      <c r="A196" s="313">
        <v>38442</v>
      </c>
      <c r="B196" s="315">
        <v>651.4</v>
      </c>
      <c r="C196" s="315">
        <v>0</v>
      </c>
    </row>
    <row r="197" spans="1:3" ht="13.5" thickBot="1">
      <c r="A197" s="313">
        <v>38472</v>
      </c>
      <c r="B197" s="315">
        <v>338.5</v>
      </c>
      <c r="C197" s="315">
        <v>0</v>
      </c>
    </row>
    <row r="198" spans="1:3" ht="13.5" thickBot="1">
      <c r="A198" s="313">
        <v>38503</v>
      </c>
      <c r="B198" s="315">
        <v>202.9</v>
      </c>
      <c r="C198" s="315">
        <v>0</v>
      </c>
    </row>
    <row r="199" spans="1:3" ht="13.5" thickBot="1">
      <c r="A199" s="313">
        <v>38533</v>
      </c>
      <c r="B199" s="315">
        <v>15.3</v>
      </c>
      <c r="C199" s="315">
        <v>109.7</v>
      </c>
    </row>
    <row r="200" spans="1:3" ht="13.5" thickBot="1">
      <c r="A200" s="313">
        <v>38564</v>
      </c>
      <c r="B200" s="315">
        <v>1.2</v>
      </c>
      <c r="C200" s="315">
        <v>152.69999999999999</v>
      </c>
    </row>
    <row r="201" spans="1:3" ht="13.5" thickBot="1">
      <c r="A201" s="313">
        <v>38595</v>
      </c>
      <c r="B201" s="315">
        <v>1.9</v>
      </c>
      <c r="C201" s="315">
        <v>104.7</v>
      </c>
    </row>
    <row r="202" spans="1:3" ht="13.5" thickBot="1">
      <c r="A202" s="313">
        <v>38625</v>
      </c>
      <c r="B202" s="315">
        <v>48.9</v>
      </c>
      <c r="C202" s="315">
        <v>38.4</v>
      </c>
    </row>
    <row r="203" spans="1:3" ht="13.5" thickBot="1">
      <c r="A203" s="313">
        <v>38656</v>
      </c>
      <c r="B203" s="315">
        <v>247.7</v>
      </c>
      <c r="C203" s="315">
        <v>6.1</v>
      </c>
    </row>
    <row r="204" spans="1:3" ht="13.5" thickBot="1">
      <c r="A204" s="313">
        <v>38686</v>
      </c>
      <c r="B204" s="315">
        <v>448.1</v>
      </c>
      <c r="C204" s="315">
        <v>0</v>
      </c>
    </row>
    <row r="205" spans="1:3" ht="13.5" thickBot="1">
      <c r="A205" s="313">
        <v>38717</v>
      </c>
      <c r="B205" s="315">
        <v>712.9</v>
      </c>
      <c r="C205" s="315">
        <v>0</v>
      </c>
    </row>
    <row r="206" spans="1:3" ht="13.5" thickBot="1">
      <c r="A206" s="313">
        <v>38748</v>
      </c>
      <c r="B206" s="315">
        <v>645.79999999999995</v>
      </c>
      <c r="C206" s="315">
        <v>0</v>
      </c>
    </row>
    <row r="207" spans="1:3" ht="13.5" thickBot="1">
      <c r="A207" s="313">
        <v>38776</v>
      </c>
      <c r="B207" s="315">
        <v>695.6</v>
      </c>
      <c r="C207" s="315">
        <v>0</v>
      </c>
    </row>
    <row r="208" spans="1:3" ht="13.5" thickBot="1">
      <c r="A208" s="313">
        <v>38807</v>
      </c>
      <c r="B208" s="315">
        <v>605.20000000000005</v>
      </c>
      <c r="C208" s="315">
        <v>0</v>
      </c>
    </row>
    <row r="209" spans="1:3" ht="13.5" thickBot="1">
      <c r="A209" s="313">
        <v>38837</v>
      </c>
      <c r="B209" s="315">
        <v>326.10000000000002</v>
      </c>
      <c r="C209" s="315">
        <v>0</v>
      </c>
    </row>
    <row r="210" spans="1:3" ht="13.5" thickBot="1">
      <c r="A210" s="313">
        <v>38868</v>
      </c>
      <c r="B210" s="315">
        <v>155.1</v>
      </c>
      <c r="C210" s="315">
        <v>18.899999999999999</v>
      </c>
    </row>
    <row r="211" spans="1:3" ht="13.5" thickBot="1">
      <c r="A211" s="313">
        <v>38898</v>
      </c>
      <c r="B211" s="315">
        <v>33.200000000000003</v>
      </c>
      <c r="C211" s="315">
        <v>64.5</v>
      </c>
    </row>
    <row r="212" spans="1:3" ht="13.5" thickBot="1">
      <c r="A212" s="313">
        <v>38929</v>
      </c>
      <c r="B212" s="315">
        <v>3</v>
      </c>
      <c r="C212" s="315">
        <v>143.6</v>
      </c>
    </row>
    <row r="213" spans="1:3" ht="13.5" thickBot="1">
      <c r="A213" s="313">
        <v>38960</v>
      </c>
      <c r="B213" s="315">
        <v>12.4</v>
      </c>
      <c r="C213" s="315">
        <v>77.099999999999994</v>
      </c>
    </row>
    <row r="214" spans="1:3" ht="13.5" thickBot="1">
      <c r="A214" s="313">
        <v>38990</v>
      </c>
      <c r="B214" s="315">
        <v>128.19999999999999</v>
      </c>
      <c r="C214" s="315">
        <v>4.0999999999999996</v>
      </c>
    </row>
    <row r="215" spans="1:3" ht="13.5" thickBot="1">
      <c r="A215" s="313">
        <v>39021</v>
      </c>
      <c r="B215" s="315">
        <v>310.10000000000002</v>
      </c>
      <c r="C215" s="315">
        <v>0</v>
      </c>
    </row>
    <row r="216" spans="1:3" ht="13.5" thickBot="1">
      <c r="A216" s="313">
        <v>39051</v>
      </c>
      <c r="B216" s="315">
        <v>406.4</v>
      </c>
      <c r="C216" s="315">
        <v>0</v>
      </c>
    </row>
    <row r="217" spans="1:3" ht="13.5" thickBot="1">
      <c r="A217" s="313">
        <v>39082</v>
      </c>
      <c r="B217" s="315">
        <v>560.4</v>
      </c>
      <c r="C217" s="315">
        <v>0</v>
      </c>
    </row>
    <row r="218" spans="1:3" ht="13.5" thickBot="1">
      <c r="A218" s="313">
        <v>39113</v>
      </c>
      <c r="B218" s="315">
        <v>778.8</v>
      </c>
      <c r="C218" s="315">
        <v>0</v>
      </c>
    </row>
    <row r="219" spans="1:3" ht="13.5" thickBot="1">
      <c r="A219" s="313">
        <v>39141</v>
      </c>
      <c r="B219" s="315">
        <v>801.1</v>
      </c>
      <c r="C219" s="315">
        <v>0</v>
      </c>
    </row>
    <row r="220" spans="1:3" ht="13.5" thickBot="1">
      <c r="A220" s="313">
        <v>39172</v>
      </c>
      <c r="B220" s="315">
        <v>592.70000000000005</v>
      </c>
      <c r="C220" s="315">
        <v>0</v>
      </c>
    </row>
    <row r="221" spans="1:3" ht="13.5" thickBot="1">
      <c r="A221" s="313">
        <v>39202</v>
      </c>
      <c r="B221" s="315">
        <v>381.2</v>
      </c>
      <c r="C221" s="315">
        <v>2</v>
      </c>
    </row>
    <row r="222" spans="1:3" ht="13.5" thickBot="1">
      <c r="A222" s="313">
        <v>39233</v>
      </c>
      <c r="B222" s="315">
        <v>77.400000000000006</v>
      </c>
      <c r="C222" s="315">
        <v>1</v>
      </c>
    </row>
    <row r="223" spans="1:3" ht="13.5" thickBot="1">
      <c r="A223" s="313">
        <v>39263</v>
      </c>
      <c r="B223" s="315">
        <v>34.6</v>
      </c>
      <c r="C223" s="315">
        <v>79.099999999999994</v>
      </c>
    </row>
    <row r="224" spans="1:3" ht="13.5" thickBot="1">
      <c r="A224" s="313">
        <v>39294</v>
      </c>
      <c r="B224" s="315">
        <v>11.6</v>
      </c>
      <c r="C224" s="315">
        <v>72.099999999999994</v>
      </c>
    </row>
    <row r="225" spans="1:3" ht="13.5" thickBot="1">
      <c r="A225" s="313">
        <v>39325</v>
      </c>
      <c r="B225" s="315">
        <v>19.3</v>
      </c>
      <c r="C225" s="315">
        <v>85.1</v>
      </c>
    </row>
    <row r="226" spans="1:3" ht="13.5" thickBot="1">
      <c r="A226" s="313">
        <v>39355</v>
      </c>
      <c r="B226" s="316">
        <v>59</v>
      </c>
      <c r="C226" s="316">
        <v>28.4</v>
      </c>
    </row>
    <row r="227" spans="1:3" ht="13.5" thickBot="1">
      <c r="A227" s="313">
        <v>39386</v>
      </c>
      <c r="B227" s="315">
        <v>164.1</v>
      </c>
      <c r="C227" s="315">
        <v>4.0999999999999996</v>
      </c>
    </row>
    <row r="228" spans="1:3" ht="13.5" thickBot="1">
      <c r="A228" s="313">
        <v>39416</v>
      </c>
      <c r="B228" s="315">
        <v>499.3</v>
      </c>
      <c r="C228" s="315">
        <v>0</v>
      </c>
    </row>
    <row r="229" spans="1:3" ht="13.5" thickBot="1">
      <c r="A229" s="313">
        <v>39447</v>
      </c>
      <c r="B229" s="316">
        <v>686.6</v>
      </c>
      <c r="C229" s="316">
        <v>0</v>
      </c>
    </row>
    <row r="230" spans="1:3" ht="13.5" thickBot="1">
      <c r="A230" s="313">
        <v>39478</v>
      </c>
      <c r="B230" s="315">
        <v>708.5</v>
      </c>
      <c r="C230" s="315">
        <v>0</v>
      </c>
    </row>
    <row r="231" spans="1:3" ht="13.5" thickBot="1">
      <c r="A231" s="313">
        <v>39507</v>
      </c>
      <c r="B231" s="316">
        <v>702.2</v>
      </c>
      <c r="C231" s="316">
        <v>0</v>
      </c>
    </row>
    <row r="232" spans="1:3" ht="13.5" thickBot="1">
      <c r="A232" s="313">
        <v>39538</v>
      </c>
      <c r="B232" s="316">
        <v>558.5</v>
      </c>
      <c r="C232" s="316">
        <v>0</v>
      </c>
    </row>
    <row r="233" spans="1:3" ht="13.5" thickBot="1">
      <c r="A233" s="313">
        <v>39568</v>
      </c>
      <c r="B233" s="316">
        <v>264.2</v>
      </c>
      <c r="C233" s="316">
        <v>0.8</v>
      </c>
    </row>
    <row r="234" spans="1:3" ht="13.5" thickBot="1">
      <c r="A234" s="313">
        <v>39599</v>
      </c>
      <c r="B234" s="316">
        <v>216.1</v>
      </c>
      <c r="C234" s="316">
        <v>0.8</v>
      </c>
    </row>
    <row r="235" spans="1:3" ht="13.5" thickBot="1">
      <c r="A235" s="313">
        <v>39629</v>
      </c>
      <c r="B235" s="316">
        <v>35.6</v>
      </c>
      <c r="C235" s="316">
        <v>52.4</v>
      </c>
    </row>
    <row r="236" spans="1:3" ht="13.5" thickBot="1">
      <c r="A236" s="313">
        <v>39660</v>
      </c>
      <c r="B236" s="316">
        <v>3.9</v>
      </c>
      <c r="C236" s="316">
        <v>78.400000000000006</v>
      </c>
    </row>
    <row r="237" spans="1:3" ht="13.5" thickBot="1">
      <c r="A237" s="313">
        <v>39691</v>
      </c>
      <c r="B237" s="316">
        <v>19.600000000000001</v>
      </c>
      <c r="C237" s="316">
        <v>31.2</v>
      </c>
    </row>
    <row r="238" spans="1:3" ht="13.5" thickBot="1">
      <c r="A238" s="313">
        <v>39721</v>
      </c>
      <c r="B238" s="316">
        <v>83.7</v>
      </c>
      <c r="C238" s="316">
        <v>13.6</v>
      </c>
    </row>
    <row r="239" spans="1:3" ht="13.5" thickBot="1">
      <c r="A239" s="313">
        <v>39752</v>
      </c>
      <c r="B239" s="316">
        <v>297.60000000000002</v>
      </c>
      <c r="C239" s="316">
        <v>0.5</v>
      </c>
    </row>
    <row r="240" spans="1:3" ht="13.5" thickBot="1">
      <c r="A240" s="313">
        <v>39782</v>
      </c>
      <c r="B240" s="316">
        <v>444</v>
      </c>
      <c r="C240" s="316">
        <v>0</v>
      </c>
    </row>
    <row r="241" spans="1:3" ht="13.5" thickBot="1">
      <c r="A241" s="313">
        <v>39813</v>
      </c>
      <c r="B241" s="316">
        <v>594.4</v>
      </c>
      <c r="C241" s="316">
        <v>0</v>
      </c>
    </row>
    <row r="242" spans="1:3">
      <c r="B242">
        <f>SUM(B2:B241)</f>
        <v>84427.500000000015</v>
      </c>
      <c r="C242">
        <f>SUM(C2:C241)</f>
        <v>4693.4000000000005</v>
      </c>
    </row>
  </sheetData>
  <phoneticPr fontId="40"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sheetPr enableFormatConditionsCalculation="0">
    <tabColor indexed="44"/>
    <pageSetUpPr fitToPage="1"/>
  </sheetPr>
  <dimension ref="A1:E18"/>
  <sheetViews>
    <sheetView topLeftCell="B1" zoomScale="125" workbookViewId="0">
      <selection activeCell="H11" sqref="H11"/>
    </sheetView>
  </sheetViews>
  <sheetFormatPr defaultRowHeight="12.75"/>
  <cols>
    <col min="1" max="1" width="4.85546875" bestFit="1" customWidth="1"/>
    <col min="2" max="2" width="10.5703125" bestFit="1" customWidth="1"/>
    <col min="3" max="3" width="14.85546875" customWidth="1"/>
    <col min="4" max="4" width="11.42578125" bestFit="1" customWidth="1"/>
    <col min="5" max="5" width="99.28515625" bestFit="1" customWidth="1"/>
  </cols>
  <sheetData>
    <row r="1" spans="1:5">
      <c r="A1" s="39" t="s">
        <v>125</v>
      </c>
      <c r="B1" s="39" t="s">
        <v>126</v>
      </c>
      <c r="C1" s="40" t="s">
        <v>127</v>
      </c>
      <c r="D1" s="39" t="s">
        <v>128</v>
      </c>
      <c r="E1" s="39" t="s">
        <v>129</v>
      </c>
    </row>
    <row r="2" spans="1:5">
      <c r="A2" s="39"/>
      <c r="B2" s="39"/>
      <c r="C2" s="41"/>
      <c r="D2" s="42"/>
      <c r="E2" s="43"/>
    </row>
    <row r="3" spans="1:5">
      <c r="A3" s="42" t="s">
        <v>130</v>
      </c>
      <c r="B3" s="41">
        <v>37959</v>
      </c>
      <c r="C3" s="41">
        <v>37956</v>
      </c>
      <c r="D3" s="42" t="s">
        <v>131</v>
      </c>
      <c r="E3" s="44" t="s">
        <v>132</v>
      </c>
    </row>
    <row r="4" spans="1:5" ht="38.25">
      <c r="A4" s="45" t="s">
        <v>133</v>
      </c>
      <c r="B4" s="46">
        <v>38313</v>
      </c>
      <c r="C4" s="46">
        <v>38295</v>
      </c>
      <c r="D4" s="45" t="s">
        <v>134</v>
      </c>
      <c r="E4" s="47" t="s">
        <v>135</v>
      </c>
    </row>
    <row r="5" spans="1:5" ht="25.5" customHeight="1">
      <c r="A5" s="442" t="s">
        <v>136</v>
      </c>
      <c r="B5" s="433">
        <v>38327</v>
      </c>
      <c r="C5" s="439" t="s">
        <v>137</v>
      </c>
      <c r="D5" s="431" t="s">
        <v>134</v>
      </c>
      <c r="E5" s="47" t="s">
        <v>138</v>
      </c>
    </row>
    <row r="6" spans="1:5" ht="26.25" customHeight="1">
      <c r="A6" s="443"/>
      <c r="B6" s="437"/>
      <c r="C6" s="437"/>
      <c r="D6" s="440"/>
      <c r="E6" s="47" t="s">
        <v>139</v>
      </c>
    </row>
    <row r="7" spans="1:5" ht="42" customHeight="1">
      <c r="A7" s="444"/>
      <c r="B7" s="438"/>
      <c r="C7" s="438"/>
      <c r="D7" s="441"/>
      <c r="E7" s="47" t="s">
        <v>140</v>
      </c>
    </row>
    <row r="8" spans="1:5" ht="42" customHeight="1">
      <c r="A8" s="45" t="s">
        <v>141</v>
      </c>
      <c r="B8" s="46">
        <v>38408</v>
      </c>
      <c r="C8" s="46">
        <v>38393</v>
      </c>
      <c r="D8" s="49" t="s">
        <v>134</v>
      </c>
      <c r="E8" s="47" t="s">
        <v>142</v>
      </c>
    </row>
    <row r="9" spans="1:5" s="22" customFormat="1" ht="18.75" customHeight="1">
      <c r="A9" s="50"/>
      <c r="B9" s="38"/>
      <c r="C9" s="38"/>
      <c r="D9" s="51"/>
      <c r="E9" s="52"/>
    </row>
    <row r="10" spans="1:5">
      <c r="A10" s="53"/>
      <c r="B10" s="46">
        <v>38383</v>
      </c>
      <c r="C10" s="54"/>
      <c r="D10" s="49" t="s">
        <v>134</v>
      </c>
      <c r="E10" s="49" t="s">
        <v>143</v>
      </c>
    </row>
    <row r="11" spans="1:5">
      <c r="A11" s="53"/>
      <c r="B11" s="54"/>
      <c r="C11" s="54"/>
      <c r="D11" s="49" t="s">
        <v>134</v>
      </c>
      <c r="E11" s="49" t="s">
        <v>144</v>
      </c>
    </row>
    <row r="12" spans="1:5" ht="25.5">
      <c r="A12" s="53"/>
      <c r="B12" s="54"/>
      <c r="C12" s="54"/>
      <c r="D12" s="49" t="s">
        <v>145</v>
      </c>
      <c r="E12" s="47" t="s">
        <v>146</v>
      </c>
    </row>
    <row r="13" spans="1:5" s="22" customFormat="1" ht="18.75" customHeight="1">
      <c r="A13" s="50"/>
      <c r="B13" s="38"/>
      <c r="C13" s="38"/>
      <c r="D13" s="51"/>
      <c r="E13" s="52"/>
    </row>
    <row r="14" spans="1:5" ht="18.75" customHeight="1">
      <c r="A14" s="431" t="s">
        <v>147</v>
      </c>
      <c r="B14" s="433">
        <v>39013</v>
      </c>
      <c r="C14" s="48">
        <v>38838</v>
      </c>
      <c r="D14" s="435" t="s">
        <v>148</v>
      </c>
      <c r="E14" s="49" t="s">
        <v>149</v>
      </c>
    </row>
    <row r="15" spans="1:5" ht="56.25" customHeight="1">
      <c r="A15" s="432"/>
      <c r="B15" s="434"/>
      <c r="C15" s="57">
        <v>39025</v>
      </c>
      <c r="D15" s="436"/>
      <c r="E15" s="58" t="s">
        <v>155</v>
      </c>
    </row>
    <row r="16" spans="1:5" ht="68.25" customHeight="1">
      <c r="A16" s="45" t="s">
        <v>150</v>
      </c>
      <c r="B16" s="59">
        <v>39085</v>
      </c>
      <c r="C16" s="59">
        <v>39052</v>
      </c>
      <c r="D16" s="55" t="s">
        <v>148</v>
      </c>
      <c r="E16" s="60" t="s">
        <v>151</v>
      </c>
    </row>
    <row r="17" spans="1:5" ht="78" customHeight="1">
      <c r="A17" s="56" t="s">
        <v>152</v>
      </c>
      <c r="B17" s="59">
        <v>39513</v>
      </c>
      <c r="C17" s="59">
        <v>39484</v>
      </c>
      <c r="D17" s="61" t="s">
        <v>148</v>
      </c>
      <c r="E17" s="62" t="s">
        <v>156</v>
      </c>
    </row>
    <row r="18" spans="1:5" ht="25.5">
      <c r="A18" s="63" t="s">
        <v>153</v>
      </c>
      <c r="B18" s="64">
        <v>39632</v>
      </c>
      <c r="C18" s="64">
        <v>39597</v>
      </c>
      <c r="D18" s="65" t="s">
        <v>148</v>
      </c>
      <c r="E18" s="66" t="s">
        <v>154</v>
      </c>
    </row>
  </sheetData>
  <sheetProtection password="C9C3" sheet="1" objects="1" scenarios="1"/>
  <mergeCells count="7">
    <mergeCell ref="A14:A15"/>
    <mergeCell ref="B14:B15"/>
    <mergeCell ref="D14:D15"/>
    <mergeCell ref="B5:B7"/>
    <mergeCell ref="C5:C7"/>
    <mergeCell ref="D5:D7"/>
    <mergeCell ref="A5:A7"/>
  </mergeCells>
  <phoneticPr fontId="0" type="noConversion"/>
  <pageMargins left="0.75" right="0.75" top="1" bottom="1" header="0.5" footer="0.5"/>
  <pageSetup scale="86" orientation="landscape" r:id="rId1"/>
  <headerFooter alignWithMargins="0">
    <oddFooter>&amp;L&amp;14Revision Notes&amp;C&amp;14&amp;F&amp;R&amp;14Page &amp;P of &amp;N</oddFooter>
  </headerFooter>
</worksheet>
</file>

<file path=xl/worksheets/sheet2.xml><?xml version="1.0" encoding="utf-8"?>
<worksheet xmlns="http://schemas.openxmlformats.org/spreadsheetml/2006/main" xmlns:r="http://schemas.openxmlformats.org/officeDocument/2006/relationships">
  <sheetPr enableFormatConditionsCalculation="0">
    <tabColor indexed="34"/>
  </sheetPr>
  <dimension ref="A1:AT409"/>
  <sheetViews>
    <sheetView showGridLines="0" topLeftCell="A361" workbookViewId="0">
      <selection activeCell="J301" sqref="J301"/>
    </sheetView>
  </sheetViews>
  <sheetFormatPr defaultColWidth="13.7109375" defaultRowHeight="17.100000000000001" customHeight="1"/>
  <cols>
    <col min="1" max="1" width="1.7109375" style="324" customWidth="1"/>
    <col min="2" max="4" width="11.7109375" style="348" customWidth="1"/>
    <col min="5" max="10" width="11.7109375" style="324" customWidth="1"/>
    <col min="11" max="11" width="12.7109375" style="324" customWidth="1"/>
    <col min="12" max="16384" width="13.7109375" style="324"/>
  </cols>
  <sheetData>
    <row r="1" spans="2:10" ht="17.100000000000001" customHeight="1">
      <c r="B1" s="322" t="s">
        <v>280</v>
      </c>
      <c r="C1" s="322"/>
      <c r="D1" s="322"/>
      <c r="E1" s="323"/>
      <c r="F1" s="323"/>
      <c r="G1" s="323"/>
      <c r="H1" s="323"/>
      <c r="I1" s="323"/>
      <c r="J1" s="323"/>
    </row>
    <row r="2" spans="2:10" s="327" customFormat="1" ht="5.0999999999999996" customHeight="1">
      <c r="B2" s="325"/>
      <c r="C2" s="325"/>
      <c r="D2" s="325"/>
      <c r="E2" s="326"/>
      <c r="F2" s="326"/>
      <c r="G2" s="326"/>
      <c r="H2" s="326"/>
      <c r="I2" s="326"/>
      <c r="J2" s="326"/>
    </row>
    <row r="3" spans="2:10" s="327" customFormat="1" ht="17.100000000000001" customHeight="1">
      <c r="B3" s="328"/>
      <c r="C3" s="328"/>
      <c r="D3" s="328"/>
    </row>
    <row r="4" spans="2:10" s="332" customFormat="1" ht="45" customHeight="1">
      <c r="B4" s="329" t="s">
        <v>200</v>
      </c>
      <c r="C4" s="330"/>
      <c r="D4" s="330"/>
      <c r="E4" s="349" t="s">
        <v>201</v>
      </c>
      <c r="F4" s="349" t="s">
        <v>202</v>
      </c>
      <c r="G4" s="349" t="s">
        <v>203</v>
      </c>
      <c r="H4" s="349" t="s">
        <v>204</v>
      </c>
      <c r="I4" s="349" t="s">
        <v>205</v>
      </c>
      <c r="J4" s="349" t="s">
        <v>206</v>
      </c>
    </row>
    <row r="5" spans="2:10" ht="17.100000000000001" customHeight="1">
      <c r="B5" s="335" t="s">
        <v>294</v>
      </c>
      <c r="C5" s="337"/>
      <c r="D5" s="337"/>
      <c r="E5" s="337"/>
      <c r="F5" s="337"/>
      <c r="G5" s="337"/>
      <c r="H5" s="337"/>
      <c r="I5" s="337"/>
      <c r="J5" s="350"/>
    </row>
    <row r="6" spans="2:10" ht="17.100000000000001" customHeight="1">
      <c r="B6" s="335"/>
      <c r="C6" s="337"/>
      <c r="D6" s="337"/>
      <c r="E6" s="337"/>
      <c r="F6" s="337"/>
      <c r="G6" s="337"/>
      <c r="H6" s="337"/>
      <c r="I6" s="337"/>
      <c r="J6" s="350"/>
    </row>
    <row r="7" spans="2:10" ht="17.100000000000001" customHeight="1">
      <c r="B7" s="333" t="s">
        <v>279</v>
      </c>
      <c r="C7" s="96"/>
      <c r="D7" s="96"/>
      <c r="E7" s="351">
        <f>E408/1000000</f>
        <v>307.05463300000002</v>
      </c>
      <c r="F7" s="353"/>
      <c r="G7" s="354"/>
      <c r="H7" s="334">
        <f>E407</f>
        <v>16005</v>
      </c>
      <c r="I7" s="355"/>
      <c r="J7" s="354"/>
    </row>
    <row r="8" spans="2:10" ht="17.100000000000001" customHeight="1">
      <c r="B8" s="333"/>
      <c r="C8" s="96"/>
      <c r="D8" s="96"/>
      <c r="E8" s="351"/>
      <c r="F8" s="353"/>
      <c r="G8" s="354"/>
      <c r="H8" s="334"/>
      <c r="I8" s="355"/>
      <c r="J8" s="354"/>
    </row>
    <row r="9" spans="2:10" ht="17.100000000000001" customHeight="1">
      <c r="B9" s="333" t="str">
        <f>Summary!H4</f>
        <v xml:space="preserve">2003 Actual </v>
      </c>
      <c r="C9" s="96"/>
      <c r="D9" s="96"/>
      <c r="E9" s="351">
        <f>Summary!H17/1000000</f>
        <v>314.305835</v>
      </c>
      <c r="F9" s="353"/>
      <c r="G9" s="354"/>
      <c r="H9" s="334">
        <f>Summary!H55</f>
        <v>15955</v>
      </c>
      <c r="I9" s="355"/>
      <c r="J9" s="354"/>
    </row>
    <row r="10" spans="2:10" ht="17.100000000000001" customHeight="1">
      <c r="B10" s="333" t="str">
        <f>Summary!I4</f>
        <v xml:space="preserve">2004 Actual </v>
      </c>
      <c r="C10" s="96"/>
      <c r="D10" s="96"/>
      <c r="E10" s="351">
        <f>Summary!I17/1000000</f>
        <v>317.09943199999998</v>
      </c>
      <c r="F10" s="353">
        <f t="shared" ref="F10:F15" si="0">E10-E9</f>
        <v>2.793596999999977</v>
      </c>
      <c r="G10" s="354">
        <f t="shared" ref="G10:G15" si="1">F10/E9</f>
        <v>8.8881487039525597E-3</v>
      </c>
      <c r="H10" s="334">
        <f>Summary!I55</f>
        <v>16099</v>
      </c>
      <c r="I10" s="355">
        <f t="shared" ref="I10:I15" si="2">H10-H9</f>
        <v>144</v>
      </c>
      <c r="J10" s="354">
        <f t="shared" ref="J10:J15" si="3">I10/H9</f>
        <v>9.025383892196804E-3</v>
      </c>
    </row>
    <row r="11" spans="2:10" ht="17.100000000000001" customHeight="1">
      <c r="B11" s="333" t="str">
        <f>Summary!J4</f>
        <v xml:space="preserve">2005 Actual </v>
      </c>
      <c r="C11" s="96"/>
      <c r="D11" s="96"/>
      <c r="E11" s="351">
        <f>Summary!J17/1000000</f>
        <v>323.01733999999999</v>
      </c>
      <c r="F11" s="353">
        <f t="shared" si="0"/>
        <v>5.9179080000000113</v>
      </c>
      <c r="G11" s="354">
        <f t="shared" si="1"/>
        <v>1.8662625671306821E-2</v>
      </c>
      <c r="H11" s="334">
        <f>Summary!J55</f>
        <v>16212</v>
      </c>
      <c r="I11" s="355">
        <f t="shared" si="2"/>
        <v>113</v>
      </c>
      <c r="J11" s="354">
        <f t="shared" si="3"/>
        <v>7.019069507422821E-3</v>
      </c>
    </row>
    <row r="12" spans="2:10" ht="17.100000000000001" customHeight="1">
      <c r="B12" s="333" t="str">
        <f>Summary!K4</f>
        <v xml:space="preserve">2006 Actual </v>
      </c>
      <c r="C12" s="96"/>
      <c r="D12" s="96"/>
      <c r="E12" s="351">
        <f>Summary!K17/1000000</f>
        <v>320.37679500000002</v>
      </c>
      <c r="F12" s="353">
        <f t="shared" si="0"/>
        <v>-2.6405449999999746</v>
      </c>
      <c r="G12" s="354">
        <f t="shared" si="1"/>
        <v>-8.1746230713186322E-3</v>
      </c>
      <c r="H12" s="334">
        <f>Summary!K55</f>
        <v>16360</v>
      </c>
      <c r="I12" s="355">
        <f t="shared" si="2"/>
        <v>148</v>
      </c>
      <c r="J12" s="354">
        <f t="shared" si="3"/>
        <v>9.1290402171231178E-3</v>
      </c>
    </row>
    <row r="13" spans="2:10" ht="17.100000000000001" customHeight="1">
      <c r="B13" s="333" t="str">
        <f>Summary!L4</f>
        <v xml:space="preserve">2007 Actual </v>
      </c>
      <c r="C13" s="96"/>
      <c r="D13" s="96"/>
      <c r="E13" s="351">
        <f>Summary!L17/1000000</f>
        <v>321.10648500000002</v>
      </c>
      <c r="F13" s="353">
        <f t="shared" si="0"/>
        <v>0.72969000000000506</v>
      </c>
      <c r="G13" s="354">
        <f t="shared" si="1"/>
        <v>2.2775994122795473E-3</v>
      </c>
      <c r="H13" s="334">
        <f>Summary!L55</f>
        <v>16445</v>
      </c>
      <c r="I13" s="355">
        <f t="shared" si="2"/>
        <v>85</v>
      </c>
      <c r="J13" s="354">
        <f t="shared" si="3"/>
        <v>5.1955990220048896E-3</v>
      </c>
    </row>
    <row r="14" spans="2:10" ht="17.100000000000001" customHeight="1">
      <c r="B14" s="333" t="str">
        <f>Summary!M4</f>
        <v xml:space="preserve">2008 Actual </v>
      </c>
      <c r="C14" s="96"/>
      <c r="D14" s="96"/>
      <c r="E14" s="351">
        <f>Summary!M17/1000000</f>
        <v>319.007969</v>
      </c>
      <c r="F14" s="353">
        <f t="shared" si="0"/>
        <v>-2.0985160000000178</v>
      </c>
      <c r="G14" s="354">
        <f t="shared" si="1"/>
        <v>-6.5352650850387453E-3</v>
      </c>
      <c r="H14" s="334">
        <f>Summary!M55</f>
        <v>16570</v>
      </c>
      <c r="I14" s="355">
        <f t="shared" si="2"/>
        <v>125</v>
      </c>
      <c r="J14" s="354">
        <f t="shared" si="3"/>
        <v>7.601094557616297E-3</v>
      </c>
    </row>
    <row r="15" spans="2:10" ht="17.100000000000001" customHeight="1">
      <c r="B15" s="335" t="str">
        <f>Summary!N4</f>
        <v>2009 Normalized Bridge</v>
      </c>
      <c r="C15" s="337"/>
      <c r="D15" s="337"/>
      <c r="E15" s="356">
        <f>Summary!N17/1000000</f>
        <v>312.50865900000002</v>
      </c>
      <c r="F15" s="357">
        <f t="shared" si="0"/>
        <v>-6.4993099999999799</v>
      </c>
      <c r="G15" s="358">
        <f t="shared" si="1"/>
        <v>-2.0373503584795963E-2</v>
      </c>
      <c r="H15" s="344">
        <f>Summary!N55</f>
        <v>16696</v>
      </c>
      <c r="I15" s="346">
        <f t="shared" si="2"/>
        <v>126</v>
      </c>
      <c r="J15" s="358">
        <f t="shared" si="3"/>
        <v>7.6041038020519007E-3</v>
      </c>
    </row>
    <row r="16" spans="2:10" ht="17.100000000000001" customHeight="1">
      <c r="B16" s="335" t="str">
        <f>Summary!O4</f>
        <v>2010 Normalized Test</v>
      </c>
      <c r="C16" s="337"/>
      <c r="D16" s="337"/>
      <c r="E16" s="356">
        <f>Summary!O17/1000000</f>
        <v>311.57113299999997</v>
      </c>
      <c r="F16" s="357">
        <f>E16-E15</f>
        <v>-0.93752600000004804</v>
      </c>
      <c r="G16" s="358">
        <f>F16/E15</f>
        <v>-3.0000000735981142E-3</v>
      </c>
      <c r="H16" s="344">
        <f>Summary!O55</f>
        <v>16823</v>
      </c>
      <c r="I16" s="346">
        <f>H16-H15</f>
        <v>127</v>
      </c>
      <c r="J16" s="358">
        <f>I16/H15</f>
        <v>7.6066123622424535E-3</v>
      </c>
    </row>
    <row r="17" spans="1:12" ht="17.100000000000001" customHeight="1">
      <c r="B17" s="359"/>
      <c r="C17" s="359"/>
      <c r="D17" s="359"/>
      <c r="E17" s="360"/>
      <c r="F17" s="360"/>
      <c r="G17" s="360"/>
      <c r="H17" s="360"/>
      <c r="I17" s="360"/>
      <c r="J17" s="360"/>
    </row>
    <row r="18" spans="1:12" ht="17.100000000000001" customHeight="1">
      <c r="B18" s="359"/>
      <c r="C18" s="359"/>
      <c r="D18" s="359"/>
      <c r="E18" s="360"/>
      <c r="F18" s="360"/>
      <c r="G18" s="360"/>
      <c r="H18" s="360"/>
      <c r="I18" s="360"/>
      <c r="J18" s="360"/>
    </row>
    <row r="19" spans="1:12" s="361" customFormat="1" ht="17.100000000000001" customHeight="1">
      <c r="A19" s="324"/>
      <c r="B19" s="324"/>
      <c r="C19" s="324"/>
      <c r="D19" s="324"/>
      <c r="E19" s="324"/>
      <c r="F19" s="324"/>
      <c r="G19" s="324"/>
      <c r="H19" s="324"/>
      <c r="I19" s="324"/>
      <c r="J19" s="324"/>
      <c r="K19" s="324"/>
      <c r="L19" s="324"/>
    </row>
    <row r="20" spans="1:12" ht="17.100000000000001" customHeight="1">
      <c r="B20" s="324"/>
      <c r="C20" s="324"/>
      <c r="D20" s="324"/>
    </row>
    <row r="21" spans="1:12" ht="17.100000000000001" customHeight="1">
      <c r="B21" s="322" t="s">
        <v>295</v>
      </c>
      <c r="C21" s="322"/>
      <c r="D21" s="322"/>
      <c r="E21" s="323"/>
      <c r="F21" s="323"/>
      <c r="G21" s="323"/>
      <c r="H21" s="323"/>
      <c r="I21" s="323"/>
      <c r="J21" s="323"/>
      <c r="K21" s="323"/>
    </row>
    <row r="22" spans="1:12" s="327" customFormat="1" ht="5.0999999999999996" customHeight="1">
      <c r="A22" s="324"/>
      <c r="B22" s="325"/>
      <c r="C22" s="325"/>
      <c r="D22" s="325"/>
      <c r="E22" s="326"/>
      <c r="F22" s="326"/>
      <c r="G22" s="326"/>
      <c r="H22" s="326"/>
      <c r="I22" s="326"/>
      <c r="J22" s="326"/>
      <c r="K22" s="326"/>
    </row>
    <row r="23" spans="1:12" s="327" customFormat="1" ht="17.100000000000001" customHeight="1">
      <c r="B23" s="328"/>
      <c r="C23" s="328"/>
      <c r="D23" s="328"/>
    </row>
    <row r="24" spans="1:12" s="332" customFormat="1" ht="80.099999999999994" customHeight="1">
      <c r="A24" s="327"/>
      <c r="B24" s="329" t="s">
        <v>200</v>
      </c>
      <c r="C24" s="330"/>
      <c r="D24" s="330"/>
      <c r="E24" s="349" t="s">
        <v>350</v>
      </c>
      <c r="F24" s="349" t="s">
        <v>351</v>
      </c>
      <c r="G24" s="349" t="s">
        <v>352</v>
      </c>
      <c r="H24" s="349" t="s">
        <v>353</v>
      </c>
      <c r="I24" s="349" t="s">
        <v>354</v>
      </c>
      <c r="J24" s="349" t="s">
        <v>355</v>
      </c>
      <c r="K24" s="349" t="s">
        <v>15</v>
      </c>
    </row>
    <row r="25" spans="1:12" ht="17.100000000000001" customHeight="1">
      <c r="A25" s="332"/>
      <c r="B25" s="335" t="s">
        <v>209</v>
      </c>
      <c r="C25" s="337"/>
      <c r="D25" s="337"/>
      <c r="E25" s="337"/>
      <c r="F25" s="337"/>
      <c r="G25" s="337"/>
      <c r="H25" s="337"/>
      <c r="I25" s="337"/>
      <c r="J25" s="337"/>
      <c r="K25" s="350"/>
    </row>
    <row r="26" spans="1:12" ht="17.100000000000001" customHeight="1">
      <c r="A26" s="332"/>
      <c r="B26" s="335"/>
      <c r="C26" s="337"/>
      <c r="D26" s="337"/>
      <c r="E26" s="337"/>
      <c r="F26" s="337"/>
      <c r="G26" s="337"/>
      <c r="H26" s="337"/>
      <c r="I26" s="337"/>
      <c r="J26" s="337"/>
      <c r="K26" s="350"/>
    </row>
    <row r="27" spans="1:12" ht="17.100000000000001" customHeight="1">
      <c r="B27" s="333" t="str">
        <f t="shared" ref="B27:B36" si="4">B7</f>
        <v>2006 Board Approved</v>
      </c>
      <c r="C27" s="96"/>
      <c r="D27" s="96"/>
      <c r="E27" s="351">
        <f>E381/1000000</f>
        <v>107.176659</v>
      </c>
      <c r="F27" s="341">
        <f>E385/1000000</f>
        <v>44.745528999999998</v>
      </c>
      <c r="G27" s="341">
        <f>E390/1000000</f>
        <v>150.98867000000001</v>
      </c>
      <c r="H27" s="341">
        <f>E395/1000000</f>
        <v>2.4021650000000001</v>
      </c>
      <c r="I27" s="341">
        <f>E400/1000000</f>
        <v>0.45108399999999998</v>
      </c>
      <c r="J27" s="341">
        <f>E404/1000000</f>
        <v>1.2905260000000001</v>
      </c>
      <c r="K27" s="341">
        <f t="shared" ref="K27:K36" si="5">SUM(E27:J27)</f>
        <v>307.05463300000002</v>
      </c>
      <c r="L27" s="362"/>
    </row>
    <row r="28" spans="1:12" ht="17.100000000000001" customHeight="1">
      <c r="B28" s="333"/>
      <c r="C28" s="96"/>
      <c r="D28" s="96"/>
      <c r="E28" s="351"/>
      <c r="F28" s="341"/>
      <c r="G28" s="341"/>
      <c r="H28" s="341"/>
      <c r="I28" s="341"/>
      <c r="J28" s="341"/>
      <c r="K28" s="341"/>
      <c r="L28" s="362"/>
    </row>
    <row r="29" spans="1:12" ht="17.100000000000001" customHeight="1">
      <c r="B29" s="333" t="str">
        <f t="shared" si="4"/>
        <v xml:space="preserve">2003 Actual </v>
      </c>
      <c r="C29" s="96"/>
      <c r="D29" s="96"/>
      <c r="E29" s="351">
        <f>Summary!$H$31/1000000</f>
        <v>108.163534</v>
      </c>
      <c r="F29" s="341">
        <f>Summary!$H$35/1000000</f>
        <v>48.794159000000001</v>
      </c>
      <c r="G29" s="341">
        <f>Summary!$H$39/1000000</f>
        <v>153.09939490175</v>
      </c>
      <c r="H29" s="341">
        <f>Summary!$H$43/1000000</f>
        <v>2.491269</v>
      </c>
      <c r="I29" s="341">
        <f>Summary!$H$47/1000000</f>
        <v>0.49526799999999999</v>
      </c>
      <c r="J29" s="341">
        <f>Summary!$H$51/1000000</f>
        <v>1.2622100000000001</v>
      </c>
      <c r="K29" s="341">
        <f t="shared" si="5"/>
        <v>314.30583490175002</v>
      </c>
      <c r="L29" s="362"/>
    </row>
    <row r="30" spans="1:12" ht="17.100000000000001" customHeight="1">
      <c r="B30" s="333" t="str">
        <f t="shared" si="4"/>
        <v xml:space="preserve">2004 Actual </v>
      </c>
      <c r="C30" s="96"/>
      <c r="D30" s="96"/>
      <c r="E30" s="351">
        <f>Summary!$I$31/1000000</f>
        <v>108.38679399999999</v>
      </c>
      <c r="F30" s="341">
        <f>Summary!$I$35/1000000</f>
        <v>49.824700999999997</v>
      </c>
      <c r="G30" s="341">
        <f>Summary!$I$39/1000000</f>
        <v>154.57543579255</v>
      </c>
      <c r="H30" s="341">
        <f>Summary!$I$43/1000000</f>
        <v>2.516661</v>
      </c>
      <c r="I30" s="341">
        <f>Summary!$I$47/1000000</f>
        <v>0.45964100000000002</v>
      </c>
      <c r="J30" s="341">
        <f>Summary!$I$51/1000000</f>
        <v>1.3361989999999999</v>
      </c>
      <c r="K30" s="341">
        <f t="shared" si="5"/>
        <v>317.09943179254998</v>
      </c>
      <c r="L30" s="362"/>
    </row>
    <row r="31" spans="1:12" ht="17.100000000000001" customHeight="1">
      <c r="B31" s="333" t="str">
        <f t="shared" si="4"/>
        <v xml:space="preserve">2005 Actual </v>
      </c>
      <c r="C31" s="96"/>
      <c r="D31" s="96"/>
      <c r="E31" s="351">
        <f>Summary!$J$31/1000000</f>
        <v>110.976692</v>
      </c>
      <c r="F31" s="341">
        <f>Summary!$J$35/1000000</f>
        <v>50.366914999999999</v>
      </c>
      <c r="G31" s="341">
        <f>Summary!$J$39/1000000</f>
        <v>157.31107499999999</v>
      </c>
      <c r="H31" s="341">
        <f>Summary!$J$43/1000000</f>
        <v>2.5203669999999998</v>
      </c>
      <c r="I31" s="341">
        <f>Summary!$J$47/1000000</f>
        <v>0.43470199999999998</v>
      </c>
      <c r="J31" s="341">
        <f>Summary!$J$51/1000000</f>
        <v>1.407589</v>
      </c>
      <c r="K31" s="341">
        <f t="shared" si="5"/>
        <v>323.01733999999999</v>
      </c>
      <c r="L31" s="362"/>
    </row>
    <row r="32" spans="1:12" ht="17.100000000000001" customHeight="1">
      <c r="B32" s="333" t="str">
        <f t="shared" si="4"/>
        <v xml:space="preserve">2006 Actual </v>
      </c>
      <c r="C32" s="96"/>
      <c r="D32" s="96"/>
      <c r="E32" s="351">
        <f>Summary!$K$31/1000000</f>
        <v>108.206276</v>
      </c>
      <c r="F32" s="341">
        <f>Summary!$K$35/1000000</f>
        <v>49.863298999999998</v>
      </c>
      <c r="G32" s="341">
        <f>Summary!$K$39/1000000</f>
        <v>158.25582900000001</v>
      </c>
      <c r="H32" s="341">
        <f>Summary!$K$43/1000000</f>
        <v>2.5236040000000002</v>
      </c>
      <c r="I32" s="341">
        <f>Summary!$K$47/1000000</f>
        <v>0.43002699999999999</v>
      </c>
      <c r="J32" s="341">
        <f>Summary!$K$51/1000000</f>
        <v>1.0977600000000001</v>
      </c>
      <c r="K32" s="341">
        <f t="shared" si="5"/>
        <v>320.37679499999996</v>
      </c>
      <c r="L32" s="362"/>
    </row>
    <row r="33" spans="1:12" ht="17.100000000000001" customHeight="1">
      <c r="B33" s="333" t="str">
        <f t="shared" si="4"/>
        <v xml:space="preserve">2007 Actual </v>
      </c>
      <c r="C33" s="96"/>
      <c r="D33" s="96"/>
      <c r="E33" s="351">
        <f>Summary!$L$31/1000000</f>
        <v>109.59011599999999</v>
      </c>
      <c r="F33" s="341">
        <f>Summary!$L$35/1000000</f>
        <v>49.217301999999997</v>
      </c>
      <c r="G33" s="341">
        <f>Summary!$L$39/1000000</f>
        <v>158.4718</v>
      </c>
      <c r="H33" s="341">
        <f>Summary!$L$43/1000000</f>
        <v>2.534043</v>
      </c>
      <c r="I33" s="341">
        <f>Summary!$L$47/1000000</f>
        <v>0.370616</v>
      </c>
      <c r="J33" s="341">
        <f>Summary!$L$51/1000000</f>
        <v>0.92260799999999998</v>
      </c>
      <c r="K33" s="341">
        <f t="shared" si="5"/>
        <v>321.10648500000002</v>
      </c>
      <c r="L33" s="362"/>
    </row>
    <row r="34" spans="1:12" ht="17.100000000000001" customHeight="1">
      <c r="B34" s="333" t="str">
        <f t="shared" si="4"/>
        <v xml:space="preserve">2008 Actual </v>
      </c>
      <c r="C34" s="96"/>
      <c r="D34" s="96"/>
      <c r="E34" s="351">
        <f>Summary!$M$31/1000000</f>
        <v>109.814584</v>
      </c>
      <c r="F34" s="341">
        <f>Summary!$M$35/1000000</f>
        <v>49.297750999999998</v>
      </c>
      <c r="G34" s="341">
        <f>Summary!$M$39/1000000</f>
        <v>156.131676</v>
      </c>
      <c r="H34" s="341">
        <f>Summary!$M$43/1000000</f>
        <v>2.549242</v>
      </c>
      <c r="I34" s="341">
        <f>Summary!$M$47/1000000</f>
        <v>0.352408</v>
      </c>
      <c r="J34" s="341">
        <f>Summary!$M$51/1000000</f>
        <v>0.86230799999999996</v>
      </c>
      <c r="K34" s="341">
        <f t="shared" si="5"/>
        <v>319.007969</v>
      </c>
      <c r="L34" s="362"/>
    </row>
    <row r="35" spans="1:12" ht="17.100000000000001" customHeight="1">
      <c r="B35" s="335" t="str">
        <f t="shared" si="4"/>
        <v>2009 Normalized Bridge</v>
      </c>
      <c r="C35" s="337"/>
      <c r="D35" s="337"/>
      <c r="E35" s="356">
        <f>Summary!$N$31/1000000</f>
        <v>108.037105</v>
      </c>
      <c r="F35" s="363">
        <f>Summary!$N$35/1000000</f>
        <v>48.222529999999999</v>
      </c>
      <c r="G35" s="356">
        <f>Summary!$N$39/1000000</f>
        <v>152.51351</v>
      </c>
      <c r="H35" s="356">
        <f>Summary!$N$43/1000000</f>
        <v>2.5549400000000002</v>
      </c>
      <c r="I35" s="356">
        <f>Summary!$N$47/1000000</f>
        <v>0.338308</v>
      </c>
      <c r="J35" s="356">
        <f>Summary!$N$51/1000000</f>
        <v>0.84226500000000004</v>
      </c>
      <c r="K35" s="356">
        <f t="shared" si="5"/>
        <v>312.50865799999997</v>
      </c>
      <c r="L35" s="362"/>
    </row>
    <row r="36" spans="1:12" ht="17.100000000000001" customHeight="1">
      <c r="B36" s="335" t="str">
        <f t="shared" si="4"/>
        <v>2010 Normalized Test</v>
      </c>
      <c r="C36" s="337"/>
      <c r="D36" s="337"/>
      <c r="E36" s="356">
        <f>Summary!$O$31/1000000</f>
        <v>108.676163</v>
      </c>
      <c r="F36" s="363">
        <f>Summary!$O$35/1000000</f>
        <v>48.230452</v>
      </c>
      <c r="G36" s="356">
        <f>Summary!$O$39/1000000</f>
        <v>150.95640599999999</v>
      </c>
      <c r="H36" s="356">
        <f>Summary!$O$43/1000000</f>
        <v>2.560651</v>
      </c>
      <c r="I36" s="356">
        <f>Summary!$O$47/1000000</f>
        <v>0.32477299999999998</v>
      </c>
      <c r="J36" s="356">
        <f>Summary!$O$51/1000000</f>
        <v>0.82268799999999997</v>
      </c>
      <c r="K36" s="356">
        <f t="shared" si="5"/>
        <v>311.57113300000003</v>
      </c>
      <c r="L36" s="362"/>
    </row>
    <row r="37" spans="1:12" ht="17.100000000000001" customHeight="1">
      <c r="A37" s="362"/>
      <c r="B37" s="364"/>
      <c r="C37" s="364"/>
      <c r="D37" s="364"/>
      <c r="E37" s="364"/>
      <c r="F37" s="364"/>
      <c r="G37" s="364"/>
      <c r="H37" s="364"/>
      <c r="I37" s="364"/>
      <c r="J37" s="364"/>
      <c r="K37" s="364"/>
      <c r="L37" s="362"/>
    </row>
    <row r="38" spans="1:12" ht="17.100000000000001" customHeight="1">
      <c r="A38" s="362"/>
      <c r="B38" s="364"/>
      <c r="C38" s="364"/>
      <c r="D38" s="364"/>
      <c r="E38" s="364"/>
      <c r="F38" s="364"/>
      <c r="G38" s="364"/>
      <c r="H38" s="364"/>
      <c r="I38" s="364"/>
      <c r="J38" s="364"/>
      <c r="K38" s="364"/>
      <c r="L38" s="362"/>
    </row>
    <row r="39" spans="1:12" ht="17.100000000000001" customHeight="1">
      <c r="B39" s="335" t="s">
        <v>207</v>
      </c>
      <c r="C39" s="337"/>
      <c r="D39" s="337"/>
      <c r="E39" s="337"/>
      <c r="F39" s="337"/>
      <c r="G39" s="337"/>
      <c r="H39" s="337"/>
      <c r="I39" s="337"/>
      <c r="J39" s="337"/>
      <c r="K39" s="350"/>
    </row>
    <row r="40" spans="1:12" ht="17.100000000000001" customHeight="1">
      <c r="B40" s="335"/>
      <c r="C40" s="337"/>
      <c r="D40" s="337"/>
      <c r="E40" s="337"/>
      <c r="F40" s="337"/>
      <c r="G40" s="337"/>
      <c r="H40" s="337"/>
      <c r="I40" s="337"/>
      <c r="J40" s="337"/>
      <c r="K40" s="350"/>
    </row>
    <row r="41" spans="1:12" ht="17.100000000000001" customHeight="1">
      <c r="B41" s="333" t="str">
        <f t="shared" ref="B41:B50" si="6">B27</f>
        <v>2006 Board Approved</v>
      </c>
      <c r="C41" s="96"/>
      <c r="D41" s="96"/>
      <c r="E41" s="365">
        <f>E380</f>
        <v>10743</v>
      </c>
      <c r="F41" s="334">
        <f>E384</f>
        <v>1178</v>
      </c>
      <c r="G41" s="334">
        <f>E388</f>
        <v>159</v>
      </c>
      <c r="H41" s="334">
        <f>E393</f>
        <v>3487</v>
      </c>
      <c r="I41" s="334">
        <f>E398</f>
        <v>270</v>
      </c>
      <c r="J41" s="334">
        <f>E403</f>
        <v>168</v>
      </c>
      <c r="K41" s="334">
        <f t="shared" ref="K41:K49" si="7">SUM(E41:J41)</f>
        <v>16005</v>
      </c>
    </row>
    <row r="42" spans="1:12" ht="17.100000000000001" customHeight="1">
      <c r="A42" s="361"/>
      <c r="B42" s="333"/>
      <c r="C42" s="96"/>
      <c r="D42" s="96"/>
      <c r="E42" s="365"/>
      <c r="F42" s="334"/>
      <c r="G42" s="334"/>
      <c r="H42" s="334"/>
      <c r="I42" s="334"/>
      <c r="J42" s="334"/>
      <c r="K42" s="334"/>
      <c r="L42" s="361"/>
    </row>
    <row r="43" spans="1:12" ht="17.100000000000001" customHeight="1">
      <c r="A43" s="366"/>
      <c r="B43" s="333" t="str">
        <f t="shared" si="6"/>
        <v xml:space="preserve">2003 Actual </v>
      </c>
      <c r="C43" s="96"/>
      <c r="D43" s="96"/>
      <c r="E43" s="365">
        <f>Summary!H29</f>
        <v>10595</v>
      </c>
      <c r="F43" s="334">
        <f>Summary!$H$33</f>
        <v>1278</v>
      </c>
      <c r="G43" s="334">
        <f>Summary!$H$37</f>
        <v>157</v>
      </c>
      <c r="H43" s="334">
        <f>Summary!$H$41</f>
        <v>3460</v>
      </c>
      <c r="I43" s="334">
        <f>Summary!$H$45</f>
        <v>278</v>
      </c>
      <c r="J43" s="334">
        <f>Summary!$H$49</f>
        <v>187</v>
      </c>
      <c r="K43" s="334">
        <f t="shared" si="7"/>
        <v>15955</v>
      </c>
    </row>
    <row r="44" spans="1:12" ht="17.100000000000001" customHeight="1">
      <c r="A44" s="366"/>
      <c r="B44" s="333" t="str">
        <f t="shared" si="6"/>
        <v xml:space="preserve">2004 Actual </v>
      </c>
      <c r="C44" s="96"/>
      <c r="D44" s="96"/>
      <c r="E44" s="365">
        <f>Summary!I29</f>
        <v>10695</v>
      </c>
      <c r="F44" s="334">
        <f>Summary!$I$33</f>
        <v>1289</v>
      </c>
      <c r="G44" s="334">
        <f>Summary!$I$37</f>
        <v>159</v>
      </c>
      <c r="H44" s="334">
        <f>Summary!$I$41</f>
        <v>3483</v>
      </c>
      <c r="I44" s="334">
        <f>Summary!$I$45</f>
        <v>273</v>
      </c>
      <c r="J44" s="334">
        <f>Summary!$I$49</f>
        <v>200</v>
      </c>
      <c r="K44" s="334">
        <f t="shared" si="7"/>
        <v>16099</v>
      </c>
    </row>
    <row r="45" spans="1:12" ht="17.100000000000001" customHeight="1">
      <c r="A45" s="367"/>
      <c r="B45" s="333" t="str">
        <f t="shared" si="6"/>
        <v xml:space="preserve">2005 Actual </v>
      </c>
      <c r="C45" s="96"/>
      <c r="D45" s="96"/>
      <c r="E45" s="365">
        <f>Summary!J29</f>
        <v>10786</v>
      </c>
      <c r="F45" s="334">
        <f>Summary!$J$33</f>
        <v>1315</v>
      </c>
      <c r="G45" s="334">
        <f>Summary!$J$37</f>
        <v>155</v>
      </c>
      <c r="H45" s="334">
        <f>Summary!$J$41</f>
        <v>3490</v>
      </c>
      <c r="I45" s="334">
        <f>Summary!$J$45</f>
        <v>260</v>
      </c>
      <c r="J45" s="334">
        <f>Summary!$J$49</f>
        <v>206</v>
      </c>
      <c r="K45" s="334">
        <f t="shared" si="7"/>
        <v>16212</v>
      </c>
    </row>
    <row r="46" spans="1:12" ht="17.100000000000001" customHeight="1">
      <c r="A46" s="367"/>
      <c r="B46" s="333" t="str">
        <f t="shared" si="6"/>
        <v xml:space="preserve">2006 Actual </v>
      </c>
      <c r="C46" s="96"/>
      <c r="D46" s="96"/>
      <c r="E46" s="365">
        <f>Summary!K29</f>
        <v>10943</v>
      </c>
      <c r="F46" s="334">
        <f>Summary!$K$33</f>
        <v>1339</v>
      </c>
      <c r="G46" s="334">
        <f>Summary!$K$37</f>
        <v>158</v>
      </c>
      <c r="H46" s="334">
        <f>Summary!$K$41</f>
        <v>3494</v>
      </c>
      <c r="I46" s="334">
        <f>Summary!$K$45</f>
        <v>244</v>
      </c>
      <c r="J46" s="334">
        <f>Summary!$K$49</f>
        <v>182</v>
      </c>
      <c r="K46" s="334">
        <f t="shared" si="7"/>
        <v>16360</v>
      </c>
    </row>
    <row r="47" spans="1:12" ht="17.100000000000001" customHeight="1">
      <c r="A47" s="367"/>
      <c r="B47" s="333" t="str">
        <f t="shared" si="6"/>
        <v xml:space="preserve">2007 Actual </v>
      </c>
      <c r="C47" s="96"/>
      <c r="D47" s="96"/>
      <c r="E47" s="365">
        <f>Summary!L29</f>
        <v>11061</v>
      </c>
      <c r="F47" s="334">
        <f>Summary!$L$33</f>
        <v>1344</v>
      </c>
      <c r="G47" s="334">
        <f>Summary!$L$37</f>
        <v>160</v>
      </c>
      <c r="H47" s="334">
        <f>Summary!$L$41</f>
        <v>3512</v>
      </c>
      <c r="I47" s="334">
        <f>Summary!$L$45</f>
        <v>212</v>
      </c>
      <c r="J47" s="334">
        <f>Summary!$L$49</f>
        <v>156</v>
      </c>
      <c r="K47" s="334">
        <f t="shared" si="7"/>
        <v>16445</v>
      </c>
    </row>
    <row r="48" spans="1:12" ht="17.100000000000001" customHeight="1">
      <c r="A48" s="367"/>
      <c r="B48" s="333" t="str">
        <f t="shared" si="6"/>
        <v xml:space="preserve">2008 Actual </v>
      </c>
      <c r="C48" s="96"/>
      <c r="D48" s="96"/>
      <c r="E48" s="365">
        <f>Summary!M29</f>
        <v>11181</v>
      </c>
      <c r="F48" s="334">
        <f>Summary!$M$33</f>
        <v>1347</v>
      </c>
      <c r="G48" s="334">
        <f>Summary!$M$37</f>
        <v>155</v>
      </c>
      <c r="H48" s="334">
        <f>Summary!$M$41</f>
        <v>3526</v>
      </c>
      <c r="I48" s="334">
        <f>Summary!$M$45</f>
        <v>206</v>
      </c>
      <c r="J48" s="334">
        <f>Summary!$M$49</f>
        <v>155</v>
      </c>
      <c r="K48" s="334">
        <f t="shared" si="7"/>
        <v>16570</v>
      </c>
    </row>
    <row r="49" spans="1:11" ht="17.100000000000001" customHeight="1">
      <c r="A49" s="368"/>
      <c r="B49" s="335" t="str">
        <f t="shared" si="6"/>
        <v>2009 Normalized Bridge</v>
      </c>
      <c r="C49" s="337"/>
      <c r="D49" s="337"/>
      <c r="E49" s="369">
        <f>Summary!N29</f>
        <v>11295</v>
      </c>
      <c r="F49" s="344">
        <f>Summary!$N$33</f>
        <v>1351</v>
      </c>
      <c r="G49" s="344">
        <f>Summary!$N$37</f>
        <v>156</v>
      </c>
      <c r="H49" s="344">
        <f>Summary!$N$41</f>
        <v>3541</v>
      </c>
      <c r="I49" s="344">
        <f>Summary!$N$45</f>
        <v>200</v>
      </c>
      <c r="J49" s="344">
        <f>Summary!$N$49</f>
        <v>153</v>
      </c>
      <c r="K49" s="344">
        <f t="shared" si="7"/>
        <v>16696</v>
      </c>
    </row>
    <row r="50" spans="1:11" ht="17.100000000000001" customHeight="1">
      <c r="A50" s="368"/>
      <c r="B50" s="335" t="str">
        <f t="shared" si="6"/>
        <v>2010 Normalized Test</v>
      </c>
      <c r="C50" s="337"/>
      <c r="D50" s="337"/>
      <c r="E50" s="369">
        <f>Summary!O29</f>
        <v>11409</v>
      </c>
      <c r="F50" s="344">
        <f>Summary!$O$33</f>
        <v>1355</v>
      </c>
      <c r="G50" s="344">
        <f>Summary!$O$37</f>
        <v>157</v>
      </c>
      <c r="H50" s="344">
        <f>Summary!$O$41</f>
        <v>3556</v>
      </c>
      <c r="I50" s="344">
        <f>Summary!$O$45</f>
        <v>195</v>
      </c>
      <c r="J50" s="344">
        <f>Summary!$O$49</f>
        <v>151</v>
      </c>
      <c r="K50" s="344">
        <f>SUM(E50:J50)</f>
        <v>16823</v>
      </c>
    </row>
    <row r="51" spans="1:11" ht="17.100000000000001" customHeight="1">
      <c r="B51" s="324"/>
      <c r="C51" s="324"/>
      <c r="D51" s="324"/>
    </row>
    <row r="52" spans="1:11" ht="17.100000000000001" customHeight="1">
      <c r="B52" s="324"/>
      <c r="C52" s="324"/>
      <c r="D52" s="324"/>
    </row>
    <row r="53" spans="1:11" ht="17.100000000000001" customHeight="1">
      <c r="B53" s="324"/>
      <c r="C53" s="324"/>
      <c r="D53" s="324"/>
    </row>
    <row r="54" spans="1:11" ht="17.100000000000001" customHeight="1">
      <c r="B54" s="324"/>
      <c r="C54" s="324"/>
      <c r="D54" s="324"/>
    </row>
    <row r="55" spans="1:11" ht="17.100000000000001" customHeight="1">
      <c r="B55" s="406" t="s">
        <v>281</v>
      </c>
      <c r="C55" s="322"/>
      <c r="D55" s="322"/>
      <c r="E55" s="323"/>
      <c r="F55" s="323"/>
      <c r="G55" s="323"/>
      <c r="H55" s="323"/>
      <c r="I55" s="323"/>
      <c r="J55" s="323"/>
      <c r="K55" s="323"/>
    </row>
    <row r="56" spans="1:11" s="327" customFormat="1" ht="5.0999999999999996" customHeight="1">
      <c r="A56" s="324"/>
      <c r="B56" s="325"/>
      <c r="C56" s="325"/>
      <c r="D56" s="325"/>
      <c r="E56" s="326"/>
      <c r="F56" s="326"/>
      <c r="G56" s="326"/>
      <c r="H56" s="326"/>
      <c r="I56" s="326"/>
      <c r="J56" s="326"/>
      <c r="K56" s="370"/>
    </row>
    <row r="57" spans="1:11" s="327" customFormat="1" ht="17.100000000000001" customHeight="1">
      <c r="A57" s="371"/>
      <c r="B57" s="371"/>
      <c r="J57" s="372"/>
    </row>
    <row r="58" spans="1:11" s="332" customFormat="1" ht="80.099999999999994" customHeight="1">
      <c r="A58" s="327"/>
      <c r="B58" s="329" t="s">
        <v>200</v>
      </c>
      <c r="C58" s="330"/>
      <c r="D58" s="330"/>
      <c r="E58" s="349" t="str">
        <f t="shared" ref="E58:J58" si="8">E24</f>
        <v>Residential Class</v>
      </c>
      <c r="F58" s="349" t="str">
        <f t="shared" si="8"/>
        <v>General Service Less than 50 kW Class</v>
      </c>
      <c r="G58" s="349" t="str">
        <f t="shared" si="8"/>
        <v>General Service Greater than or Equal to 50 kW Class</v>
      </c>
      <c r="H58" s="349" t="str">
        <f t="shared" si="8"/>
        <v>Streetlight Class</v>
      </c>
      <c r="I58" s="349" t="str">
        <f t="shared" si="8"/>
        <v>Sentinel Lighting Class</v>
      </c>
      <c r="J58" s="349" t="str">
        <f t="shared" si="8"/>
        <v>Unmetered Scattered Load Class</v>
      </c>
    </row>
    <row r="59" spans="1:11" ht="17.100000000000001" customHeight="1">
      <c r="A59" s="332"/>
      <c r="B59" s="335" t="s">
        <v>210</v>
      </c>
      <c r="C59" s="337"/>
      <c r="D59" s="337"/>
      <c r="E59" s="337"/>
      <c r="F59" s="337"/>
      <c r="G59" s="337"/>
      <c r="H59" s="337"/>
      <c r="I59" s="337"/>
      <c r="J59" s="350"/>
    </row>
    <row r="60" spans="1:11" ht="17.100000000000001" customHeight="1">
      <c r="A60" s="332"/>
      <c r="B60" s="335"/>
      <c r="C60" s="337"/>
      <c r="D60" s="337"/>
      <c r="E60" s="337"/>
      <c r="F60" s="337"/>
      <c r="G60" s="337"/>
      <c r="H60" s="337"/>
      <c r="I60" s="337"/>
      <c r="J60" s="350"/>
    </row>
    <row r="61" spans="1:11" ht="17.100000000000001" customHeight="1">
      <c r="B61" s="333" t="str">
        <f t="shared" ref="B61:B70" si="9">B27</f>
        <v>2006 Board Approved</v>
      </c>
      <c r="C61" s="96"/>
      <c r="D61" s="96"/>
      <c r="E61" s="352">
        <f t="shared" ref="E61:J61" si="10">E27*1000000/E41</f>
        <v>9976.4180396537286</v>
      </c>
      <c r="F61" s="352">
        <f t="shared" si="10"/>
        <v>37984.320033955861</v>
      </c>
      <c r="G61" s="352">
        <f t="shared" si="10"/>
        <v>949614.27672955976</v>
      </c>
      <c r="H61" s="352">
        <f t="shared" si="10"/>
        <v>688.8915973616289</v>
      </c>
      <c r="I61" s="352">
        <f t="shared" si="10"/>
        <v>1670.6814814814816</v>
      </c>
      <c r="J61" s="352">
        <f t="shared" si="10"/>
        <v>7681.7023809523807</v>
      </c>
    </row>
    <row r="62" spans="1:11" ht="17.100000000000001" customHeight="1">
      <c r="B62" s="333"/>
      <c r="C62" s="96"/>
      <c r="D62" s="96"/>
      <c r="E62" s="352"/>
      <c r="F62" s="352"/>
      <c r="G62" s="352"/>
      <c r="H62" s="352"/>
      <c r="I62" s="352"/>
      <c r="J62" s="352"/>
    </row>
    <row r="63" spans="1:11" ht="17.100000000000001" customHeight="1">
      <c r="B63" s="333" t="str">
        <f t="shared" si="9"/>
        <v xml:space="preserve">2003 Actual </v>
      </c>
      <c r="C63" s="96"/>
      <c r="D63" s="96"/>
      <c r="E63" s="352">
        <f t="shared" ref="E63:J70" si="11">E29*1000000/E43</f>
        <v>10208.922510618217</v>
      </c>
      <c r="F63" s="352">
        <f t="shared" si="11"/>
        <v>38180.093114241005</v>
      </c>
      <c r="G63" s="352">
        <f t="shared" si="11"/>
        <v>975155.38153980894</v>
      </c>
      <c r="H63" s="352">
        <f t="shared" si="11"/>
        <v>720.01994219653182</v>
      </c>
      <c r="I63" s="352">
        <f t="shared" si="11"/>
        <v>1781.5395683453237</v>
      </c>
      <c r="J63" s="352">
        <f t="shared" si="11"/>
        <v>6749.7860962566847</v>
      </c>
    </row>
    <row r="64" spans="1:11" ht="17.100000000000001" customHeight="1">
      <c r="B64" s="333" t="str">
        <f t="shared" si="9"/>
        <v xml:space="preserve">2004 Actual </v>
      </c>
      <c r="C64" s="96"/>
      <c r="D64" s="96"/>
      <c r="E64" s="352">
        <f t="shared" si="11"/>
        <v>10134.342589995325</v>
      </c>
      <c r="F64" s="352">
        <f t="shared" si="11"/>
        <v>38653.763382467027</v>
      </c>
      <c r="G64" s="352">
        <f t="shared" si="11"/>
        <v>972172.55215440248</v>
      </c>
      <c r="H64" s="352">
        <f t="shared" si="11"/>
        <v>722.55555555555554</v>
      </c>
      <c r="I64" s="352">
        <f t="shared" si="11"/>
        <v>1683.6666666666667</v>
      </c>
      <c r="J64" s="352">
        <f t="shared" si="11"/>
        <v>6680.9949999999999</v>
      </c>
    </row>
    <row r="65" spans="2:26" ht="17.100000000000001" customHeight="1">
      <c r="B65" s="333" t="str">
        <f t="shared" si="9"/>
        <v xml:space="preserve">2005 Actual </v>
      </c>
      <c r="C65" s="96"/>
      <c r="D65" s="96"/>
      <c r="E65" s="352">
        <f t="shared" si="11"/>
        <v>10288.957166697572</v>
      </c>
      <c r="F65" s="352">
        <f t="shared" si="11"/>
        <v>38301.83650190114</v>
      </c>
      <c r="G65" s="352">
        <f t="shared" si="11"/>
        <v>1014910.1612903225</v>
      </c>
      <c r="H65" s="352">
        <f t="shared" si="11"/>
        <v>722.16819484240693</v>
      </c>
      <c r="I65" s="352">
        <f t="shared" si="11"/>
        <v>1671.9307692307693</v>
      </c>
      <c r="J65" s="352">
        <f t="shared" si="11"/>
        <v>6832.9563106796113</v>
      </c>
    </row>
    <row r="66" spans="2:26" ht="17.100000000000001" customHeight="1">
      <c r="B66" s="333" t="str">
        <f t="shared" si="9"/>
        <v xml:space="preserve">2006 Actual </v>
      </c>
      <c r="C66" s="96"/>
      <c r="D66" s="96"/>
      <c r="E66" s="352">
        <f t="shared" si="11"/>
        <v>9888.1728959151969</v>
      </c>
      <c r="F66" s="352">
        <f t="shared" si="11"/>
        <v>37239.207617625092</v>
      </c>
      <c r="G66" s="352">
        <f t="shared" si="11"/>
        <v>1001619.1708860759</v>
      </c>
      <c r="H66" s="352">
        <f t="shared" si="11"/>
        <v>722.26788780767026</v>
      </c>
      <c r="I66" s="352">
        <f t="shared" si="11"/>
        <v>1762.405737704918</v>
      </c>
      <c r="J66" s="352">
        <f t="shared" si="11"/>
        <v>6031.6483516483513</v>
      </c>
    </row>
    <row r="67" spans="2:26" ht="17.100000000000001" customHeight="1">
      <c r="B67" s="333" t="str">
        <f t="shared" si="9"/>
        <v xml:space="preserve">2007 Actual </v>
      </c>
      <c r="C67" s="96"/>
      <c r="D67" s="96"/>
      <c r="E67" s="352">
        <f t="shared" si="11"/>
        <v>9907.7945936172127</v>
      </c>
      <c r="F67" s="352">
        <f t="shared" si="11"/>
        <v>36620.016369047618</v>
      </c>
      <c r="G67" s="352">
        <f t="shared" si="11"/>
        <v>990448.75</v>
      </c>
      <c r="H67" s="352">
        <f t="shared" si="11"/>
        <v>721.53843963553527</v>
      </c>
      <c r="I67" s="352">
        <f t="shared" si="11"/>
        <v>1748.1886792452831</v>
      </c>
      <c r="J67" s="352">
        <f t="shared" si="11"/>
        <v>5914.1538461538457</v>
      </c>
    </row>
    <row r="68" spans="2:26" ht="17.100000000000001" customHeight="1">
      <c r="B68" s="333" t="str">
        <f t="shared" si="9"/>
        <v xml:space="preserve">2008 Actual </v>
      </c>
      <c r="C68" s="96"/>
      <c r="D68" s="96"/>
      <c r="E68" s="352">
        <f t="shared" si="11"/>
        <v>9821.535104194616</v>
      </c>
      <c r="F68" s="352">
        <f t="shared" si="11"/>
        <v>36598.18188567186</v>
      </c>
      <c r="G68" s="352">
        <f t="shared" si="11"/>
        <v>1007301.135483871</v>
      </c>
      <c r="H68" s="352">
        <f t="shared" si="11"/>
        <v>722.9841179807147</v>
      </c>
      <c r="I68" s="352">
        <f t="shared" si="11"/>
        <v>1710.7184466019417</v>
      </c>
      <c r="J68" s="352">
        <f t="shared" si="11"/>
        <v>5563.2774193548385</v>
      </c>
    </row>
    <row r="69" spans="2:26" ht="17.100000000000001" customHeight="1">
      <c r="B69" s="335" t="str">
        <f t="shared" si="9"/>
        <v>2009 Normalized Bridge</v>
      </c>
      <c r="C69" s="337"/>
      <c r="D69" s="337"/>
      <c r="E69" s="373">
        <f t="shared" si="11"/>
        <v>9565.0380699424531</v>
      </c>
      <c r="F69" s="373">
        <f t="shared" si="11"/>
        <v>35693.952627683197</v>
      </c>
      <c r="G69" s="373">
        <f t="shared" si="11"/>
        <v>977650.70512820513</v>
      </c>
      <c r="H69" s="373">
        <f t="shared" si="11"/>
        <v>721.53064106184695</v>
      </c>
      <c r="I69" s="373">
        <f t="shared" si="11"/>
        <v>1691.54</v>
      </c>
      <c r="J69" s="373">
        <f t="shared" si="11"/>
        <v>5505</v>
      </c>
      <c r="Z69" s="347"/>
    </row>
    <row r="70" spans="2:26" ht="17.100000000000001" customHeight="1">
      <c r="B70" s="335" t="str">
        <f t="shared" si="9"/>
        <v>2010 Normalized Test</v>
      </c>
      <c r="C70" s="337"/>
      <c r="D70" s="337"/>
      <c r="E70" s="373">
        <f t="shared" si="11"/>
        <v>9525.4766412481367</v>
      </c>
      <c r="F70" s="373">
        <f t="shared" si="11"/>
        <v>35594.429520295205</v>
      </c>
      <c r="G70" s="373">
        <f t="shared" si="11"/>
        <v>961505.7707006369</v>
      </c>
      <c r="H70" s="373">
        <f t="shared" si="11"/>
        <v>720.09308211473569</v>
      </c>
      <c r="I70" s="373">
        <f t="shared" si="11"/>
        <v>1665.5025641025641</v>
      </c>
      <c r="J70" s="373">
        <f t="shared" si="11"/>
        <v>5448.2649006622514</v>
      </c>
      <c r="Z70" s="347"/>
    </row>
    <row r="71" spans="2:26" ht="17.100000000000001" customHeight="1">
      <c r="B71" s="374"/>
      <c r="C71" s="374"/>
      <c r="D71" s="374"/>
      <c r="E71" s="374"/>
      <c r="F71" s="374"/>
      <c r="G71" s="374"/>
      <c r="H71" s="374"/>
      <c r="I71" s="374"/>
      <c r="J71" s="374"/>
      <c r="Z71" s="347"/>
    </row>
    <row r="72" spans="2:26" ht="17.100000000000001" customHeight="1">
      <c r="B72" s="374"/>
      <c r="C72" s="374"/>
      <c r="D72" s="374"/>
      <c r="E72" s="374"/>
      <c r="F72" s="374"/>
      <c r="G72" s="374"/>
      <c r="H72" s="374"/>
      <c r="I72" s="374"/>
      <c r="J72" s="374"/>
      <c r="Z72" s="347"/>
    </row>
    <row r="73" spans="2:26" ht="17.100000000000001" customHeight="1">
      <c r="B73" s="335" t="s">
        <v>211</v>
      </c>
      <c r="C73" s="337"/>
      <c r="D73" s="337"/>
      <c r="E73" s="337"/>
      <c r="F73" s="337"/>
      <c r="G73" s="337"/>
      <c r="H73" s="337"/>
      <c r="I73" s="337"/>
      <c r="J73" s="350"/>
      <c r="Z73" s="347"/>
    </row>
    <row r="74" spans="2:26" ht="17.100000000000001" customHeight="1">
      <c r="B74" s="335"/>
      <c r="C74" s="337"/>
      <c r="D74" s="337"/>
      <c r="E74" s="337"/>
      <c r="F74" s="337"/>
      <c r="G74" s="337"/>
      <c r="H74" s="337"/>
      <c r="I74" s="337"/>
      <c r="J74" s="350"/>
      <c r="Z74" s="347"/>
    </row>
    <row r="75" spans="2:26" ht="17.100000000000001" customHeight="1">
      <c r="B75" s="333" t="s">
        <v>318</v>
      </c>
      <c r="C75" s="96"/>
      <c r="D75" s="96"/>
      <c r="E75" s="375">
        <f t="shared" ref="E75:J75" si="12">E61/E66-1</f>
        <v>8.9243123747346775E-3</v>
      </c>
      <c r="F75" s="375">
        <f t="shared" si="12"/>
        <v>2.0008815009751046E-2</v>
      </c>
      <c r="G75" s="375">
        <f t="shared" si="12"/>
        <v>-5.1920825467538068E-2</v>
      </c>
      <c r="H75" s="375">
        <f t="shared" si="12"/>
        <v>-4.6210403382808241E-2</v>
      </c>
      <c r="I75" s="375">
        <f t="shared" si="12"/>
        <v>-5.2044914664703623E-2</v>
      </c>
      <c r="J75" s="375">
        <f t="shared" si="12"/>
        <v>0.27356601928776181</v>
      </c>
      <c r="Z75" s="347"/>
    </row>
    <row r="76" spans="2:26" ht="17.100000000000001" customHeight="1">
      <c r="B76" s="333"/>
      <c r="C76" s="96"/>
      <c r="D76" s="96"/>
      <c r="E76" s="375"/>
      <c r="F76" s="375"/>
      <c r="G76" s="375"/>
      <c r="H76" s="375"/>
      <c r="I76" s="375"/>
      <c r="J76" s="375"/>
      <c r="Z76" s="347"/>
    </row>
    <row r="77" spans="2:26" ht="17.100000000000001" customHeight="1">
      <c r="B77" s="333" t="str">
        <f t="shared" ref="B77:B84" si="13">B63</f>
        <v xml:space="preserve">2003 Actual </v>
      </c>
      <c r="C77" s="96"/>
      <c r="D77" s="96"/>
      <c r="E77" s="375"/>
      <c r="F77" s="375"/>
      <c r="G77" s="375"/>
      <c r="H77" s="375"/>
      <c r="I77" s="375"/>
      <c r="J77" s="375"/>
      <c r="Z77" s="347"/>
    </row>
    <row r="78" spans="2:26" ht="17.100000000000001" customHeight="1">
      <c r="B78" s="333" t="str">
        <f t="shared" si="13"/>
        <v xml:space="preserve">2004 Actual </v>
      </c>
      <c r="C78" s="96"/>
      <c r="D78" s="96"/>
      <c r="E78" s="375">
        <f t="shared" ref="E78:J82" si="14">E64/E63-1</f>
        <v>-7.3053665110418553E-3</v>
      </c>
      <c r="F78" s="375">
        <f t="shared" si="14"/>
        <v>1.2406210398930195E-2</v>
      </c>
      <c r="G78" s="375">
        <f t="shared" si="14"/>
        <v>-3.0588247184735184E-3</v>
      </c>
      <c r="H78" s="375">
        <f t="shared" si="14"/>
        <v>3.5215876817085157E-3</v>
      </c>
      <c r="I78" s="375">
        <f t="shared" si="14"/>
        <v>-5.4937259557788165E-2</v>
      </c>
      <c r="J78" s="375">
        <f t="shared" si="14"/>
        <v>-1.0191596485529364E-2</v>
      </c>
      <c r="Z78" s="347"/>
    </row>
    <row r="79" spans="2:26" ht="17.100000000000001" customHeight="1">
      <c r="B79" s="333" t="str">
        <f t="shared" si="13"/>
        <v xml:space="preserve">2005 Actual </v>
      </c>
      <c r="C79" s="96"/>
      <c r="D79" s="96"/>
      <c r="E79" s="375">
        <f t="shared" si="14"/>
        <v>1.5256497925665302E-2</v>
      </c>
      <c r="F79" s="375">
        <f t="shared" si="14"/>
        <v>-9.1045955107573739E-3</v>
      </c>
      <c r="G79" s="375">
        <f t="shared" si="14"/>
        <v>4.3960929611940314E-2</v>
      </c>
      <c r="H79" s="375">
        <f t="shared" si="14"/>
        <v>-5.3609817289523853E-4</v>
      </c>
      <c r="I79" s="375">
        <f t="shared" si="14"/>
        <v>-6.9704399738056422E-3</v>
      </c>
      <c r="J79" s="375">
        <f t="shared" si="14"/>
        <v>2.2745311241755273E-2</v>
      </c>
      <c r="Z79" s="347"/>
    </row>
    <row r="80" spans="2:26" ht="17.100000000000001" customHeight="1">
      <c r="B80" s="333" t="str">
        <f t="shared" si="13"/>
        <v xml:space="preserve">2006 Actual </v>
      </c>
      <c r="C80" s="96"/>
      <c r="D80" s="96"/>
      <c r="E80" s="375">
        <f t="shared" si="14"/>
        <v>-3.8952856376893052E-2</v>
      </c>
      <c r="F80" s="375">
        <f t="shared" si="14"/>
        <v>-2.7743549169588877E-2</v>
      </c>
      <c r="G80" s="375">
        <f t="shared" si="14"/>
        <v>-1.3095730943661898E-2</v>
      </c>
      <c r="H80" s="375">
        <f t="shared" si="14"/>
        <v>1.3804674032358299E-4</v>
      </c>
      <c r="I80" s="375">
        <f t="shared" si="14"/>
        <v>5.4114063894987074E-2</v>
      </c>
      <c r="J80" s="375">
        <f t="shared" si="14"/>
        <v>-0.11727104968882218</v>
      </c>
    </row>
    <row r="81" spans="2:10" ht="17.100000000000001" customHeight="1">
      <c r="B81" s="333" t="str">
        <f t="shared" si="13"/>
        <v xml:space="preserve">2007 Actual </v>
      </c>
      <c r="C81" s="96"/>
      <c r="D81" s="96"/>
      <c r="E81" s="375">
        <f t="shared" si="14"/>
        <v>1.9843602967462015E-3</v>
      </c>
      <c r="F81" s="375">
        <f t="shared" si="14"/>
        <v>-1.6627401284564747E-2</v>
      </c>
      <c r="G81" s="375">
        <f t="shared" si="14"/>
        <v>-1.1152363304102964E-2</v>
      </c>
      <c r="H81" s="375">
        <f t="shared" si="14"/>
        <v>-1.0099413035641325E-3</v>
      </c>
      <c r="I81" s="375">
        <f t="shared" si="14"/>
        <v>-8.0668475796890071E-3</v>
      </c>
      <c r="J81" s="375">
        <f t="shared" si="14"/>
        <v>-1.9479667686926105E-2</v>
      </c>
    </row>
    <row r="82" spans="2:10" ht="17.100000000000001" customHeight="1">
      <c r="B82" s="333" t="str">
        <f t="shared" si="13"/>
        <v xml:space="preserve">2008 Actual </v>
      </c>
      <c r="C82" s="96"/>
      <c r="D82" s="96"/>
      <c r="E82" s="375">
        <f t="shared" si="14"/>
        <v>-8.7062250440846922E-3</v>
      </c>
      <c r="F82" s="375">
        <f t="shared" si="14"/>
        <v>-5.9624450070461243E-4</v>
      </c>
      <c r="G82" s="375">
        <f t="shared" si="14"/>
        <v>1.7014899038310549E-2</v>
      </c>
      <c r="H82" s="375">
        <f t="shared" si="14"/>
        <v>2.0036054432659434E-3</v>
      </c>
      <c r="I82" s="375">
        <f t="shared" si="14"/>
        <v>-2.1433746304499457E-2</v>
      </c>
      <c r="J82" s="375">
        <f t="shared" si="14"/>
        <v>-5.9328254882512588E-2</v>
      </c>
    </row>
    <row r="83" spans="2:10" ht="17.100000000000001" customHeight="1">
      <c r="B83" s="335" t="str">
        <f t="shared" si="13"/>
        <v>2009 Normalized Bridge</v>
      </c>
      <c r="C83" s="337"/>
      <c r="D83" s="337"/>
      <c r="E83" s="376">
        <f t="shared" ref="E83:J84" si="15">E69/E68-1</f>
        <v>-2.6115778392179934E-2</v>
      </c>
      <c r="F83" s="376">
        <f t="shared" si="15"/>
        <v>-2.4706944755161997E-2</v>
      </c>
      <c r="G83" s="376">
        <f t="shared" si="15"/>
        <v>-2.9435517653241705E-2</v>
      </c>
      <c r="H83" s="376">
        <f t="shared" si="15"/>
        <v>-2.0103856816762189E-3</v>
      </c>
      <c r="I83" s="376">
        <f t="shared" si="15"/>
        <v>-1.1210755714966658E-2</v>
      </c>
      <c r="J83" s="376">
        <f t="shared" si="15"/>
        <v>-1.0475375387912433E-2</v>
      </c>
    </row>
    <row r="84" spans="2:10" ht="17.100000000000001" customHeight="1">
      <c r="B84" s="335" t="str">
        <f t="shared" si="13"/>
        <v>2010 Normalized Test</v>
      </c>
      <c r="C84" s="337"/>
      <c r="D84" s="337"/>
      <c r="E84" s="376">
        <f t="shared" si="15"/>
        <v>-4.1360450847169883E-3</v>
      </c>
      <c r="F84" s="376">
        <f t="shared" si="15"/>
        <v>-2.7882344223991717E-3</v>
      </c>
      <c r="G84" s="376">
        <f t="shared" si="15"/>
        <v>-1.6514010927298428E-2</v>
      </c>
      <c r="H84" s="376">
        <f t="shared" si="15"/>
        <v>-1.9923740799082656E-3</v>
      </c>
      <c r="I84" s="376">
        <f t="shared" si="15"/>
        <v>-1.5392740282485717E-2</v>
      </c>
      <c r="J84" s="376">
        <f t="shared" si="15"/>
        <v>-1.0306103421934387E-2</v>
      </c>
    </row>
    <row r="85" spans="2:10" ht="17.100000000000001" customHeight="1">
      <c r="B85" s="324"/>
      <c r="C85" s="324"/>
      <c r="D85" s="324"/>
    </row>
    <row r="86" spans="2:10" ht="17.100000000000001" customHeight="1">
      <c r="B86" s="322" t="s">
        <v>319</v>
      </c>
      <c r="C86" s="322"/>
      <c r="D86" s="322"/>
      <c r="E86" s="323"/>
      <c r="F86" s="323"/>
      <c r="G86" s="323"/>
    </row>
    <row r="87" spans="2:10" s="327" customFormat="1" ht="5.0999999999999996" customHeight="1">
      <c r="B87" s="325"/>
      <c r="C87" s="325"/>
      <c r="D87" s="325"/>
      <c r="E87" s="326"/>
      <c r="F87" s="370"/>
      <c r="G87" s="370"/>
    </row>
    <row r="88" spans="2:10" s="327" customFormat="1" ht="17.100000000000001" customHeight="1">
      <c r="B88" s="328"/>
      <c r="C88" s="328"/>
      <c r="D88" s="328"/>
    </row>
    <row r="89" spans="2:10" s="332" customFormat="1" ht="30" customHeight="1">
      <c r="B89" s="329" t="s">
        <v>321</v>
      </c>
      <c r="C89" s="330"/>
      <c r="D89" s="330"/>
      <c r="E89" s="349" t="s">
        <v>320</v>
      </c>
      <c r="F89" s="377"/>
      <c r="G89" s="377"/>
    </row>
    <row r="90" spans="2:10" ht="17.100000000000001" customHeight="1">
      <c r="B90" s="333" t="str">
        <f>'Regression Results'!B8</f>
        <v>R Square</v>
      </c>
      <c r="C90" s="96"/>
      <c r="D90" s="96"/>
      <c r="E90" s="378">
        <f>'Regression Results'!E8</f>
        <v>0.96790242137055538</v>
      </c>
      <c r="F90" s="379"/>
      <c r="G90" s="379"/>
    </row>
    <row r="91" spans="2:10" ht="17.100000000000001" customHeight="1">
      <c r="B91" s="333" t="str">
        <f>'Regression Results'!B9</f>
        <v>Adjusted R Square</v>
      </c>
      <c r="C91" s="96"/>
      <c r="D91" s="96"/>
      <c r="E91" s="378">
        <f>'Regression Results'!E9</f>
        <v>0.9661556143703135</v>
      </c>
      <c r="F91" s="379"/>
      <c r="G91" s="379"/>
    </row>
    <row r="92" spans="2:10" ht="17.100000000000001" customHeight="1">
      <c r="B92" s="333" t="s">
        <v>322</v>
      </c>
      <c r="C92" s="96"/>
      <c r="D92" s="96"/>
      <c r="E92" s="351">
        <f>'Regression Results'!H15</f>
        <v>554.09808939197524</v>
      </c>
      <c r="F92" s="379"/>
      <c r="G92" s="379"/>
    </row>
    <row r="93" spans="2:10" ht="17.100000000000001" customHeight="1">
      <c r="B93" s="333" t="s">
        <v>323</v>
      </c>
      <c r="C93" s="96"/>
      <c r="D93" s="96"/>
      <c r="E93" s="351"/>
      <c r="F93" s="379"/>
      <c r="G93" s="379"/>
    </row>
    <row r="94" spans="2:10" ht="17.100000000000001" customHeight="1">
      <c r="B94" s="380" t="str">
        <f>'Regression Results'!B20</f>
        <v>Intercept</v>
      </c>
      <c r="C94" s="96"/>
      <c r="D94" s="96"/>
      <c r="E94" s="381">
        <f>'Regression Results'!G20</f>
        <v>-3.1105387787637189</v>
      </c>
      <c r="F94" s="379"/>
      <c r="G94" s="379"/>
    </row>
    <row r="95" spans="2:10" ht="17.100000000000001" customHeight="1">
      <c r="B95" s="380" t="str">
        <f>'Regression Results'!B21</f>
        <v>Heating Degree Days</v>
      </c>
      <c r="C95" s="96"/>
      <c r="D95" s="96"/>
      <c r="E95" s="381">
        <f>'Regression Results'!G21</f>
        <v>45.736650362458604</v>
      </c>
      <c r="F95" s="379"/>
      <c r="G95" s="379"/>
    </row>
    <row r="96" spans="2:10" ht="17.100000000000001" customHeight="1">
      <c r="B96" s="380" t="str">
        <f>'Regression Results'!B22</f>
        <v>Cooling Degree Days</v>
      </c>
      <c r="C96" s="96"/>
      <c r="D96" s="96"/>
      <c r="E96" s="381">
        <f>'Regression Results'!G22</f>
        <v>15.24464508222297</v>
      </c>
      <c r="F96" s="379"/>
      <c r="G96" s="379"/>
    </row>
    <row r="97" spans="2:7" ht="17.100000000000001" customHeight="1">
      <c r="B97" s="380" t="str">
        <f>'Regression Results'!B23</f>
        <v>Ontario Real GDP Monthly %</v>
      </c>
      <c r="C97" s="96"/>
      <c r="D97" s="96"/>
      <c r="E97" s="381">
        <f>'Regression Results'!G23</f>
        <v>1.1708703866528525</v>
      </c>
      <c r="F97" s="379"/>
      <c r="G97" s="379"/>
    </row>
    <row r="98" spans="2:7" ht="17.100000000000001" customHeight="1">
      <c r="B98" s="380" t="str">
        <f>'Regression Results'!B24</f>
        <v>Number of Days in Month</v>
      </c>
      <c r="C98" s="96"/>
      <c r="D98" s="96"/>
      <c r="E98" s="381">
        <f>'Regression Results'!G24</f>
        <v>8.2895222302350327</v>
      </c>
      <c r="F98" s="379"/>
      <c r="G98" s="379"/>
    </row>
    <row r="99" spans="2:7" ht="17.100000000000001" customHeight="1">
      <c r="B99" s="380" t="str">
        <f>'Regression Results'!B25</f>
        <v>Spring Fall Flag</v>
      </c>
      <c r="C99" s="96"/>
      <c r="D99" s="96"/>
      <c r="E99" s="381">
        <f>'Regression Results'!G25</f>
        <v>-4.4202895913006683</v>
      </c>
      <c r="F99" s="379"/>
      <c r="G99" s="379"/>
    </row>
    <row r="100" spans="2:7" ht="17.100000000000001" customHeight="1">
      <c r="B100" s="380" t="str">
        <f>'Regression Results'!B26</f>
        <v>Population</v>
      </c>
      <c r="C100" s="96"/>
      <c r="D100" s="96"/>
      <c r="E100" s="381">
        <f>'Regression Results'!G26</f>
        <v>2.439365700581531</v>
      </c>
      <c r="F100" s="379"/>
      <c r="G100" s="379"/>
    </row>
    <row r="101" spans="2:7" ht="17.100000000000001" customHeight="1">
      <c r="B101" s="380" t="str">
        <f>'Regression Results'!B27</f>
        <v>Number of Peak Hours</v>
      </c>
      <c r="C101" s="96"/>
      <c r="D101" s="96"/>
      <c r="E101" s="381">
        <f>'Regression Results'!G27</f>
        <v>2.3054612431686694</v>
      </c>
    </row>
    <row r="102" spans="2:7" ht="17.100000000000001" customHeight="1">
      <c r="B102" s="380" t="str">
        <f>'Regression Results'!B28</f>
        <v>Blackout Flag</v>
      </c>
      <c r="C102" s="96"/>
      <c r="D102" s="96"/>
      <c r="E102" s="381">
        <f>'Regression Results'!G28</f>
        <v>-3.8233531132756893</v>
      </c>
    </row>
    <row r="103" spans="2:7" ht="17.100000000000001" customHeight="1">
      <c r="B103" s="359"/>
      <c r="C103" s="359"/>
      <c r="D103" s="359"/>
      <c r="E103" s="382"/>
    </row>
    <row r="104" spans="2:7" ht="17.100000000000001" customHeight="1">
      <c r="B104" s="324"/>
      <c r="C104" s="324"/>
      <c r="D104" s="324"/>
    </row>
    <row r="105" spans="2:7" ht="17.100000000000001" customHeight="1">
      <c r="B105" s="322" t="s">
        <v>324</v>
      </c>
      <c r="C105" s="322"/>
      <c r="D105" s="322"/>
      <c r="E105" s="323"/>
      <c r="F105" s="323"/>
      <c r="G105" s="323"/>
    </row>
    <row r="106" spans="2:7" s="327" customFormat="1" ht="5.0999999999999996" customHeight="1">
      <c r="B106" s="325"/>
      <c r="C106" s="325"/>
      <c r="D106" s="325"/>
      <c r="E106" s="326"/>
      <c r="F106" s="326"/>
      <c r="G106" s="326"/>
    </row>
    <row r="107" spans="2:7" s="327" customFormat="1" ht="17.100000000000001" customHeight="1">
      <c r="B107" s="328"/>
      <c r="C107" s="328"/>
      <c r="D107" s="328"/>
    </row>
    <row r="108" spans="2:7" s="332" customFormat="1" ht="30" customHeight="1">
      <c r="B108" s="329" t="s">
        <v>200</v>
      </c>
      <c r="C108" s="330"/>
      <c r="D108" s="330"/>
      <c r="E108" s="349" t="s">
        <v>212</v>
      </c>
      <c r="F108" s="349" t="s">
        <v>213</v>
      </c>
      <c r="G108" s="349" t="s">
        <v>14</v>
      </c>
    </row>
    <row r="109" spans="2:7" ht="17.100000000000001" customHeight="1">
      <c r="B109" s="335" t="s">
        <v>296</v>
      </c>
      <c r="C109" s="337"/>
      <c r="D109" s="337"/>
      <c r="E109" s="337"/>
      <c r="F109" s="337"/>
      <c r="G109" s="350"/>
    </row>
    <row r="110" spans="2:7" ht="17.100000000000001" customHeight="1">
      <c r="B110" s="335"/>
      <c r="C110" s="337"/>
      <c r="D110" s="337"/>
      <c r="E110" s="337"/>
      <c r="F110" s="337"/>
      <c r="G110" s="350"/>
    </row>
    <row r="111" spans="2:7" ht="17.100000000000001" customHeight="1">
      <c r="B111" s="333">
        <v>1996</v>
      </c>
      <c r="C111" s="96"/>
      <c r="D111" s="96"/>
      <c r="E111" s="351">
        <f>'Purchased Power Model'!C258/1000000</f>
        <v>300.91093298999999</v>
      </c>
      <c r="F111" s="341">
        <f>'Purchased Power Model'!L258/1000000</f>
        <v>300.35031664509324</v>
      </c>
      <c r="G111" s="342">
        <f>F111/E111-1</f>
        <v>-1.863064061302766E-3</v>
      </c>
    </row>
    <row r="112" spans="2:7" ht="17.100000000000001" customHeight="1">
      <c r="B112" s="333">
        <v>1997</v>
      </c>
      <c r="C112" s="96"/>
      <c r="D112" s="96"/>
      <c r="E112" s="351">
        <f>'Purchased Power Model'!C259/1000000</f>
        <v>302.782938</v>
      </c>
      <c r="F112" s="341">
        <f>'Purchased Power Model'!L259/1000000</f>
        <v>302.4047236800323</v>
      </c>
      <c r="G112" s="342">
        <f t="shared" ref="G112:G121" si="16">F112/E112-1</f>
        <v>-1.2491269239474079E-3</v>
      </c>
    </row>
    <row r="113" spans="2:7" ht="17.100000000000001" customHeight="1">
      <c r="B113" s="333">
        <v>1998</v>
      </c>
      <c r="C113" s="96"/>
      <c r="D113" s="96"/>
      <c r="E113" s="351">
        <f>'Purchased Power Model'!C260/1000000</f>
        <v>298.89460526938092</v>
      </c>
      <c r="F113" s="341">
        <f>'Purchased Power Model'!L260/1000000</f>
        <v>300.58675393161838</v>
      </c>
      <c r="G113" s="342">
        <f t="shared" si="16"/>
        <v>5.6613556498030793E-3</v>
      </c>
    </row>
    <row r="114" spans="2:7" ht="17.100000000000001" customHeight="1">
      <c r="B114" s="333">
        <v>1999</v>
      </c>
      <c r="C114" s="96"/>
      <c r="D114" s="96"/>
      <c r="E114" s="351">
        <f>'Purchased Power Model'!C261/1000000</f>
        <v>309.67396878091085</v>
      </c>
      <c r="F114" s="341">
        <f>'Purchased Power Model'!L261/1000000</f>
        <v>307.833479242436</v>
      </c>
      <c r="G114" s="342">
        <f t="shared" si="16"/>
        <v>-5.9433136912355744E-3</v>
      </c>
    </row>
    <row r="115" spans="2:7" ht="17.100000000000001" customHeight="1">
      <c r="B115" s="333">
        <v>2000</v>
      </c>
      <c r="C115" s="96"/>
      <c r="D115" s="96"/>
      <c r="E115" s="351">
        <f>'Purchased Power Model'!C262/1000000</f>
        <v>315.12497137999998</v>
      </c>
      <c r="F115" s="341">
        <f>'Purchased Power Model'!L262/1000000</f>
        <v>315.2776839965901</v>
      </c>
      <c r="G115" s="342">
        <f t="shared" si="16"/>
        <v>4.8460969602426296E-4</v>
      </c>
    </row>
    <row r="116" spans="2:7" ht="17.100000000000001" customHeight="1">
      <c r="B116" s="333">
        <v>2001</v>
      </c>
      <c r="C116" s="96"/>
      <c r="D116" s="96"/>
      <c r="E116" s="351">
        <f>'Purchased Power Model'!C263/1000000</f>
        <v>316.39665649</v>
      </c>
      <c r="F116" s="341">
        <f>'Purchased Power Model'!L263/1000000</f>
        <v>318.68574102586962</v>
      </c>
      <c r="G116" s="342">
        <f t="shared" si="16"/>
        <v>7.2348569079836444E-3</v>
      </c>
    </row>
    <row r="117" spans="2:7" ht="17.100000000000001" customHeight="1">
      <c r="B117" s="333">
        <v>2002</v>
      </c>
      <c r="C117" s="96"/>
      <c r="D117" s="96"/>
      <c r="E117" s="351">
        <f>'Purchased Power Model'!C264/1000000</f>
        <v>327.85885501000007</v>
      </c>
      <c r="F117" s="341">
        <f>'Purchased Power Model'!L264/1000000</f>
        <v>328.12084452430133</v>
      </c>
      <c r="G117" s="342">
        <f t="shared" si="16"/>
        <v>7.9909238471920219E-4</v>
      </c>
    </row>
    <row r="118" spans="2:7" ht="17.100000000000001" customHeight="1">
      <c r="B118" s="333">
        <v>2003</v>
      </c>
      <c r="C118" s="96"/>
      <c r="D118" s="96"/>
      <c r="E118" s="351">
        <f>'Purchased Power Model'!C265/1000000</f>
        <v>326.75873668000008</v>
      </c>
      <c r="F118" s="341">
        <f>'Purchased Power Model'!L265/1000000</f>
        <v>328.20024707995202</v>
      </c>
      <c r="G118" s="342">
        <f t="shared" si="16"/>
        <v>4.4115435584011209E-3</v>
      </c>
    </row>
    <row r="119" spans="2:7" ht="17.100000000000001" customHeight="1">
      <c r="B119" s="333">
        <v>2004</v>
      </c>
      <c r="C119" s="96"/>
      <c r="D119" s="96"/>
      <c r="E119" s="351">
        <f>'Purchased Power Model'!C266/1000000</f>
        <v>329.58305743</v>
      </c>
      <c r="F119" s="341">
        <f>'Purchased Power Model'!L266/1000000</f>
        <v>330.62050472542535</v>
      </c>
      <c r="G119" s="342">
        <f t="shared" si="16"/>
        <v>3.1477567552018471E-3</v>
      </c>
    </row>
    <row r="120" spans="2:7" ht="17.100000000000001" customHeight="1">
      <c r="B120" s="333">
        <v>2005</v>
      </c>
      <c r="C120" s="96"/>
      <c r="D120" s="96"/>
      <c r="E120" s="351">
        <f>'Purchased Power Model'!C267/1000000</f>
        <v>346.92294126000002</v>
      </c>
      <c r="F120" s="341">
        <f>'Purchased Power Model'!L267/1000000</f>
        <v>341.46669062847178</v>
      </c>
      <c r="G120" s="342">
        <f t="shared" si="16"/>
        <v>-1.572755785971236E-2</v>
      </c>
    </row>
    <row r="121" spans="2:7" ht="17.100000000000001" customHeight="1">
      <c r="B121" s="333">
        <v>2006</v>
      </c>
      <c r="C121" s="96"/>
      <c r="D121" s="96"/>
      <c r="E121" s="351">
        <f>'Purchased Power Model'!C268/1000000</f>
        <v>339.83666157000005</v>
      </c>
      <c r="F121" s="341">
        <f>'Purchased Power Model'!L268/1000000</f>
        <v>337.10984835921801</v>
      </c>
      <c r="G121" s="342">
        <f t="shared" si="16"/>
        <v>-8.0238935910696974E-3</v>
      </c>
    </row>
    <row r="122" spans="2:7" ht="17.100000000000001" customHeight="1">
      <c r="B122" s="333">
        <v>2007</v>
      </c>
      <c r="C122" s="96"/>
      <c r="D122" s="96"/>
      <c r="E122" s="351">
        <f>'Purchased Power Model'!C269/1000000</f>
        <v>340.35091499999999</v>
      </c>
      <c r="F122" s="341">
        <f>'Purchased Power Model'!L269/1000000</f>
        <v>342.27812891195981</v>
      </c>
      <c r="G122" s="342">
        <f>F122/E122-1</f>
        <v>5.6624319989262428E-3</v>
      </c>
    </row>
    <row r="123" spans="2:7" ht="17.100000000000001" customHeight="1">
      <c r="B123" s="333">
        <v>2008</v>
      </c>
      <c r="C123" s="96"/>
      <c r="D123" s="96"/>
      <c r="E123" s="351">
        <f>'Purchased Power Model'!C270/1000000</f>
        <v>337.34221200000002</v>
      </c>
      <c r="F123" s="341">
        <f>'Purchased Power Model'!L270/1000000</f>
        <v>339.50248910932589</v>
      </c>
      <c r="G123" s="342">
        <f>F123/E123-1</f>
        <v>6.4038149762468688E-3</v>
      </c>
    </row>
    <row r="124" spans="2:7" ht="17.100000000000001" customHeight="1">
      <c r="B124" s="335" t="s">
        <v>328</v>
      </c>
      <c r="C124" s="337"/>
      <c r="D124" s="337"/>
      <c r="E124" s="356"/>
      <c r="F124" s="363">
        <f>'Purchased Power Model'!L271/1000000</f>
        <v>344.83377302366938</v>
      </c>
      <c r="G124" s="338"/>
    </row>
    <row r="125" spans="2:7" ht="17.100000000000001" customHeight="1">
      <c r="B125" s="335" t="s">
        <v>326</v>
      </c>
      <c r="C125" s="337"/>
      <c r="D125" s="337"/>
      <c r="E125" s="356"/>
      <c r="F125" s="363">
        <f>'Purchased Power Model'!L295/1000000</f>
        <v>345.07614489379154</v>
      </c>
      <c r="G125" s="338"/>
    </row>
    <row r="126" spans="2:7" ht="17.100000000000001" customHeight="1">
      <c r="B126" s="335" t="s">
        <v>327</v>
      </c>
      <c r="C126" s="96"/>
      <c r="D126" s="96"/>
      <c r="E126" s="351"/>
      <c r="F126" s="363">
        <f>'Purchased Power Model'!L311/1000000</f>
        <v>344.58720594673923</v>
      </c>
      <c r="G126" s="342"/>
    </row>
    <row r="127" spans="2:7" ht="17.100000000000001" customHeight="1">
      <c r="B127" s="324"/>
      <c r="C127" s="324"/>
      <c r="D127" s="324"/>
    </row>
    <row r="128" spans="2:7" ht="17.100000000000001" customHeight="1">
      <c r="B128" s="324"/>
      <c r="C128" s="324"/>
      <c r="D128" s="324"/>
    </row>
    <row r="129" spans="2:11" ht="17.100000000000001" customHeight="1">
      <c r="B129" s="322" t="s">
        <v>344</v>
      </c>
      <c r="C129" s="322"/>
      <c r="D129" s="322"/>
      <c r="E129" s="323"/>
      <c r="F129" s="323"/>
      <c r="G129" s="323"/>
    </row>
    <row r="130" spans="2:11" s="327" customFormat="1" ht="5.0999999999999996" customHeight="1">
      <c r="B130" s="325"/>
      <c r="C130" s="325"/>
      <c r="D130" s="325"/>
      <c r="E130" s="326"/>
      <c r="F130" s="326"/>
      <c r="G130" s="326"/>
    </row>
    <row r="131" spans="2:11" s="327" customFormat="1" ht="17.100000000000001" customHeight="1">
      <c r="B131" s="328"/>
      <c r="C131" s="328"/>
      <c r="D131" s="328"/>
    </row>
    <row r="132" spans="2:11" s="332" customFormat="1" ht="60" customHeight="1">
      <c r="B132" s="329" t="s">
        <v>200</v>
      </c>
      <c r="C132" s="330"/>
      <c r="D132" s="330"/>
      <c r="E132" s="349" t="s">
        <v>345</v>
      </c>
      <c r="F132" s="349" t="s">
        <v>346</v>
      </c>
      <c r="G132" s="349" t="s">
        <v>347</v>
      </c>
    </row>
    <row r="133" spans="2:11" ht="17.100000000000001" customHeight="1">
      <c r="B133" s="335" t="s">
        <v>296</v>
      </c>
      <c r="C133" s="337"/>
      <c r="D133" s="337"/>
      <c r="E133" s="337"/>
      <c r="F133" s="337"/>
      <c r="G133" s="350"/>
    </row>
    <row r="134" spans="2:11" ht="17.100000000000001" customHeight="1">
      <c r="B134" s="335"/>
      <c r="C134" s="337"/>
      <c r="D134" s="337"/>
      <c r="E134" s="337"/>
      <c r="F134" s="337"/>
      <c r="G134" s="350"/>
    </row>
    <row r="135" spans="2:11" ht="17.100000000000001" customHeight="1">
      <c r="B135" s="335" t="s">
        <v>302</v>
      </c>
      <c r="C135" s="96"/>
      <c r="D135" s="96"/>
      <c r="E135" s="356">
        <f>F124*(1+'Purchased Power Model'!M230)</f>
        <v>331.04042210272257</v>
      </c>
      <c r="F135" s="356">
        <f>F125*(1+'Purchased Power Model'!M230)</f>
        <v>331.27309909803984</v>
      </c>
      <c r="G135" s="356">
        <f>F126*(1+'Purchased Power Model'!M230)</f>
        <v>330.80371770886967</v>
      </c>
    </row>
    <row r="136" spans="2:11" ht="17.100000000000001" customHeight="1">
      <c r="B136" s="335" t="s">
        <v>303</v>
      </c>
      <c r="C136" s="96"/>
      <c r="D136" s="96"/>
      <c r="E136" s="356">
        <f>E135*(1+'Purchased Power Model'!M242)</f>
        <v>330.04730083641442</v>
      </c>
      <c r="F136" s="356">
        <f>F135*(1+'Purchased Power Model'!M242)</f>
        <v>330.27927980074571</v>
      </c>
      <c r="G136" s="356">
        <f>G135*(1+'Purchased Power Model'!M242)</f>
        <v>329.81130655574304</v>
      </c>
    </row>
    <row r="137" spans="2:11" ht="17.100000000000001" customHeight="1">
      <c r="B137" s="359"/>
      <c r="C137" s="359"/>
      <c r="D137" s="359"/>
      <c r="E137" s="382"/>
      <c r="F137" s="382"/>
      <c r="G137" s="382"/>
    </row>
    <row r="138" spans="2:11" ht="17.100000000000001" customHeight="1">
      <c r="B138" s="322" t="s">
        <v>282</v>
      </c>
      <c r="C138" s="322"/>
      <c r="D138" s="322"/>
      <c r="E138" s="323"/>
      <c r="F138" s="323"/>
      <c r="G138" s="323"/>
      <c r="H138" s="323"/>
      <c r="I138" s="323"/>
      <c r="J138" s="323"/>
    </row>
    <row r="139" spans="2:11" s="327" customFormat="1" ht="5.0999999999999996" customHeight="1">
      <c r="B139" s="325"/>
      <c r="C139" s="325"/>
      <c r="D139" s="325"/>
      <c r="E139" s="326"/>
      <c r="F139" s="326"/>
      <c r="G139" s="326"/>
      <c r="H139" s="326"/>
      <c r="I139" s="326"/>
      <c r="J139" s="326"/>
      <c r="K139" s="326"/>
    </row>
    <row r="140" spans="2:11" s="327" customFormat="1" ht="17.100000000000001" customHeight="1">
      <c r="B140" s="371"/>
      <c r="J140" s="372"/>
    </row>
    <row r="141" spans="2:11" s="332" customFormat="1" ht="69.95" customHeight="1">
      <c r="B141" s="329" t="s">
        <v>200</v>
      </c>
      <c r="C141" s="330"/>
      <c r="D141" s="330"/>
      <c r="E141" s="349" t="str">
        <f t="shared" ref="E141:J141" si="17">E58</f>
        <v>Residential Class</v>
      </c>
      <c r="F141" s="349" t="str">
        <f t="shared" si="17"/>
        <v>General Service Less than 50 kW Class</v>
      </c>
      <c r="G141" s="349" t="str">
        <f t="shared" si="17"/>
        <v>General Service Greater than or Equal to 50 kW Class</v>
      </c>
      <c r="H141" s="349" t="str">
        <f t="shared" si="17"/>
        <v>Streetlight Class</v>
      </c>
      <c r="I141" s="349" t="str">
        <f t="shared" si="17"/>
        <v>Sentinel Lighting Class</v>
      </c>
      <c r="J141" s="349" t="str">
        <f t="shared" si="17"/>
        <v>Unmetered Scattered Load Class</v>
      </c>
      <c r="K141" s="349" t="s">
        <v>208</v>
      </c>
    </row>
    <row r="142" spans="2:11" ht="17.100000000000001" customHeight="1">
      <c r="B142" s="335" t="s">
        <v>207</v>
      </c>
      <c r="C142" s="337"/>
      <c r="D142" s="337"/>
      <c r="E142" s="337"/>
      <c r="F142" s="337"/>
      <c r="G142" s="337"/>
      <c r="H142" s="337"/>
      <c r="I142" s="337"/>
      <c r="J142" s="337"/>
      <c r="K142" s="350"/>
    </row>
    <row r="143" spans="2:11" ht="17.100000000000001" customHeight="1">
      <c r="B143" s="335"/>
      <c r="C143" s="337"/>
      <c r="D143" s="337"/>
      <c r="E143" s="337"/>
      <c r="F143" s="337"/>
      <c r="G143" s="337"/>
      <c r="H143" s="337"/>
      <c r="I143" s="337"/>
      <c r="J143" s="337"/>
      <c r="K143" s="350"/>
    </row>
    <row r="144" spans="2:11" ht="17.100000000000001" customHeight="1">
      <c r="B144" s="333">
        <f>'Rate Class Customer Model'!A3</f>
        <v>1996</v>
      </c>
      <c r="C144" s="96"/>
      <c r="D144" s="96"/>
      <c r="E144" s="352">
        <f>'Rate Class Customer Model'!B3</f>
        <v>9903</v>
      </c>
      <c r="F144" s="352">
        <f>'Rate Class Customer Model'!C3</f>
        <v>1298</v>
      </c>
      <c r="G144" s="352">
        <f>'Rate Class Customer Model'!D3</f>
        <v>144</v>
      </c>
      <c r="H144" s="352">
        <f>'Rate Class Customer Model'!F3</f>
        <v>3354</v>
      </c>
      <c r="I144" s="352">
        <f>'Rate Class Customer Model'!G3</f>
        <v>288</v>
      </c>
      <c r="J144" s="352">
        <f>'Rate Class Customer Model'!H3</f>
        <v>180</v>
      </c>
      <c r="K144" s="352">
        <f>SUM(E144:J144)</f>
        <v>15167</v>
      </c>
    </row>
    <row r="145" spans="2:11" ht="17.100000000000001" customHeight="1">
      <c r="B145" s="333">
        <f>'Rate Class Customer Model'!A4</f>
        <v>1997</v>
      </c>
      <c r="C145" s="96"/>
      <c r="D145" s="96"/>
      <c r="E145" s="352">
        <f>'Rate Class Customer Model'!B4</f>
        <v>9990</v>
      </c>
      <c r="F145" s="352">
        <f>'Rate Class Customer Model'!C4</f>
        <v>1311</v>
      </c>
      <c r="G145" s="352">
        <f>'Rate Class Customer Model'!D4</f>
        <v>144</v>
      </c>
      <c r="H145" s="352">
        <f>'Rate Class Customer Model'!F4</f>
        <v>3354</v>
      </c>
      <c r="I145" s="352">
        <f>'Rate Class Customer Model'!G4</f>
        <v>288</v>
      </c>
      <c r="J145" s="352">
        <f>'Rate Class Customer Model'!H4</f>
        <v>180</v>
      </c>
      <c r="K145" s="352">
        <f t="shared" ref="K145:K155" si="18">SUM(E145:J145)</f>
        <v>15267</v>
      </c>
    </row>
    <row r="146" spans="2:11" ht="17.100000000000001" customHeight="1">
      <c r="B146" s="333">
        <f>'Rate Class Customer Model'!A5</f>
        <v>1998</v>
      </c>
      <c r="C146" s="96"/>
      <c r="D146" s="96"/>
      <c r="E146" s="352">
        <f>'Rate Class Customer Model'!B5</f>
        <v>10115</v>
      </c>
      <c r="F146" s="352">
        <f>'Rate Class Customer Model'!C5</f>
        <v>1297</v>
      </c>
      <c r="G146" s="352">
        <f>'Rate Class Customer Model'!D5</f>
        <v>144</v>
      </c>
      <c r="H146" s="352">
        <f>'Rate Class Customer Model'!F5</f>
        <v>3354</v>
      </c>
      <c r="I146" s="352">
        <f>'Rate Class Customer Model'!G5</f>
        <v>288</v>
      </c>
      <c r="J146" s="352">
        <f>'Rate Class Customer Model'!H5</f>
        <v>180</v>
      </c>
      <c r="K146" s="352">
        <f t="shared" si="18"/>
        <v>15378</v>
      </c>
    </row>
    <row r="147" spans="2:11" ht="17.100000000000001" customHeight="1">
      <c r="B147" s="333">
        <f>'Rate Class Customer Model'!A6</f>
        <v>1999</v>
      </c>
      <c r="C147" s="96"/>
      <c r="D147" s="96"/>
      <c r="E147" s="352">
        <f>'Rate Class Customer Model'!B6</f>
        <v>10255</v>
      </c>
      <c r="F147" s="352">
        <f>'Rate Class Customer Model'!C6</f>
        <v>1297</v>
      </c>
      <c r="G147" s="352">
        <f>'Rate Class Customer Model'!D6</f>
        <v>147</v>
      </c>
      <c r="H147" s="352">
        <f>'Rate Class Customer Model'!F6</f>
        <v>3354</v>
      </c>
      <c r="I147" s="352">
        <f>'Rate Class Customer Model'!G6</f>
        <v>288</v>
      </c>
      <c r="J147" s="352">
        <f>'Rate Class Customer Model'!H6</f>
        <v>180</v>
      </c>
      <c r="K147" s="352">
        <f t="shared" si="18"/>
        <v>15521</v>
      </c>
    </row>
    <row r="148" spans="2:11" ht="17.100000000000001" customHeight="1">
      <c r="B148" s="333">
        <f>'Rate Class Customer Model'!A7</f>
        <v>2000</v>
      </c>
      <c r="C148" s="96"/>
      <c r="D148" s="96"/>
      <c r="E148" s="352">
        <f>'Rate Class Customer Model'!B7</f>
        <v>10349</v>
      </c>
      <c r="F148" s="352">
        <f>'Rate Class Customer Model'!C7</f>
        <v>1294</v>
      </c>
      <c r="G148" s="352">
        <f>'Rate Class Customer Model'!D7</f>
        <v>148</v>
      </c>
      <c r="H148" s="352">
        <f>'Rate Class Customer Model'!F7</f>
        <v>3354</v>
      </c>
      <c r="I148" s="352">
        <f>'Rate Class Customer Model'!G7</f>
        <v>288</v>
      </c>
      <c r="J148" s="352">
        <f>'Rate Class Customer Model'!H7</f>
        <v>180</v>
      </c>
      <c r="K148" s="352">
        <f t="shared" si="18"/>
        <v>15613</v>
      </c>
    </row>
    <row r="149" spans="2:11" ht="17.100000000000001" customHeight="1">
      <c r="B149" s="333">
        <f>'Rate Class Customer Model'!A8</f>
        <v>2001</v>
      </c>
      <c r="C149" s="96"/>
      <c r="D149" s="96"/>
      <c r="E149" s="352">
        <f>'Rate Class Customer Model'!B8</f>
        <v>10423</v>
      </c>
      <c r="F149" s="352">
        <f>'Rate Class Customer Model'!C8</f>
        <v>1285</v>
      </c>
      <c r="G149" s="352">
        <f>'Rate Class Customer Model'!D8</f>
        <v>149</v>
      </c>
      <c r="H149" s="352">
        <f>'Rate Class Customer Model'!F8</f>
        <v>3399</v>
      </c>
      <c r="I149" s="352">
        <f>'Rate Class Customer Model'!G8</f>
        <v>288</v>
      </c>
      <c r="J149" s="352">
        <f>'Rate Class Customer Model'!H8</f>
        <v>180</v>
      </c>
      <c r="K149" s="352">
        <f t="shared" si="18"/>
        <v>15724</v>
      </c>
    </row>
    <row r="150" spans="2:11" ht="17.100000000000001" customHeight="1">
      <c r="B150" s="333">
        <f>'Rate Class Customer Model'!A9</f>
        <v>2002</v>
      </c>
      <c r="C150" s="96"/>
      <c r="D150" s="96"/>
      <c r="E150" s="352">
        <f>'Rate Class Customer Model'!B9</f>
        <v>10479</v>
      </c>
      <c r="F150" s="352">
        <f>'Rate Class Customer Model'!C9</f>
        <v>1279</v>
      </c>
      <c r="G150" s="352">
        <f>'Rate Class Customer Model'!D9</f>
        <v>149</v>
      </c>
      <c r="H150" s="352">
        <f>'Rate Class Customer Model'!F9</f>
        <v>3443</v>
      </c>
      <c r="I150" s="352">
        <f>'Rate Class Customer Model'!G9</f>
        <v>288</v>
      </c>
      <c r="J150" s="352">
        <f>'Rate Class Customer Model'!H9</f>
        <v>179</v>
      </c>
      <c r="K150" s="352">
        <f t="shared" si="18"/>
        <v>15817</v>
      </c>
    </row>
    <row r="151" spans="2:11" ht="17.100000000000001" customHeight="1">
      <c r="B151" s="333">
        <f>'Rate Class Customer Model'!A10</f>
        <v>2003</v>
      </c>
      <c r="C151" s="96"/>
      <c r="D151" s="96"/>
      <c r="E151" s="352">
        <f>'Rate Class Customer Model'!B10</f>
        <v>10595</v>
      </c>
      <c r="F151" s="352">
        <f>'Rate Class Customer Model'!C10</f>
        <v>1278</v>
      </c>
      <c r="G151" s="352">
        <f>'Rate Class Customer Model'!D10</f>
        <v>157</v>
      </c>
      <c r="H151" s="352">
        <f>'Rate Class Customer Model'!F10</f>
        <v>3460</v>
      </c>
      <c r="I151" s="352">
        <f>'Rate Class Customer Model'!G10</f>
        <v>278</v>
      </c>
      <c r="J151" s="352">
        <f>'Rate Class Customer Model'!H10</f>
        <v>187</v>
      </c>
      <c r="K151" s="352">
        <f t="shared" si="18"/>
        <v>15955</v>
      </c>
    </row>
    <row r="152" spans="2:11" ht="17.100000000000001" customHeight="1">
      <c r="B152" s="333">
        <f>'Rate Class Customer Model'!A11</f>
        <v>2004</v>
      </c>
      <c r="C152" s="96"/>
      <c r="D152" s="96"/>
      <c r="E152" s="352">
        <f>'Rate Class Customer Model'!B11</f>
        <v>10695</v>
      </c>
      <c r="F152" s="352">
        <f>'Rate Class Customer Model'!C11</f>
        <v>1289</v>
      </c>
      <c r="G152" s="352">
        <f>'Rate Class Customer Model'!D11</f>
        <v>159</v>
      </c>
      <c r="H152" s="352">
        <f>'Rate Class Customer Model'!F11</f>
        <v>3483</v>
      </c>
      <c r="I152" s="352">
        <f>'Rate Class Customer Model'!G11</f>
        <v>273</v>
      </c>
      <c r="J152" s="352">
        <f>'Rate Class Customer Model'!H11</f>
        <v>200</v>
      </c>
      <c r="K152" s="352">
        <f t="shared" si="18"/>
        <v>16099</v>
      </c>
    </row>
    <row r="153" spans="2:11" ht="17.100000000000001" customHeight="1">
      <c r="B153" s="333">
        <f>'Rate Class Customer Model'!A12</f>
        <v>2005</v>
      </c>
      <c r="C153" s="96"/>
      <c r="D153" s="96"/>
      <c r="E153" s="352">
        <f>'Rate Class Customer Model'!B12</f>
        <v>10786</v>
      </c>
      <c r="F153" s="352">
        <f>'Rate Class Customer Model'!C12</f>
        <v>1315</v>
      </c>
      <c r="G153" s="352">
        <f>'Rate Class Customer Model'!D12</f>
        <v>155</v>
      </c>
      <c r="H153" s="352">
        <f>'Rate Class Customer Model'!F12</f>
        <v>3490</v>
      </c>
      <c r="I153" s="352">
        <f>'Rate Class Customer Model'!G12</f>
        <v>260</v>
      </c>
      <c r="J153" s="352">
        <f>'Rate Class Customer Model'!H12</f>
        <v>206</v>
      </c>
      <c r="K153" s="352">
        <f t="shared" si="18"/>
        <v>16212</v>
      </c>
    </row>
    <row r="154" spans="2:11" ht="17.100000000000001" customHeight="1">
      <c r="B154" s="333">
        <f>'Rate Class Customer Model'!A13</f>
        <v>2006</v>
      </c>
      <c r="C154" s="96"/>
      <c r="D154" s="96"/>
      <c r="E154" s="352">
        <f>'Rate Class Customer Model'!B13</f>
        <v>10943</v>
      </c>
      <c r="F154" s="352">
        <f>'Rate Class Customer Model'!C13</f>
        <v>1339</v>
      </c>
      <c r="G154" s="352">
        <f>'Rate Class Customer Model'!D13</f>
        <v>158</v>
      </c>
      <c r="H154" s="352">
        <f>'Rate Class Customer Model'!F13</f>
        <v>3494</v>
      </c>
      <c r="I154" s="352">
        <f>'Rate Class Customer Model'!G13</f>
        <v>244</v>
      </c>
      <c r="J154" s="352">
        <f>'Rate Class Customer Model'!H13</f>
        <v>182</v>
      </c>
      <c r="K154" s="352">
        <f t="shared" si="18"/>
        <v>16360</v>
      </c>
    </row>
    <row r="155" spans="2:11" ht="17.100000000000001" customHeight="1">
      <c r="B155" s="333">
        <f>'Rate Class Customer Model'!A14</f>
        <v>2007</v>
      </c>
      <c r="C155" s="96"/>
      <c r="D155" s="96"/>
      <c r="E155" s="352">
        <f>'Rate Class Customer Model'!B14</f>
        <v>11061</v>
      </c>
      <c r="F155" s="352">
        <f>'Rate Class Customer Model'!C14</f>
        <v>1344</v>
      </c>
      <c r="G155" s="352">
        <f>'Rate Class Customer Model'!D14</f>
        <v>160</v>
      </c>
      <c r="H155" s="352">
        <f>'Rate Class Customer Model'!F14</f>
        <v>3512</v>
      </c>
      <c r="I155" s="352">
        <f>'Rate Class Customer Model'!G14</f>
        <v>212</v>
      </c>
      <c r="J155" s="352">
        <f>'Rate Class Customer Model'!H14</f>
        <v>156</v>
      </c>
      <c r="K155" s="352">
        <f t="shared" si="18"/>
        <v>16445</v>
      </c>
    </row>
    <row r="156" spans="2:11" ht="17.100000000000001" customHeight="1">
      <c r="B156" s="333">
        <f>'Rate Class Customer Model'!A15</f>
        <v>2008</v>
      </c>
      <c r="C156" s="96"/>
      <c r="D156" s="96"/>
      <c r="E156" s="352">
        <f>'Rate Class Customer Model'!B15</f>
        <v>11181</v>
      </c>
      <c r="F156" s="352">
        <f>'Rate Class Customer Model'!C15</f>
        <v>1347</v>
      </c>
      <c r="G156" s="352">
        <f>'Rate Class Customer Model'!D15</f>
        <v>155</v>
      </c>
      <c r="H156" s="352">
        <f>'Rate Class Customer Model'!F15</f>
        <v>3526</v>
      </c>
      <c r="I156" s="352">
        <f>'Rate Class Customer Model'!G15</f>
        <v>206</v>
      </c>
      <c r="J156" s="352">
        <f>'Rate Class Customer Model'!H15</f>
        <v>155</v>
      </c>
      <c r="K156" s="352">
        <f>SUM(E156:J156)</f>
        <v>16570</v>
      </c>
    </row>
    <row r="157" spans="2:11" ht="17.100000000000001" customHeight="1">
      <c r="B157" s="324"/>
      <c r="C157" s="324"/>
      <c r="D157" s="324"/>
    </row>
    <row r="158" spans="2:11" ht="17.100000000000001" customHeight="1">
      <c r="B158" s="324"/>
      <c r="C158" s="324"/>
      <c r="D158" s="324"/>
    </row>
    <row r="159" spans="2:11" ht="17.100000000000001" customHeight="1">
      <c r="B159" s="324"/>
      <c r="C159" s="324"/>
      <c r="D159" s="324"/>
    </row>
    <row r="160" spans="2:11" ht="17.100000000000001" customHeight="1">
      <c r="B160" s="324"/>
      <c r="C160" s="324"/>
      <c r="D160" s="324"/>
    </row>
    <row r="161" spans="2:26" ht="17.100000000000001" customHeight="1">
      <c r="B161" s="322" t="s">
        <v>283</v>
      </c>
      <c r="C161" s="322"/>
      <c r="D161" s="322"/>
      <c r="E161" s="323"/>
      <c r="F161" s="323"/>
      <c r="G161" s="323"/>
      <c r="H161" s="323"/>
      <c r="I161" s="323"/>
      <c r="J161" s="323"/>
    </row>
    <row r="162" spans="2:26" s="327" customFormat="1" ht="5.0999999999999996" customHeight="1">
      <c r="B162" s="325"/>
      <c r="C162" s="325"/>
      <c r="D162" s="325"/>
      <c r="E162" s="326"/>
      <c r="F162" s="326"/>
      <c r="G162" s="326"/>
      <c r="H162" s="326"/>
      <c r="I162" s="326"/>
      <c r="J162" s="326"/>
    </row>
    <row r="163" spans="2:26" s="327" customFormat="1" ht="17.100000000000001" customHeight="1">
      <c r="B163" s="371"/>
      <c r="J163" s="372"/>
    </row>
    <row r="164" spans="2:26" s="332" customFormat="1" ht="69.95" customHeight="1">
      <c r="B164" s="329" t="s">
        <v>200</v>
      </c>
      <c r="C164" s="330"/>
      <c r="D164" s="330"/>
      <c r="E164" s="349" t="str">
        <f t="shared" ref="E164:J164" si="19">E141</f>
        <v>Residential Class</v>
      </c>
      <c r="F164" s="349" t="str">
        <f t="shared" si="19"/>
        <v>General Service Less than 50 kW Class</v>
      </c>
      <c r="G164" s="349" t="str">
        <f t="shared" si="19"/>
        <v>General Service Greater than or Equal to 50 kW Class</v>
      </c>
      <c r="H164" s="349" t="str">
        <f t="shared" si="19"/>
        <v>Streetlight Class</v>
      </c>
      <c r="I164" s="349" t="str">
        <f t="shared" si="19"/>
        <v>Sentinel Lighting Class</v>
      </c>
      <c r="J164" s="349" t="str">
        <f t="shared" si="19"/>
        <v>Unmetered Scattered Load Class</v>
      </c>
      <c r="Z164" s="383"/>
    </row>
    <row r="165" spans="2:26" ht="17.100000000000001" customHeight="1">
      <c r="B165" s="335" t="s">
        <v>297</v>
      </c>
      <c r="C165" s="337"/>
      <c r="D165" s="337"/>
      <c r="E165" s="337"/>
      <c r="F165" s="337"/>
      <c r="G165" s="337"/>
      <c r="H165" s="337"/>
      <c r="I165" s="337"/>
      <c r="J165" s="350"/>
      <c r="Z165" s="347"/>
    </row>
    <row r="166" spans="2:26" ht="17.100000000000001" customHeight="1">
      <c r="B166" s="335"/>
      <c r="C166" s="337"/>
      <c r="D166" s="337"/>
      <c r="E166" s="337"/>
      <c r="F166" s="337"/>
      <c r="G166" s="337"/>
      <c r="H166" s="337"/>
      <c r="I166" s="337"/>
      <c r="J166" s="350"/>
      <c r="Z166" s="347"/>
    </row>
    <row r="167" spans="2:26" ht="17.100000000000001" customHeight="1">
      <c r="B167" s="333">
        <f>B144</f>
        <v>1996</v>
      </c>
      <c r="C167" s="96"/>
      <c r="D167" s="96"/>
      <c r="E167" s="352"/>
      <c r="F167" s="352"/>
      <c r="G167" s="352"/>
      <c r="H167" s="352"/>
      <c r="I167" s="352"/>
      <c r="J167" s="352"/>
    </row>
    <row r="168" spans="2:26" ht="17.100000000000001" customHeight="1">
      <c r="B168" s="333">
        <f t="shared" ref="B168:B179" si="20">B145</f>
        <v>1997</v>
      </c>
      <c r="C168" s="96"/>
      <c r="D168" s="96"/>
      <c r="E168" s="384">
        <f t="shared" ref="E168:J168" si="21">E145/E144-1</f>
        <v>8.7852166010300436E-3</v>
      </c>
      <c r="F168" s="384">
        <f t="shared" si="21"/>
        <v>1.001540832049308E-2</v>
      </c>
      <c r="G168" s="384">
        <f t="shared" si="21"/>
        <v>0</v>
      </c>
      <c r="H168" s="384">
        <f t="shared" si="21"/>
        <v>0</v>
      </c>
      <c r="I168" s="384">
        <f t="shared" si="21"/>
        <v>0</v>
      </c>
      <c r="J168" s="384">
        <f t="shared" si="21"/>
        <v>0</v>
      </c>
    </row>
    <row r="169" spans="2:26" ht="17.100000000000001" customHeight="1">
      <c r="B169" s="333">
        <f t="shared" si="20"/>
        <v>1998</v>
      </c>
      <c r="C169" s="96"/>
      <c r="D169" s="96"/>
      <c r="E169" s="384">
        <f t="shared" ref="E169:J179" si="22">E146/E145-1</f>
        <v>1.2512512512512508E-2</v>
      </c>
      <c r="F169" s="384">
        <f t="shared" si="22"/>
        <v>-1.067887109077037E-2</v>
      </c>
      <c r="G169" s="384">
        <f t="shared" si="22"/>
        <v>0</v>
      </c>
      <c r="H169" s="384">
        <f t="shared" si="22"/>
        <v>0</v>
      </c>
      <c r="I169" s="384">
        <f t="shared" si="22"/>
        <v>0</v>
      </c>
      <c r="J169" s="384">
        <f t="shared" si="22"/>
        <v>0</v>
      </c>
    </row>
    <row r="170" spans="2:26" ht="17.100000000000001" customHeight="1">
      <c r="B170" s="333">
        <f t="shared" si="20"/>
        <v>1999</v>
      </c>
      <c r="C170" s="96"/>
      <c r="D170" s="96"/>
      <c r="E170" s="384">
        <f t="shared" si="22"/>
        <v>1.384083044982698E-2</v>
      </c>
      <c r="F170" s="384">
        <f t="shared" si="22"/>
        <v>0</v>
      </c>
      <c r="G170" s="384">
        <f t="shared" si="22"/>
        <v>2.0833333333333259E-2</v>
      </c>
      <c r="H170" s="384">
        <f t="shared" si="22"/>
        <v>0</v>
      </c>
      <c r="I170" s="384">
        <f t="shared" si="22"/>
        <v>0</v>
      </c>
      <c r="J170" s="384">
        <f t="shared" si="22"/>
        <v>0</v>
      </c>
    </row>
    <row r="171" spans="2:26" ht="17.100000000000001" customHeight="1">
      <c r="B171" s="333">
        <f t="shared" si="20"/>
        <v>2000</v>
      </c>
      <c r="C171" s="96"/>
      <c r="D171" s="96"/>
      <c r="E171" s="384">
        <f t="shared" si="22"/>
        <v>9.1662603607995941E-3</v>
      </c>
      <c r="F171" s="384">
        <f t="shared" si="22"/>
        <v>-2.3130300693908756E-3</v>
      </c>
      <c r="G171" s="384">
        <f t="shared" si="22"/>
        <v>6.8027210884353817E-3</v>
      </c>
      <c r="H171" s="384">
        <f t="shared" si="22"/>
        <v>0</v>
      </c>
      <c r="I171" s="384">
        <f t="shared" si="22"/>
        <v>0</v>
      </c>
      <c r="J171" s="384">
        <f t="shared" si="22"/>
        <v>0</v>
      </c>
    </row>
    <row r="172" spans="2:26" ht="17.100000000000001" customHeight="1">
      <c r="B172" s="333">
        <f t="shared" si="20"/>
        <v>2001</v>
      </c>
      <c r="C172" s="96"/>
      <c r="D172" s="96"/>
      <c r="E172" s="384">
        <f t="shared" si="22"/>
        <v>7.150449318774843E-3</v>
      </c>
      <c r="F172" s="384">
        <f t="shared" si="22"/>
        <v>-6.9551777434312401E-3</v>
      </c>
      <c r="G172" s="384">
        <f t="shared" si="22"/>
        <v>6.7567567567567988E-3</v>
      </c>
      <c r="H172" s="384">
        <f t="shared" si="22"/>
        <v>1.3416815742397059E-2</v>
      </c>
      <c r="I172" s="384">
        <f t="shared" si="22"/>
        <v>0</v>
      </c>
      <c r="J172" s="384">
        <f t="shared" si="22"/>
        <v>0</v>
      </c>
    </row>
    <row r="173" spans="2:26" ht="17.100000000000001" customHeight="1">
      <c r="B173" s="333">
        <f t="shared" si="20"/>
        <v>2002</v>
      </c>
      <c r="C173" s="96"/>
      <c r="D173" s="96"/>
      <c r="E173" s="384">
        <f t="shared" si="22"/>
        <v>5.3727333781061759E-3</v>
      </c>
      <c r="F173" s="384">
        <f t="shared" si="22"/>
        <v>-4.6692607003890885E-3</v>
      </c>
      <c r="G173" s="384">
        <f t="shared" si="22"/>
        <v>0</v>
      </c>
      <c r="H173" s="384">
        <f t="shared" si="22"/>
        <v>1.2944983818770295E-2</v>
      </c>
      <c r="I173" s="384">
        <f t="shared" si="22"/>
        <v>0</v>
      </c>
      <c r="J173" s="384">
        <f t="shared" si="22"/>
        <v>-5.5555555555555358E-3</v>
      </c>
    </row>
    <row r="174" spans="2:26" ht="17.100000000000001" customHeight="1">
      <c r="B174" s="333">
        <f t="shared" si="20"/>
        <v>2003</v>
      </c>
      <c r="C174" s="96"/>
      <c r="D174" s="96"/>
      <c r="E174" s="384">
        <f t="shared" si="22"/>
        <v>1.1069758564748566E-2</v>
      </c>
      <c r="F174" s="384">
        <f t="shared" si="22"/>
        <v>-7.8186082877251817E-4</v>
      </c>
      <c r="G174" s="384">
        <f t="shared" si="22"/>
        <v>5.3691275167785157E-2</v>
      </c>
      <c r="H174" s="384">
        <f t="shared" si="22"/>
        <v>4.937554458321225E-3</v>
      </c>
      <c r="I174" s="384">
        <f t="shared" si="22"/>
        <v>-3.472222222222221E-2</v>
      </c>
      <c r="J174" s="384">
        <f t="shared" si="22"/>
        <v>4.4692737430167551E-2</v>
      </c>
    </row>
    <row r="175" spans="2:26" ht="17.100000000000001" customHeight="1">
      <c r="B175" s="333">
        <f t="shared" si="20"/>
        <v>2004</v>
      </c>
      <c r="C175" s="96"/>
      <c r="D175" s="96"/>
      <c r="E175" s="384">
        <f t="shared" si="22"/>
        <v>9.4384143463897008E-3</v>
      </c>
      <c r="F175" s="384">
        <f t="shared" si="22"/>
        <v>8.6071987480438317E-3</v>
      </c>
      <c r="G175" s="384">
        <f t="shared" si="22"/>
        <v>1.2738853503184711E-2</v>
      </c>
      <c r="H175" s="384">
        <f t="shared" si="22"/>
        <v>6.6473988439306186E-3</v>
      </c>
      <c r="I175" s="384">
        <f t="shared" si="22"/>
        <v>-1.7985611510791366E-2</v>
      </c>
      <c r="J175" s="384">
        <f t="shared" si="22"/>
        <v>6.9518716577540163E-2</v>
      </c>
    </row>
    <row r="176" spans="2:26" ht="17.100000000000001" customHeight="1">
      <c r="B176" s="333">
        <f t="shared" si="20"/>
        <v>2005</v>
      </c>
      <c r="C176" s="96"/>
      <c r="D176" s="96"/>
      <c r="E176" s="384">
        <f t="shared" si="22"/>
        <v>8.5086489013557198E-3</v>
      </c>
      <c r="F176" s="384">
        <f t="shared" si="22"/>
        <v>2.0170674941815347E-2</v>
      </c>
      <c r="G176" s="384">
        <f t="shared" si="22"/>
        <v>-2.515723270440251E-2</v>
      </c>
      <c r="H176" s="384">
        <f t="shared" si="22"/>
        <v>2.0097616996841428E-3</v>
      </c>
      <c r="I176" s="384">
        <f t="shared" si="22"/>
        <v>-4.7619047619047672E-2</v>
      </c>
      <c r="J176" s="384">
        <f t="shared" si="22"/>
        <v>3.0000000000000027E-2</v>
      </c>
    </row>
    <row r="177" spans="2:11" ht="17.100000000000001" customHeight="1">
      <c r="B177" s="333">
        <f t="shared" si="20"/>
        <v>2006</v>
      </c>
      <c r="C177" s="96"/>
      <c r="D177" s="96"/>
      <c r="E177" s="384">
        <f t="shared" si="22"/>
        <v>1.4555905803819824E-2</v>
      </c>
      <c r="F177" s="384">
        <f t="shared" si="22"/>
        <v>1.8250950570342095E-2</v>
      </c>
      <c r="G177" s="384">
        <f t="shared" si="22"/>
        <v>1.9354838709677358E-2</v>
      </c>
      <c r="H177" s="384">
        <f t="shared" si="22"/>
        <v>1.1461318051575464E-3</v>
      </c>
      <c r="I177" s="384">
        <f t="shared" si="22"/>
        <v>-6.1538461538461542E-2</v>
      </c>
      <c r="J177" s="384">
        <f t="shared" si="22"/>
        <v>-0.11650485436893199</v>
      </c>
    </row>
    <row r="178" spans="2:11" ht="17.100000000000001" customHeight="1">
      <c r="B178" s="333">
        <f t="shared" si="20"/>
        <v>2007</v>
      </c>
      <c r="C178" s="96"/>
      <c r="D178" s="96"/>
      <c r="E178" s="384">
        <f t="shared" si="22"/>
        <v>1.0783149045051621E-2</v>
      </c>
      <c r="F178" s="384">
        <f t="shared" si="22"/>
        <v>3.7341299477222645E-3</v>
      </c>
      <c r="G178" s="384">
        <f t="shared" si="22"/>
        <v>1.2658227848101333E-2</v>
      </c>
      <c r="H178" s="384">
        <f t="shared" si="22"/>
        <v>5.1516886090441361E-3</v>
      </c>
      <c r="I178" s="384">
        <f t="shared" si="22"/>
        <v>-0.13114754098360659</v>
      </c>
      <c r="J178" s="384">
        <f t="shared" si="22"/>
        <v>-0.1428571428571429</v>
      </c>
    </row>
    <row r="179" spans="2:11" ht="17.100000000000001" customHeight="1">
      <c r="B179" s="333">
        <f t="shared" si="20"/>
        <v>2008</v>
      </c>
      <c r="C179" s="96"/>
      <c r="D179" s="96"/>
      <c r="E179" s="384">
        <f t="shared" si="22"/>
        <v>1.0848928668294011E-2</v>
      </c>
      <c r="F179" s="384">
        <f t="shared" si="22"/>
        <v>2.2321428571427937E-3</v>
      </c>
      <c r="G179" s="384">
        <f t="shared" si="22"/>
        <v>-3.125E-2</v>
      </c>
      <c r="H179" s="384">
        <f t="shared" si="22"/>
        <v>3.9863325740319144E-3</v>
      </c>
      <c r="I179" s="384">
        <f t="shared" si="22"/>
        <v>-2.8301886792452824E-2</v>
      </c>
      <c r="J179" s="384">
        <f t="shared" si="22"/>
        <v>-6.4102564102563875E-3</v>
      </c>
    </row>
    <row r="180" spans="2:11" ht="17.100000000000001" customHeight="1">
      <c r="B180" s="335" t="s">
        <v>215</v>
      </c>
      <c r="C180" s="337"/>
      <c r="D180" s="337"/>
      <c r="E180" s="385">
        <f>'Rate Class Customer Model'!B34-1</f>
        <v>1.0166175282402934E-2</v>
      </c>
      <c r="F180" s="385">
        <f>'Rate Class Customer Model'!C34-1</f>
        <v>3.0927125265969302E-3</v>
      </c>
      <c r="G180" s="385">
        <f>'Rate Class Customer Model'!D34-1</f>
        <v>6.1531715726130809E-3</v>
      </c>
      <c r="H180" s="385">
        <f>'Rate Class Customer Model'!F34-1</f>
        <v>4.1762312985225147E-3</v>
      </c>
      <c r="I180" s="385">
        <f>'Rate Class Customer Model'!G34-1</f>
        <v>-2.7537429951460579E-2</v>
      </c>
      <c r="J180" s="385">
        <f>'Rate Class Customer Model'!H34-1</f>
        <v>-1.2383661326284989E-2</v>
      </c>
    </row>
    <row r="181" spans="2:11" ht="17.100000000000001" customHeight="1">
      <c r="B181" s="324"/>
      <c r="C181" s="324"/>
      <c r="D181" s="324"/>
    </row>
    <row r="182" spans="2:11" ht="17.100000000000001" customHeight="1">
      <c r="B182" s="324"/>
      <c r="C182" s="324"/>
      <c r="D182" s="324"/>
    </row>
    <row r="183" spans="2:11" ht="17.100000000000001" customHeight="1">
      <c r="B183" s="324"/>
      <c r="C183" s="324"/>
      <c r="D183" s="324"/>
    </row>
    <row r="184" spans="2:11" ht="17.100000000000001" customHeight="1">
      <c r="B184" s="324"/>
      <c r="C184" s="324"/>
      <c r="D184" s="324"/>
    </row>
    <row r="185" spans="2:11" ht="17.100000000000001" customHeight="1">
      <c r="B185" s="322" t="s">
        <v>284</v>
      </c>
      <c r="C185" s="322"/>
      <c r="D185" s="322"/>
      <c r="E185" s="323"/>
      <c r="F185" s="323"/>
      <c r="G185" s="323"/>
      <c r="H185" s="323"/>
      <c r="I185" s="323"/>
      <c r="J185" s="323"/>
    </row>
    <row r="186" spans="2:11" s="327" customFormat="1" ht="5.0999999999999996" customHeight="1">
      <c r="B186" s="325"/>
      <c r="C186" s="325"/>
      <c r="D186" s="325"/>
      <c r="E186" s="326"/>
      <c r="F186" s="326"/>
      <c r="G186" s="326"/>
      <c r="H186" s="326"/>
      <c r="I186" s="326"/>
      <c r="J186" s="326"/>
      <c r="K186" s="326"/>
    </row>
    <row r="187" spans="2:11" s="327" customFormat="1" ht="17.100000000000001" customHeight="1">
      <c r="B187" s="371"/>
      <c r="J187" s="372"/>
    </row>
    <row r="188" spans="2:11" s="332" customFormat="1" ht="69.95" customHeight="1">
      <c r="B188" s="329" t="s">
        <v>200</v>
      </c>
      <c r="C188" s="330"/>
      <c r="D188" s="330"/>
      <c r="E188" s="349" t="str">
        <f t="shared" ref="E188:J188" si="23">E164</f>
        <v>Residential Class</v>
      </c>
      <c r="F188" s="349" t="str">
        <f t="shared" si="23"/>
        <v>General Service Less than 50 kW Class</v>
      </c>
      <c r="G188" s="349" t="str">
        <f t="shared" si="23"/>
        <v>General Service Greater than or Equal to 50 kW Class</v>
      </c>
      <c r="H188" s="349" t="str">
        <f t="shared" si="23"/>
        <v>Streetlight Class</v>
      </c>
      <c r="I188" s="349" t="str">
        <f t="shared" si="23"/>
        <v>Sentinel Lighting Class</v>
      </c>
      <c r="J188" s="349" t="str">
        <f t="shared" si="23"/>
        <v>Unmetered Scattered Load Class</v>
      </c>
      <c r="K188" s="349" t="s">
        <v>208</v>
      </c>
    </row>
    <row r="189" spans="2:11" ht="17.100000000000001" customHeight="1">
      <c r="B189" s="335" t="s">
        <v>298</v>
      </c>
      <c r="C189" s="337"/>
      <c r="D189" s="337"/>
      <c r="E189" s="337"/>
      <c r="F189" s="337"/>
      <c r="G189" s="337"/>
      <c r="H189" s="337"/>
      <c r="I189" s="337"/>
      <c r="J189" s="337"/>
      <c r="K189" s="350"/>
    </row>
    <row r="190" spans="2:11" ht="17.100000000000001" customHeight="1">
      <c r="B190" s="335"/>
      <c r="C190" s="337"/>
      <c r="D190" s="337"/>
      <c r="E190" s="337"/>
      <c r="F190" s="337"/>
      <c r="G190" s="337"/>
      <c r="H190" s="337"/>
      <c r="I190" s="337"/>
      <c r="J190" s="337"/>
      <c r="K190" s="350"/>
    </row>
    <row r="191" spans="2:11" ht="17.100000000000001" customHeight="1">
      <c r="B191" s="335" t="s">
        <v>302</v>
      </c>
      <c r="C191" s="96"/>
      <c r="D191" s="96"/>
      <c r="E191" s="373">
        <f>'Rate Class Customer Model'!B16</f>
        <v>11294.668005832547</v>
      </c>
      <c r="F191" s="373">
        <f>'Rate Class Customer Model'!C16</f>
        <v>1351.165883773326</v>
      </c>
      <c r="G191" s="373">
        <f>'Rate Class Customer Model'!D16</f>
        <v>155.95374159375504</v>
      </c>
      <c r="H191" s="373">
        <f>'Rate Class Customer Model'!F16</f>
        <v>3540.7253915585902</v>
      </c>
      <c r="I191" s="373">
        <f>'Rate Class Customer Model'!G16</f>
        <v>200.32728942999913</v>
      </c>
      <c r="J191" s="373">
        <f>'Rate Class Customer Model'!H16</f>
        <v>153.08053249442582</v>
      </c>
      <c r="K191" s="373">
        <f>SUM(E191:J191)</f>
        <v>16695.920844682645</v>
      </c>
    </row>
    <row r="192" spans="2:11" ht="17.100000000000001" customHeight="1">
      <c r="B192" s="335" t="s">
        <v>303</v>
      </c>
      <c r="C192" s="96"/>
      <c r="D192" s="96"/>
      <c r="E192" s="373">
        <f>'Rate Class Customer Model'!B17</f>
        <v>11409.491580536389</v>
      </c>
      <c r="F192" s="373">
        <f>'Rate Class Customer Model'!C17</f>
        <v>1355.3446514275822</v>
      </c>
      <c r="G192" s="373">
        <f>'Rate Class Customer Model'!D17</f>
        <v>156.91335172317238</v>
      </c>
      <c r="H192" s="373">
        <f>'Rate Class Customer Model'!F17</f>
        <v>3555.5122797582908</v>
      </c>
      <c r="I192" s="373">
        <f>'Rate Class Customer Model'!G17</f>
        <v>194.81079072995456</v>
      </c>
      <c r="J192" s="373">
        <f>'Rate Class Customer Model'!H17</f>
        <v>151.18483502436749</v>
      </c>
      <c r="K192" s="373">
        <f>SUM(E192:J192)</f>
        <v>16823.257489199757</v>
      </c>
    </row>
    <row r="193" spans="2:10" ht="17.100000000000001" customHeight="1">
      <c r="B193" s="324"/>
      <c r="C193" s="324"/>
      <c r="D193" s="324"/>
    </row>
    <row r="194" spans="2:10" ht="17.100000000000001" customHeight="1">
      <c r="B194" s="324"/>
      <c r="C194" s="324"/>
      <c r="D194" s="324"/>
    </row>
    <row r="195" spans="2:10" ht="17.100000000000001" customHeight="1">
      <c r="B195" s="324"/>
      <c r="C195" s="324"/>
      <c r="D195" s="324"/>
    </row>
    <row r="196" spans="2:10" ht="17.100000000000001" customHeight="1">
      <c r="B196" s="324"/>
      <c r="C196" s="324"/>
      <c r="D196" s="324"/>
    </row>
    <row r="197" spans="2:10" ht="17.100000000000001" customHeight="1">
      <c r="B197" s="322" t="s">
        <v>285</v>
      </c>
      <c r="C197" s="322"/>
      <c r="D197" s="322"/>
      <c r="E197" s="323"/>
      <c r="F197" s="323"/>
      <c r="G197" s="323"/>
      <c r="H197" s="323"/>
      <c r="I197" s="323"/>
      <c r="J197" s="323"/>
    </row>
    <row r="198" spans="2:10" s="327" customFormat="1" ht="5.0999999999999996" customHeight="1">
      <c r="B198" s="325"/>
      <c r="C198" s="325"/>
      <c r="D198" s="325"/>
      <c r="E198" s="326"/>
      <c r="F198" s="326"/>
      <c r="G198" s="326"/>
      <c r="H198" s="326"/>
      <c r="I198" s="326"/>
      <c r="J198" s="326"/>
    </row>
    <row r="199" spans="2:10" s="327" customFormat="1" ht="17.100000000000001" customHeight="1">
      <c r="B199" s="371"/>
      <c r="J199" s="372"/>
    </row>
    <row r="200" spans="2:10" s="332" customFormat="1" ht="69.95" customHeight="1">
      <c r="B200" s="329" t="s">
        <v>200</v>
      </c>
      <c r="C200" s="330"/>
      <c r="D200" s="330"/>
      <c r="E200" s="349" t="str">
        <f t="shared" ref="E200:J200" si="24">E188</f>
        <v>Residential Class</v>
      </c>
      <c r="F200" s="349" t="str">
        <f t="shared" si="24"/>
        <v>General Service Less than 50 kW Class</v>
      </c>
      <c r="G200" s="349" t="str">
        <f t="shared" si="24"/>
        <v>General Service Greater than or Equal to 50 kW Class</v>
      </c>
      <c r="H200" s="349" t="str">
        <f t="shared" si="24"/>
        <v>Streetlight Class</v>
      </c>
      <c r="I200" s="349" t="str">
        <f t="shared" si="24"/>
        <v>Sentinel Lighting Class</v>
      </c>
      <c r="J200" s="349" t="str">
        <f t="shared" si="24"/>
        <v>Unmetered Scattered Load Class</v>
      </c>
    </row>
    <row r="201" spans="2:10" ht="17.100000000000001" customHeight="1">
      <c r="B201" s="335" t="s">
        <v>216</v>
      </c>
      <c r="C201" s="337"/>
      <c r="D201" s="337"/>
      <c r="E201" s="337"/>
      <c r="F201" s="337"/>
      <c r="G201" s="337"/>
      <c r="H201" s="337"/>
      <c r="I201" s="337"/>
      <c r="J201" s="350"/>
    </row>
    <row r="202" spans="2:10" ht="17.100000000000001" customHeight="1">
      <c r="B202" s="335"/>
      <c r="C202" s="337"/>
      <c r="D202" s="337"/>
      <c r="E202" s="337"/>
      <c r="F202" s="337"/>
      <c r="G202" s="337"/>
      <c r="H202" s="337"/>
      <c r="I202" s="337"/>
      <c r="J202" s="350"/>
    </row>
    <row r="203" spans="2:10" ht="17.100000000000001" customHeight="1">
      <c r="B203" s="333">
        <f>B167</f>
        <v>1996</v>
      </c>
      <c r="C203" s="96"/>
      <c r="D203" s="96"/>
      <c r="E203" s="352">
        <f>'Rate Class Energy Model'!B22</f>
        <v>10757.447238210643</v>
      </c>
      <c r="F203" s="352">
        <f>'Rate Class Energy Model'!C22</f>
        <v>32851.596240369799</v>
      </c>
      <c r="G203" s="352">
        <f>'Rate Class Energy Model'!D22</f>
        <v>994930.5555555555</v>
      </c>
      <c r="H203" s="352">
        <f>'Rate Class Energy Model'!F22</f>
        <v>723.64939773404888</v>
      </c>
      <c r="I203" s="352">
        <f>'Rate Class Energy Model'!G22</f>
        <v>1977.4583333333333</v>
      </c>
      <c r="J203" s="352">
        <f>'Rate Class Energy Model'!H22</f>
        <v>6077.7777777777774</v>
      </c>
    </row>
    <row r="204" spans="2:10" ht="17.100000000000001" customHeight="1">
      <c r="B204" s="333">
        <f t="shared" ref="B204:B215" si="25">B168</f>
        <v>1997</v>
      </c>
      <c r="C204" s="96"/>
      <c r="D204" s="96"/>
      <c r="E204" s="352">
        <f>'Rate Class Energy Model'!B23</f>
        <v>10292.792792792792</v>
      </c>
      <c r="F204" s="352">
        <f>'Rate Class Energy Model'!C23</f>
        <v>34705.597376048812</v>
      </c>
      <c r="G204" s="352">
        <f>'Rate Class Energy Model'!D23</f>
        <v>994930.5555555555</v>
      </c>
      <c r="H204" s="352">
        <f>'Rate Class Energy Model'!F23</f>
        <v>726.97043530113297</v>
      </c>
      <c r="I204" s="352">
        <f>'Rate Class Energy Model'!G23</f>
        <v>1957.3020833333333</v>
      </c>
      <c r="J204" s="352">
        <f>'Rate Class Energy Model'!H23</f>
        <v>6077.7777777777774</v>
      </c>
    </row>
    <row r="205" spans="2:10" ht="17.100000000000001" customHeight="1">
      <c r="B205" s="333">
        <f t="shared" si="25"/>
        <v>1998</v>
      </c>
      <c r="C205" s="96"/>
      <c r="D205" s="96"/>
      <c r="E205" s="352">
        <f>'Rate Class Energy Model'!B24</f>
        <v>9715.175481957489</v>
      </c>
      <c r="F205" s="352">
        <f>'Rate Class Energy Model'!C24</f>
        <v>36345.117964533536</v>
      </c>
      <c r="G205" s="352">
        <f>'Rate Class Energy Model'!D24</f>
        <v>994930.5555555555</v>
      </c>
      <c r="H205" s="352">
        <f>'Rate Class Energy Model'!F24</f>
        <v>728.08586762075129</v>
      </c>
      <c r="I205" s="352">
        <f>'Rate Class Energy Model'!G24</f>
        <v>1942.2986111111111</v>
      </c>
      <c r="J205" s="352">
        <f>'Rate Class Energy Model'!H24</f>
        <v>6077.7777777777774</v>
      </c>
    </row>
    <row r="206" spans="2:10" ht="17.100000000000001" customHeight="1">
      <c r="B206" s="333">
        <f t="shared" si="25"/>
        <v>1999</v>
      </c>
      <c r="C206" s="96"/>
      <c r="D206" s="96"/>
      <c r="E206" s="352">
        <f>'Rate Class Energy Model'!B25</f>
        <v>9991.436470014627</v>
      </c>
      <c r="F206" s="352">
        <f>'Rate Class Energy Model'!C25</f>
        <v>39389.675404780261</v>
      </c>
      <c r="G206" s="352">
        <f>'Rate Class Energy Model'!D25</f>
        <v>974598.39318027219</v>
      </c>
      <c r="H206" s="352">
        <f>'Rate Class Energy Model'!F25</f>
        <v>728.08288610614193</v>
      </c>
      <c r="I206" s="352">
        <f>'Rate Class Energy Model'!G25</f>
        <v>1868.9479166666667</v>
      </c>
      <c r="J206" s="352">
        <f>'Rate Class Energy Model'!H25</f>
        <v>6077.7777777777774</v>
      </c>
    </row>
    <row r="207" spans="2:10" ht="17.100000000000001" customHeight="1">
      <c r="B207" s="333">
        <f t="shared" si="25"/>
        <v>2000</v>
      </c>
      <c r="C207" s="96"/>
      <c r="D207" s="96"/>
      <c r="E207" s="352">
        <f>'Rate Class Energy Model'!B26</f>
        <v>10024.304087351435</v>
      </c>
      <c r="F207" s="352">
        <f>'Rate Class Energy Model'!C26</f>
        <v>36969.247295208654</v>
      </c>
      <c r="G207" s="352">
        <f>'Rate Class Energy Model'!D26</f>
        <v>1015140.2960270271</v>
      </c>
      <c r="H207" s="352">
        <f>'Rate Class Energy Model'!F26</f>
        <v>734.26237328562911</v>
      </c>
      <c r="I207" s="352">
        <f>'Rate Class Energy Model'!G26</f>
        <v>1896.8229166666667</v>
      </c>
      <c r="J207" s="352">
        <f>'Rate Class Energy Model'!H26</f>
        <v>6077.7777777777774</v>
      </c>
    </row>
    <row r="208" spans="2:10" ht="17.100000000000001" customHeight="1">
      <c r="B208" s="333">
        <f t="shared" si="25"/>
        <v>2001</v>
      </c>
      <c r="C208" s="96"/>
      <c r="D208" s="96"/>
      <c r="E208" s="352">
        <f>'Rate Class Energy Model'!B27</f>
        <v>10110.646167130384</v>
      </c>
      <c r="F208" s="352">
        <f>'Rate Class Energy Model'!C27</f>
        <v>36160.702723735405</v>
      </c>
      <c r="G208" s="352">
        <f>'Rate Class Energy Model'!D27</f>
        <v>1020751.467694631</v>
      </c>
      <c r="H208" s="352">
        <f>'Rate Class Energy Model'!F27</f>
        <v>727.95586937334508</v>
      </c>
      <c r="I208" s="352">
        <f>'Rate Class Energy Model'!G27</f>
        <v>1881.9826388888889</v>
      </c>
      <c r="J208" s="352">
        <f>'Rate Class Energy Model'!H27</f>
        <v>6079.6</v>
      </c>
    </row>
    <row r="209" spans="2:10" ht="17.100000000000001" customHeight="1">
      <c r="B209" s="333">
        <f t="shared" si="25"/>
        <v>2002</v>
      </c>
      <c r="C209" s="96"/>
      <c r="D209" s="96"/>
      <c r="E209" s="352">
        <f>'Rate Class Energy Model'!B28</f>
        <v>10472.048000763432</v>
      </c>
      <c r="F209" s="352">
        <f>'Rate Class Energy Model'!C28</f>
        <v>38015.305707584048</v>
      </c>
      <c r="G209" s="352">
        <f>'Rate Class Energy Model'!D28</f>
        <v>1042059.4496644295</v>
      </c>
      <c r="H209" s="352">
        <f>'Rate Class Energy Model'!F28</f>
        <v>707.43276212605281</v>
      </c>
      <c r="I209" s="352">
        <f>'Rate Class Energy Model'!G28</f>
        <v>1682.2673611111111</v>
      </c>
      <c r="J209" s="352">
        <f>'Rate Class Energy Model'!H28</f>
        <v>6300.68954509178</v>
      </c>
    </row>
    <row r="210" spans="2:10" ht="17.100000000000001" customHeight="1">
      <c r="B210" s="333">
        <f t="shared" si="25"/>
        <v>2003</v>
      </c>
      <c r="C210" s="96"/>
      <c r="D210" s="96"/>
      <c r="E210" s="352">
        <f>'Rate Class Energy Model'!B29</f>
        <v>10208.922510618217</v>
      </c>
      <c r="F210" s="352">
        <f>'Rate Class Energy Model'!C29</f>
        <v>38180.093114241005</v>
      </c>
      <c r="G210" s="352">
        <f>'Rate Class Energy Model'!D29</f>
        <v>975155.38153980894</v>
      </c>
      <c r="H210" s="352">
        <f>'Rate Class Energy Model'!F29</f>
        <v>720.01994219653182</v>
      </c>
      <c r="I210" s="352">
        <f>'Rate Class Energy Model'!G29</f>
        <v>1781.5395683453237</v>
      </c>
      <c r="J210" s="352">
        <f>'Rate Class Energy Model'!H29</f>
        <v>6749.7860962566847</v>
      </c>
    </row>
    <row r="211" spans="2:10" ht="17.100000000000001" customHeight="1">
      <c r="B211" s="333">
        <f t="shared" si="25"/>
        <v>2004</v>
      </c>
      <c r="C211" s="96"/>
      <c r="D211" s="96"/>
      <c r="E211" s="352">
        <f>'Rate Class Energy Model'!B30</f>
        <v>10134.342589995325</v>
      </c>
      <c r="F211" s="352">
        <f>'Rate Class Energy Model'!C30</f>
        <v>38653.763382467027</v>
      </c>
      <c r="G211" s="352">
        <f>'Rate Class Energy Model'!D30</f>
        <v>972172.55215440248</v>
      </c>
      <c r="H211" s="352">
        <f>'Rate Class Energy Model'!F30</f>
        <v>722.55555555555554</v>
      </c>
      <c r="I211" s="352">
        <f>'Rate Class Energy Model'!G30</f>
        <v>1683.6666666666667</v>
      </c>
      <c r="J211" s="352">
        <f>'Rate Class Energy Model'!H30</f>
        <v>6680.9949999999999</v>
      </c>
    </row>
    <row r="212" spans="2:10" ht="17.100000000000001" customHeight="1">
      <c r="B212" s="333">
        <f t="shared" si="25"/>
        <v>2005</v>
      </c>
      <c r="C212" s="96"/>
      <c r="D212" s="96"/>
      <c r="E212" s="352">
        <f>'Rate Class Energy Model'!B31</f>
        <v>10288.957166697572</v>
      </c>
      <c r="F212" s="352">
        <f>'Rate Class Energy Model'!C31</f>
        <v>38301.83650190114</v>
      </c>
      <c r="G212" s="352">
        <f>'Rate Class Energy Model'!D31</f>
        <v>1014910.1612903225</v>
      </c>
      <c r="H212" s="352">
        <f>'Rate Class Energy Model'!F31</f>
        <v>722.16819484240693</v>
      </c>
      <c r="I212" s="352">
        <f>'Rate Class Energy Model'!G31</f>
        <v>1671.9307692307693</v>
      </c>
      <c r="J212" s="352">
        <f>'Rate Class Energy Model'!H31</f>
        <v>6832.9563106796113</v>
      </c>
    </row>
    <row r="213" spans="2:10" ht="17.100000000000001" customHeight="1">
      <c r="B213" s="333">
        <f t="shared" si="25"/>
        <v>2006</v>
      </c>
      <c r="C213" s="96"/>
      <c r="D213" s="96"/>
      <c r="E213" s="352">
        <f>'Rate Class Energy Model'!B32</f>
        <v>9888.1728959151969</v>
      </c>
      <c r="F213" s="352">
        <f>'Rate Class Energy Model'!C32</f>
        <v>37239.207617625092</v>
      </c>
      <c r="G213" s="352">
        <f>'Rate Class Energy Model'!D32</f>
        <v>1001619.1708860759</v>
      </c>
      <c r="H213" s="352">
        <f>'Rate Class Energy Model'!F32</f>
        <v>722.26788780767026</v>
      </c>
      <c r="I213" s="352">
        <f>'Rate Class Energy Model'!G32</f>
        <v>1762.405737704918</v>
      </c>
      <c r="J213" s="352">
        <f>'Rate Class Energy Model'!H32</f>
        <v>6031.6483516483513</v>
      </c>
    </row>
    <row r="214" spans="2:10" ht="17.100000000000001" customHeight="1">
      <c r="B214" s="333">
        <f t="shared" si="25"/>
        <v>2007</v>
      </c>
      <c r="C214" s="96"/>
      <c r="D214" s="96"/>
      <c r="E214" s="352">
        <f>'Rate Class Energy Model'!B33</f>
        <v>9907.7945936172127</v>
      </c>
      <c r="F214" s="352">
        <f>'Rate Class Energy Model'!C33</f>
        <v>36620.016369047618</v>
      </c>
      <c r="G214" s="352">
        <f>'Rate Class Energy Model'!D33</f>
        <v>990448.75</v>
      </c>
      <c r="H214" s="352">
        <f>'Rate Class Energy Model'!F33</f>
        <v>721.53843963553527</v>
      </c>
      <c r="I214" s="352">
        <f>'Rate Class Energy Model'!G33</f>
        <v>1748.1886792452831</v>
      </c>
      <c r="J214" s="352">
        <f>'Rate Class Energy Model'!H33</f>
        <v>5914.1538461538457</v>
      </c>
    </row>
    <row r="215" spans="2:10" ht="17.100000000000001" customHeight="1">
      <c r="B215" s="333">
        <f t="shared" si="25"/>
        <v>2008</v>
      </c>
      <c r="C215" s="96"/>
      <c r="D215" s="96"/>
      <c r="E215" s="352">
        <f>'Rate Class Energy Model'!B34</f>
        <v>9821.535104194616</v>
      </c>
      <c r="F215" s="352">
        <f>'Rate Class Energy Model'!C34</f>
        <v>36598.18188567186</v>
      </c>
      <c r="G215" s="352">
        <f>'Rate Class Energy Model'!D34</f>
        <v>1007301.135483871</v>
      </c>
      <c r="H215" s="352">
        <f>'Rate Class Energy Model'!F34</f>
        <v>722.9841179807147</v>
      </c>
      <c r="I215" s="352">
        <f>'Rate Class Energy Model'!G34</f>
        <v>1710.7184466019417</v>
      </c>
      <c r="J215" s="352">
        <f>'Rate Class Energy Model'!H34</f>
        <v>5563.2774193548385</v>
      </c>
    </row>
    <row r="216" spans="2:10" ht="17.100000000000001" customHeight="1">
      <c r="B216" s="324"/>
      <c r="C216" s="324"/>
      <c r="D216" s="324"/>
    </row>
    <row r="217" spans="2:10" ht="17.100000000000001" customHeight="1">
      <c r="B217" s="324"/>
      <c r="C217" s="324"/>
      <c r="D217" s="324"/>
    </row>
    <row r="218" spans="2:10" ht="17.100000000000001" customHeight="1">
      <c r="B218" s="324"/>
      <c r="C218" s="324"/>
      <c r="D218" s="324"/>
    </row>
    <row r="219" spans="2:10" ht="17.100000000000001" customHeight="1">
      <c r="B219" s="324"/>
      <c r="C219" s="324"/>
      <c r="D219" s="324"/>
    </row>
    <row r="220" spans="2:10" ht="17.100000000000001" customHeight="1">
      <c r="B220" s="322" t="s">
        <v>286</v>
      </c>
      <c r="C220" s="322"/>
      <c r="D220" s="322"/>
      <c r="E220" s="323"/>
      <c r="F220" s="323"/>
      <c r="G220" s="323"/>
      <c r="H220" s="323"/>
      <c r="I220" s="323"/>
      <c r="J220" s="323"/>
    </row>
    <row r="221" spans="2:10" s="327" customFormat="1" ht="5.0999999999999996" customHeight="1">
      <c r="B221" s="325"/>
      <c r="C221" s="325"/>
      <c r="D221" s="325"/>
      <c r="E221" s="326"/>
      <c r="F221" s="326"/>
      <c r="G221" s="326"/>
      <c r="H221" s="326"/>
      <c r="I221" s="326"/>
      <c r="J221" s="326"/>
    </row>
    <row r="222" spans="2:10" s="327" customFormat="1" ht="17.100000000000001" customHeight="1">
      <c r="B222" s="371"/>
      <c r="J222" s="372"/>
    </row>
    <row r="223" spans="2:10" s="332" customFormat="1" ht="69.95" customHeight="1">
      <c r="B223" s="329" t="s">
        <v>200</v>
      </c>
      <c r="C223" s="330"/>
      <c r="D223" s="330"/>
      <c r="E223" s="349" t="str">
        <f t="shared" ref="E223:J223" si="26">E200</f>
        <v>Residential Class</v>
      </c>
      <c r="F223" s="349" t="str">
        <f t="shared" si="26"/>
        <v>General Service Less than 50 kW Class</v>
      </c>
      <c r="G223" s="349" t="str">
        <f t="shared" si="26"/>
        <v>General Service Greater than or Equal to 50 kW Class</v>
      </c>
      <c r="H223" s="349" t="str">
        <f t="shared" si="26"/>
        <v>Streetlight Class</v>
      </c>
      <c r="I223" s="349" t="str">
        <f t="shared" si="26"/>
        <v>Sentinel Lighting Class</v>
      </c>
      <c r="J223" s="349" t="str">
        <f t="shared" si="26"/>
        <v>Unmetered Scattered Load Class</v>
      </c>
    </row>
    <row r="224" spans="2:10" ht="17.100000000000001" customHeight="1">
      <c r="B224" s="335" t="s">
        <v>214</v>
      </c>
      <c r="C224" s="337"/>
      <c r="D224" s="337"/>
      <c r="E224" s="337"/>
      <c r="F224" s="337"/>
      <c r="G224" s="337"/>
      <c r="H224" s="337"/>
      <c r="I224" s="337"/>
      <c r="J224" s="350"/>
    </row>
    <row r="225" spans="2:10" ht="17.100000000000001" customHeight="1">
      <c r="B225" s="335"/>
      <c r="C225" s="337"/>
      <c r="D225" s="337"/>
      <c r="E225" s="337"/>
      <c r="F225" s="337"/>
      <c r="G225" s="337"/>
      <c r="H225" s="337"/>
      <c r="I225" s="337"/>
      <c r="J225" s="350"/>
    </row>
    <row r="226" spans="2:10" ht="17.100000000000001" customHeight="1">
      <c r="B226" s="333">
        <f>B203</f>
        <v>1996</v>
      </c>
      <c r="C226" s="96"/>
      <c r="D226" s="96"/>
      <c r="E226" s="352"/>
      <c r="F226" s="352"/>
      <c r="G226" s="352"/>
      <c r="H226" s="352"/>
      <c r="I226" s="352"/>
      <c r="J226" s="352"/>
    </row>
    <row r="227" spans="2:10" ht="17.100000000000001" customHeight="1">
      <c r="B227" s="333">
        <f t="shared" ref="B227:B238" si="27">B204</f>
        <v>1997</v>
      </c>
      <c r="C227" s="96"/>
      <c r="D227" s="96"/>
      <c r="E227" s="384">
        <f t="shared" ref="E227:J227" si="28">E204/E203-1</f>
        <v>-4.3193746167528468E-2</v>
      </c>
      <c r="F227" s="384">
        <f t="shared" si="28"/>
        <v>5.6435648426748752E-2</v>
      </c>
      <c r="G227" s="384">
        <f t="shared" si="28"/>
        <v>0</v>
      </c>
      <c r="H227" s="384">
        <f t="shared" si="28"/>
        <v>4.589290860302242E-3</v>
      </c>
      <c r="I227" s="384">
        <f t="shared" si="28"/>
        <v>-1.0193008702248263E-2</v>
      </c>
      <c r="J227" s="384">
        <f t="shared" si="28"/>
        <v>0</v>
      </c>
    </row>
    <row r="228" spans="2:10" ht="17.100000000000001" customHeight="1">
      <c r="B228" s="333">
        <f t="shared" si="27"/>
        <v>1998</v>
      </c>
      <c r="C228" s="96"/>
      <c r="D228" s="96"/>
      <c r="E228" s="384">
        <f t="shared" ref="E228:J238" si="29">E205/E204-1</f>
        <v>-5.6118618383123597E-2</v>
      </c>
      <c r="F228" s="384">
        <f t="shared" si="29"/>
        <v>4.724081163968652E-2</v>
      </c>
      <c r="G228" s="384">
        <f t="shared" si="29"/>
        <v>0</v>
      </c>
      <c r="H228" s="384">
        <f t="shared" si="29"/>
        <v>1.534357197285896E-3</v>
      </c>
      <c r="I228" s="384">
        <f t="shared" si="29"/>
        <v>-7.6653840763664105E-3</v>
      </c>
      <c r="J228" s="384">
        <f t="shared" si="29"/>
        <v>0</v>
      </c>
    </row>
    <row r="229" spans="2:10" ht="17.100000000000001" customHeight="1">
      <c r="B229" s="333">
        <f t="shared" si="27"/>
        <v>1999</v>
      </c>
      <c r="C229" s="96"/>
      <c r="D229" s="96"/>
      <c r="E229" s="384">
        <f t="shared" si="29"/>
        <v>2.8436026561763583E-2</v>
      </c>
      <c r="F229" s="384">
        <f t="shared" si="29"/>
        <v>8.37679889557017E-2</v>
      </c>
      <c r="G229" s="384">
        <f t="shared" si="29"/>
        <v>-2.0435760326940722E-2</v>
      </c>
      <c r="H229" s="384">
        <f t="shared" si="29"/>
        <v>-4.0950040949283562E-6</v>
      </c>
      <c r="I229" s="384">
        <f t="shared" si="29"/>
        <v>-3.7764890539917162E-2</v>
      </c>
      <c r="J229" s="384">
        <f t="shared" si="29"/>
        <v>0</v>
      </c>
    </row>
    <row r="230" spans="2:10" ht="17.100000000000001" customHeight="1">
      <c r="B230" s="333">
        <f t="shared" si="27"/>
        <v>2000</v>
      </c>
      <c r="C230" s="96"/>
      <c r="D230" s="96"/>
      <c r="E230" s="384">
        <f t="shared" si="29"/>
        <v>3.2895787743281169E-3</v>
      </c>
      <c r="F230" s="384">
        <f t="shared" si="29"/>
        <v>-6.1448287773345545E-2</v>
      </c>
      <c r="G230" s="384">
        <f t="shared" si="29"/>
        <v>4.1598573453892174E-2</v>
      </c>
      <c r="H230" s="384">
        <f t="shared" si="29"/>
        <v>8.4873402429985756E-3</v>
      </c>
      <c r="I230" s="384">
        <f t="shared" si="29"/>
        <v>1.4914808353630349E-2</v>
      </c>
      <c r="J230" s="384">
        <f t="shared" si="29"/>
        <v>0</v>
      </c>
    </row>
    <row r="231" spans="2:10" ht="17.100000000000001" customHeight="1">
      <c r="B231" s="333">
        <f t="shared" si="27"/>
        <v>2001</v>
      </c>
      <c r="C231" s="96"/>
      <c r="D231" s="96"/>
      <c r="E231" s="384">
        <f t="shared" si="29"/>
        <v>8.6132742010385233E-3</v>
      </c>
      <c r="F231" s="384">
        <f t="shared" si="29"/>
        <v>-2.1870733937773168E-2</v>
      </c>
      <c r="G231" s="384">
        <f t="shared" si="29"/>
        <v>5.5274839246992613E-3</v>
      </c>
      <c r="H231" s="384">
        <f t="shared" si="29"/>
        <v>-8.5888970233679585E-3</v>
      </c>
      <c r="I231" s="384">
        <f t="shared" si="29"/>
        <v>-7.8237549996796885E-3</v>
      </c>
      <c r="J231" s="384">
        <f t="shared" si="29"/>
        <v>2.9981718464355822E-4</v>
      </c>
    </row>
    <row r="232" spans="2:10" ht="17.100000000000001" customHeight="1">
      <c r="B232" s="333">
        <f t="shared" si="27"/>
        <v>2002</v>
      </c>
      <c r="C232" s="96"/>
      <c r="D232" s="96"/>
      <c r="E232" s="384">
        <f t="shared" si="29"/>
        <v>3.5744682155722352E-2</v>
      </c>
      <c r="F232" s="384">
        <f t="shared" si="29"/>
        <v>5.1287802618706024E-2</v>
      </c>
      <c r="G232" s="384">
        <f t="shared" si="29"/>
        <v>2.08747992475804E-2</v>
      </c>
      <c r="H232" s="384">
        <f t="shared" si="29"/>
        <v>-2.8192790402197576E-2</v>
      </c>
      <c r="I232" s="384">
        <f t="shared" si="29"/>
        <v>-0.10611961749853793</v>
      </c>
      <c r="J232" s="384">
        <f t="shared" si="29"/>
        <v>3.6365804508813104E-2</v>
      </c>
    </row>
    <row r="233" spans="2:10" ht="17.100000000000001" customHeight="1">
      <c r="B233" s="333">
        <f t="shared" si="27"/>
        <v>2003</v>
      </c>
      <c r="C233" s="96"/>
      <c r="D233" s="96"/>
      <c r="E233" s="384">
        <f t="shared" si="29"/>
        <v>-2.5126459516422561E-2</v>
      </c>
      <c r="F233" s="384">
        <f t="shared" si="29"/>
        <v>4.3347647372484754E-3</v>
      </c>
      <c r="G233" s="384">
        <f t="shared" si="29"/>
        <v>-6.4203696004259125E-2</v>
      </c>
      <c r="H233" s="384">
        <f t="shared" si="29"/>
        <v>1.779275818757764E-2</v>
      </c>
      <c r="I233" s="384">
        <f t="shared" si="29"/>
        <v>5.9010957193299518E-2</v>
      </c>
      <c r="J233" s="384">
        <f t="shared" si="29"/>
        <v>7.1277365429748718E-2</v>
      </c>
    </row>
    <row r="234" spans="2:10" ht="17.100000000000001" customHeight="1">
      <c r="B234" s="333">
        <f t="shared" si="27"/>
        <v>2004</v>
      </c>
      <c r="C234" s="96"/>
      <c r="D234" s="96"/>
      <c r="E234" s="384">
        <f t="shared" si="29"/>
        <v>-7.3053665110418553E-3</v>
      </c>
      <c r="F234" s="384">
        <f t="shared" si="29"/>
        <v>1.2406210398930195E-2</v>
      </c>
      <c r="G234" s="384">
        <f t="shared" si="29"/>
        <v>-3.0588247184735184E-3</v>
      </c>
      <c r="H234" s="384">
        <f t="shared" si="29"/>
        <v>3.5215876817085157E-3</v>
      </c>
      <c r="I234" s="384">
        <f t="shared" si="29"/>
        <v>-5.4937259557788165E-2</v>
      </c>
      <c r="J234" s="384">
        <f t="shared" si="29"/>
        <v>-1.0191596485529364E-2</v>
      </c>
    </row>
    <row r="235" spans="2:10" ht="17.100000000000001" customHeight="1">
      <c r="B235" s="333">
        <f t="shared" si="27"/>
        <v>2005</v>
      </c>
      <c r="C235" s="96"/>
      <c r="D235" s="96"/>
      <c r="E235" s="384">
        <f t="shared" si="29"/>
        <v>1.5256497925665302E-2</v>
      </c>
      <c r="F235" s="384">
        <f t="shared" si="29"/>
        <v>-9.1045955107573739E-3</v>
      </c>
      <c r="G235" s="384">
        <f t="shared" si="29"/>
        <v>4.3960929611940314E-2</v>
      </c>
      <c r="H235" s="384">
        <f t="shared" si="29"/>
        <v>-5.3609817289523853E-4</v>
      </c>
      <c r="I235" s="384">
        <f t="shared" si="29"/>
        <v>-6.9704399738056422E-3</v>
      </c>
      <c r="J235" s="384">
        <f t="shared" si="29"/>
        <v>2.2745311241755273E-2</v>
      </c>
    </row>
    <row r="236" spans="2:10" ht="17.100000000000001" customHeight="1">
      <c r="B236" s="333">
        <f t="shared" si="27"/>
        <v>2006</v>
      </c>
      <c r="C236" s="96"/>
      <c r="D236" s="96"/>
      <c r="E236" s="384">
        <f t="shared" si="29"/>
        <v>-3.8952856376893052E-2</v>
      </c>
      <c r="F236" s="384">
        <f t="shared" si="29"/>
        <v>-2.7743549169588877E-2</v>
      </c>
      <c r="G236" s="384">
        <f t="shared" si="29"/>
        <v>-1.3095730943661898E-2</v>
      </c>
      <c r="H236" s="384">
        <f t="shared" si="29"/>
        <v>1.3804674032358299E-4</v>
      </c>
      <c r="I236" s="384">
        <f t="shared" si="29"/>
        <v>5.4114063894987074E-2</v>
      </c>
      <c r="J236" s="384">
        <f t="shared" si="29"/>
        <v>-0.11727104968882218</v>
      </c>
    </row>
    <row r="237" spans="2:10" ht="17.100000000000001" customHeight="1">
      <c r="B237" s="333">
        <f t="shared" si="27"/>
        <v>2007</v>
      </c>
      <c r="C237" s="96"/>
      <c r="D237" s="96"/>
      <c r="E237" s="384">
        <f t="shared" si="29"/>
        <v>1.9843602967462015E-3</v>
      </c>
      <c r="F237" s="384">
        <f t="shared" si="29"/>
        <v>-1.6627401284564747E-2</v>
      </c>
      <c r="G237" s="384">
        <f t="shared" si="29"/>
        <v>-1.1152363304102964E-2</v>
      </c>
      <c r="H237" s="384">
        <f t="shared" si="29"/>
        <v>-1.0099413035641325E-3</v>
      </c>
      <c r="I237" s="384">
        <f t="shared" si="29"/>
        <v>-8.0668475796890071E-3</v>
      </c>
      <c r="J237" s="384">
        <f t="shared" si="29"/>
        <v>-1.9479667686926105E-2</v>
      </c>
    </row>
    <row r="238" spans="2:10" ht="17.100000000000001" customHeight="1">
      <c r="B238" s="333">
        <f t="shared" si="27"/>
        <v>2008</v>
      </c>
      <c r="C238" s="96"/>
      <c r="D238" s="96"/>
      <c r="E238" s="384">
        <f t="shared" si="29"/>
        <v>-8.7062250440846922E-3</v>
      </c>
      <c r="F238" s="384">
        <f t="shared" si="29"/>
        <v>-5.9624450070461243E-4</v>
      </c>
      <c r="G238" s="384">
        <f t="shared" si="29"/>
        <v>1.7014899038310549E-2</v>
      </c>
      <c r="H238" s="384">
        <f t="shared" si="29"/>
        <v>2.0036054432659434E-3</v>
      </c>
      <c r="I238" s="384">
        <f t="shared" si="29"/>
        <v>-2.1433746304499457E-2</v>
      </c>
      <c r="J238" s="384">
        <f t="shared" si="29"/>
        <v>-5.9328254882512588E-2</v>
      </c>
    </row>
    <row r="239" spans="2:10" ht="17.100000000000001" customHeight="1">
      <c r="B239" s="335" t="s">
        <v>215</v>
      </c>
      <c r="C239" s="337"/>
      <c r="D239" s="337"/>
      <c r="E239" s="385">
        <f>'Rate Class Energy Model'!B54-1</f>
        <v>-2.5511301545634302E-3</v>
      </c>
      <c r="F239" s="385">
        <f>'Rate Class Energy Model'!C54-1</f>
        <v>-1.2601864151213782E-3</v>
      </c>
      <c r="G239" s="385">
        <f>'Rate Class Energy Model'!D54-1</f>
        <v>-9.6855744612611705E-4</v>
      </c>
      <c r="H239" s="385">
        <f>'Rate Class Energy Model'!F54-1</f>
        <v>-1.9330251019222811E-3</v>
      </c>
      <c r="I239" s="385">
        <f>'Rate Class Energy Model'!G54-1</f>
        <v>-1.2825408264789617E-2</v>
      </c>
      <c r="J239" s="385">
        <f>'Rate Class Energy Model'!H54-1</f>
        <v>-1.099556861568729E-2</v>
      </c>
    </row>
    <row r="240" spans="2:10" ht="17.100000000000001" customHeight="1">
      <c r="B240" s="324"/>
      <c r="C240" s="324"/>
      <c r="D240" s="324"/>
    </row>
    <row r="241" spans="2:10" ht="17.100000000000001" customHeight="1">
      <c r="B241" s="324"/>
      <c r="C241" s="324"/>
      <c r="D241" s="324"/>
    </row>
    <row r="242" spans="2:10" ht="17.100000000000001" customHeight="1">
      <c r="B242" s="324"/>
      <c r="C242" s="324"/>
      <c r="D242" s="324"/>
    </row>
    <row r="243" spans="2:10" ht="17.100000000000001" customHeight="1">
      <c r="B243" s="324"/>
      <c r="C243" s="324"/>
      <c r="D243" s="324"/>
    </row>
    <row r="244" spans="2:10" ht="17.100000000000001" customHeight="1">
      <c r="B244" s="322" t="s">
        <v>287</v>
      </c>
      <c r="C244" s="322"/>
      <c r="D244" s="322"/>
      <c r="E244" s="323"/>
      <c r="F244" s="323"/>
      <c r="G244" s="323"/>
      <c r="H244" s="323"/>
      <c r="I244" s="323"/>
      <c r="J244" s="323"/>
    </row>
    <row r="245" spans="2:10" s="327" customFormat="1" ht="5.0999999999999996" customHeight="1">
      <c r="B245" s="325"/>
      <c r="C245" s="325"/>
      <c r="D245" s="325"/>
      <c r="E245" s="326"/>
      <c r="F245" s="326"/>
      <c r="G245" s="326"/>
      <c r="H245" s="326"/>
      <c r="I245" s="326"/>
      <c r="J245" s="326"/>
    </row>
    <row r="246" spans="2:10" s="327" customFormat="1" ht="17.100000000000001" customHeight="1">
      <c r="B246" s="371"/>
      <c r="J246" s="372"/>
    </row>
    <row r="247" spans="2:10" s="332" customFormat="1" ht="69.95" customHeight="1">
      <c r="B247" s="329" t="s">
        <v>200</v>
      </c>
      <c r="C247" s="330"/>
      <c r="D247" s="330"/>
      <c r="E247" s="349" t="str">
        <f t="shared" ref="E247:J247" si="30">E223</f>
        <v>Residential Class</v>
      </c>
      <c r="F247" s="349" t="str">
        <f t="shared" si="30"/>
        <v>General Service Less than 50 kW Class</v>
      </c>
      <c r="G247" s="349" t="str">
        <f t="shared" si="30"/>
        <v>General Service Greater than or Equal to 50 kW Class</v>
      </c>
      <c r="H247" s="349" t="str">
        <f t="shared" si="30"/>
        <v>Streetlight Class</v>
      </c>
      <c r="I247" s="349" t="str">
        <f t="shared" si="30"/>
        <v>Sentinel Lighting Class</v>
      </c>
      <c r="J247" s="349" t="str">
        <f t="shared" si="30"/>
        <v>Unmetered Scattered Load Class</v>
      </c>
    </row>
    <row r="248" spans="2:10" ht="17.100000000000001" customHeight="1">
      <c r="B248" s="335" t="s">
        <v>217</v>
      </c>
      <c r="C248" s="337"/>
      <c r="D248" s="337"/>
      <c r="E248" s="337"/>
      <c r="F248" s="337"/>
      <c r="G248" s="337"/>
      <c r="H248" s="337"/>
      <c r="I248" s="337"/>
      <c r="J248" s="350"/>
    </row>
    <row r="249" spans="2:10" ht="17.100000000000001" customHeight="1">
      <c r="B249" s="335"/>
      <c r="C249" s="337"/>
      <c r="D249" s="337"/>
      <c r="E249" s="337"/>
      <c r="F249" s="337"/>
      <c r="G249" s="337"/>
      <c r="H249" s="337"/>
      <c r="I249" s="337"/>
      <c r="J249" s="350"/>
    </row>
    <row r="250" spans="2:10" ht="17.100000000000001" customHeight="1">
      <c r="B250" s="335" t="s">
        <v>302</v>
      </c>
      <c r="C250" s="337"/>
      <c r="D250" s="337"/>
      <c r="E250" s="373">
        <f>'Rate Class Energy Model'!B35</f>
        <v>9796.4790898262017</v>
      </c>
      <c r="F250" s="373">
        <f>'Rate Class Energy Model'!C35</f>
        <v>36552.061354041398</v>
      </c>
      <c r="G250" s="373">
        <f>'Rate Class Energy Model'!D35</f>
        <v>1006325.5064686068</v>
      </c>
      <c r="H250" s="373">
        <f>'Rate Class Energy Model'!F35</f>
        <v>721.58657153236686</v>
      </c>
      <c r="I250" s="373">
        <f>'Rate Class Energy Model'!G35</f>
        <v>1688.7777840981651</v>
      </c>
      <c r="J250" s="373">
        <f>'Rate Class Energy Model'!H35</f>
        <v>5502.1060207622186</v>
      </c>
    </row>
    <row r="251" spans="2:10" ht="17.100000000000001" customHeight="1">
      <c r="B251" s="335" t="s">
        <v>303</v>
      </c>
      <c r="C251" s="337"/>
      <c r="D251" s="337"/>
      <c r="E251" s="373">
        <f>'Rate Class Energy Model'!B36</f>
        <v>9771.4869966115966</v>
      </c>
      <c r="F251" s="373">
        <f>'Rate Class Energy Model'!C36</f>
        <v>36505.998942878352</v>
      </c>
      <c r="G251" s="373">
        <f>'Rate Class Energy Model'!D36</f>
        <v>1005350.82240609</v>
      </c>
      <c r="H251" s="373">
        <f>'Rate Class Energy Model'!F36</f>
        <v>720.19172657638478</v>
      </c>
      <c r="I251" s="373">
        <f>'Rate Class Energy Model'!G36</f>
        <v>1667.1185195485994</v>
      </c>
      <c r="J251" s="373">
        <f>'Rate Class Energy Model'!H36</f>
        <v>5441.6072364801412</v>
      </c>
    </row>
    <row r="252" spans="2:10" ht="17.100000000000001" customHeight="1">
      <c r="B252" s="359"/>
      <c r="C252" s="359"/>
      <c r="D252" s="359"/>
      <c r="E252" s="386"/>
      <c r="F252" s="386"/>
      <c r="G252" s="386"/>
      <c r="H252" s="386"/>
      <c r="I252" s="386"/>
      <c r="J252" s="386"/>
    </row>
    <row r="253" spans="2:10" ht="17.100000000000001" customHeight="1">
      <c r="B253" s="359"/>
      <c r="C253" s="359"/>
      <c r="D253" s="359"/>
      <c r="E253" s="386"/>
      <c r="F253" s="386"/>
      <c r="G253" s="386"/>
      <c r="H253" s="386"/>
      <c r="I253" s="386"/>
      <c r="J253" s="386"/>
    </row>
    <row r="254" spans="2:10" ht="17.100000000000001" customHeight="1">
      <c r="B254" s="359"/>
      <c r="C254" s="359"/>
      <c r="D254" s="359"/>
      <c r="E254" s="386"/>
      <c r="F254" s="386"/>
      <c r="G254" s="386"/>
      <c r="H254" s="386"/>
      <c r="I254" s="386"/>
      <c r="J254" s="386"/>
    </row>
    <row r="255" spans="2:10" ht="17.100000000000001" customHeight="1">
      <c r="B255" s="359"/>
      <c r="C255" s="359"/>
      <c r="D255" s="359"/>
      <c r="E255" s="386"/>
      <c r="F255" s="386"/>
      <c r="G255" s="386"/>
      <c r="H255" s="386"/>
      <c r="I255" s="386"/>
      <c r="J255" s="386"/>
    </row>
    <row r="256" spans="2:10" ht="17.100000000000001" customHeight="1">
      <c r="B256" s="324"/>
      <c r="C256" s="324"/>
      <c r="D256" s="324"/>
    </row>
    <row r="257" spans="2:11" ht="17.100000000000001" customHeight="1">
      <c r="B257" s="322" t="s">
        <v>288</v>
      </c>
      <c r="C257" s="322"/>
      <c r="D257" s="322"/>
      <c r="E257" s="323"/>
      <c r="F257" s="323"/>
      <c r="G257" s="323"/>
      <c r="H257" s="323"/>
      <c r="I257" s="323"/>
      <c r="J257" s="323"/>
    </row>
    <row r="258" spans="2:11" s="327" customFormat="1" ht="5.0999999999999996" customHeight="1">
      <c r="B258" s="325"/>
      <c r="C258" s="325"/>
      <c r="D258" s="325"/>
      <c r="E258" s="326"/>
      <c r="F258" s="326"/>
      <c r="G258" s="326"/>
      <c r="H258" s="326"/>
      <c r="I258" s="326"/>
      <c r="J258" s="326"/>
      <c r="K258" s="326"/>
    </row>
    <row r="259" spans="2:11" s="327" customFormat="1" ht="17.100000000000001" customHeight="1">
      <c r="B259" s="371"/>
      <c r="J259" s="372"/>
    </row>
    <row r="260" spans="2:11" s="332" customFormat="1" ht="69.95" customHeight="1">
      <c r="B260" s="329" t="s">
        <v>200</v>
      </c>
      <c r="C260" s="330"/>
      <c r="D260" s="330"/>
      <c r="E260" s="349" t="str">
        <f t="shared" ref="E260:J260" si="31">E247</f>
        <v>Residential Class</v>
      </c>
      <c r="F260" s="349" t="str">
        <f t="shared" si="31"/>
        <v>General Service Less than 50 kW Class</v>
      </c>
      <c r="G260" s="349" t="str">
        <f t="shared" si="31"/>
        <v>General Service Greater than or Equal to 50 kW Class</v>
      </c>
      <c r="H260" s="349" t="str">
        <f t="shared" si="31"/>
        <v>Streetlight Class</v>
      </c>
      <c r="I260" s="349" t="str">
        <f t="shared" si="31"/>
        <v>Sentinel Lighting Class</v>
      </c>
      <c r="J260" s="349" t="str">
        <f t="shared" si="31"/>
        <v>Unmetered Scattered Load Class</v>
      </c>
      <c r="K260" s="349" t="s">
        <v>208</v>
      </c>
    </row>
    <row r="261" spans="2:11" ht="17.100000000000001" customHeight="1">
      <c r="B261" s="335" t="s">
        <v>299</v>
      </c>
      <c r="C261" s="337"/>
      <c r="D261" s="337"/>
      <c r="E261" s="337"/>
      <c r="F261" s="337"/>
      <c r="G261" s="337"/>
      <c r="H261" s="337"/>
      <c r="I261" s="337"/>
      <c r="J261" s="337"/>
      <c r="K261" s="350"/>
    </row>
    <row r="262" spans="2:11" ht="17.100000000000001" customHeight="1">
      <c r="B262" s="335"/>
      <c r="C262" s="337"/>
      <c r="D262" s="337"/>
      <c r="E262" s="407"/>
      <c r="F262" s="407"/>
      <c r="G262" s="407"/>
      <c r="H262" s="407"/>
      <c r="I262" s="407"/>
      <c r="J262" s="407"/>
      <c r="K262" s="408"/>
    </row>
    <row r="263" spans="2:11" ht="17.100000000000001" customHeight="1">
      <c r="B263" s="335" t="s">
        <v>300</v>
      </c>
      <c r="C263" s="96"/>
      <c r="D263" s="96"/>
      <c r="E263" s="387">
        <f>'Rate Class Energy Model'!B60/1000000</f>
        <v>110.64797894566755</v>
      </c>
      <c r="F263" s="387">
        <f>'Rate Class Energy Model'!C60/1000000</f>
        <v>49.38789828317018</v>
      </c>
      <c r="G263" s="387">
        <f>'Rate Class Energy Model'!D60/1000000</f>
        <v>156.94022799500979</v>
      </c>
      <c r="H263" s="387">
        <f>'Rate Class Energy Model'!F60/1000000</f>
        <v>2.5549398960323604</v>
      </c>
      <c r="I263" s="387">
        <f>'Rate Class Energy Model'!G60/1000000</f>
        <v>0.33830827593798568</v>
      </c>
      <c r="J263" s="387">
        <f>'Rate Class Energy Model'!H60/1000000</f>
        <v>0.8422653194990668</v>
      </c>
      <c r="K263" s="387">
        <f>SUM(E263:J263)</f>
        <v>320.71161871531694</v>
      </c>
    </row>
    <row r="264" spans="2:11" ht="17.100000000000001" customHeight="1">
      <c r="B264" s="335" t="s">
        <v>301</v>
      </c>
      <c r="C264" s="96"/>
      <c r="D264" s="96"/>
      <c r="E264" s="387">
        <f>'Rate Class Energy Model'!B61/1000000</f>
        <v>111.48769861716082</v>
      </c>
      <c r="F264" s="387">
        <f>'Rate Class Energy Model'!C61/1000000</f>
        <v>49.478210412251144</v>
      </c>
      <c r="G264" s="387">
        <f>'Rate Class Energy Model'!D61/1000000</f>
        <v>157.75296720138741</v>
      </c>
      <c r="H264" s="387">
        <f>'Rate Class Energy Model'!F61/1000000</f>
        <v>2.5606505276226614</v>
      </c>
      <c r="I264" s="387">
        <f>'Rate Class Energy Model'!G61/1000000</f>
        <v>0.32477267703381385</v>
      </c>
      <c r="J264" s="387">
        <f>'Rate Class Energy Model'!H61/1000000</f>
        <v>0.82268849231465435</v>
      </c>
      <c r="K264" s="387">
        <f>SUM(E264:J264)</f>
        <v>322.42698792777054</v>
      </c>
    </row>
    <row r="265" spans="2:11" ht="17.100000000000001" customHeight="1">
      <c r="B265" s="359"/>
      <c r="C265" s="359"/>
      <c r="D265" s="359"/>
      <c r="E265" s="388"/>
      <c r="F265" s="388"/>
      <c r="G265" s="388"/>
      <c r="H265" s="388"/>
      <c r="I265" s="388"/>
      <c r="J265" s="388"/>
      <c r="K265" s="388"/>
    </row>
    <row r="266" spans="2:11" ht="17.100000000000001" customHeight="1">
      <c r="B266" s="359"/>
      <c r="C266" s="359"/>
      <c r="D266" s="359"/>
      <c r="E266" s="388"/>
      <c r="F266" s="388"/>
      <c r="G266" s="388"/>
      <c r="H266" s="388"/>
      <c r="I266" s="388"/>
      <c r="J266" s="388"/>
      <c r="K266" s="388"/>
    </row>
    <row r="267" spans="2:11" ht="17.100000000000001" customHeight="1">
      <c r="B267" s="359"/>
      <c r="C267" s="359"/>
      <c r="D267" s="359"/>
      <c r="E267" s="388"/>
      <c r="F267" s="388"/>
      <c r="G267" s="388"/>
      <c r="H267" s="388"/>
      <c r="I267" s="388"/>
      <c r="J267" s="388"/>
      <c r="K267" s="388"/>
    </row>
    <row r="268" spans="2:11" ht="17.100000000000001" customHeight="1">
      <c r="B268" s="324"/>
      <c r="C268" s="324"/>
      <c r="D268" s="324"/>
    </row>
    <row r="269" spans="2:11" ht="17.100000000000001" customHeight="1">
      <c r="B269" s="322" t="s">
        <v>289</v>
      </c>
      <c r="C269" s="323"/>
      <c r="D269" s="323"/>
      <c r="E269" s="323"/>
      <c r="F269" s="323"/>
      <c r="G269" s="323"/>
    </row>
    <row r="270" spans="2:11" ht="5.0999999999999996" customHeight="1">
      <c r="B270" s="389"/>
      <c r="C270" s="389"/>
      <c r="D270" s="389"/>
      <c r="E270" s="389"/>
      <c r="F270" s="389"/>
      <c r="G270" s="389"/>
    </row>
    <row r="271" spans="2:11" ht="17.100000000000001" customHeight="1">
      <c r="B271" s="324"/>
      <c r="C271" s="324"/>
      <c r="D271" s="324"/>
      <c r="G271" s="390"/>
    </row>
    <row r="272" spans="2:11" s="332" customFormat="1" ht="69.95" customHeight="1">
      <c r="B272" s="349" t="str">
        <f t="shared" ref="B272:G272" si="32">E260</f>
        <v>Residential Class</v>
      </c>
      <c r="C272" s="349" t="str">
        <f t="shared" si="32"/>
        <v>General Service Less than 50 kW Class</v>
      </c>
      <c r="D272" s="349" t="str">
        <f t="shared" si="32"/>
        <v>General Service Greater than or Equal to 50 kW Class</v>
      </c>
      <c r="E272" s="349" t="str">
        <f t="shared" si="32"/>
        <v>Streetlight Class</v>
      </c>
      <c r="F272" s="349" t="str">
        <f t="shared" si="32"/>
        <v>Sentinel Lighting Class</v>
      </c>
      <c r="G272" s="349" t="str">
        <f t="shared" si="32"/>
        <v>Unmetered Scattered Load Class</v>
      </c>
    </row>
    <row r="273" spans="2:11" ht="17.100000000000001" customHeight="1">
      <c r="B273" s="335" t="s">
        <v>219</v>
      </c>
      <c r="C273" s="337"/>
      <c r="D273" s="337"/>
      <c r="E273" s="337"/>
      <c r="F273" s="337"/>
      <c r="G273" s="350"/>
    </row>
    <row r="274" spans="2:11" ht="17.100000000000001" customHeight="1">
      <c r="B274" s="335"/>
      <c r="C274" s="337"/>
      <c r="D274" s="337"/>
      <c r="E274" s="337"/>
      <c r="F274" s="337"/>
      <c r="G274" s="350"/>
    </row>
    <row r="275" spans="2:11" ht="17.100000000000001" customHeight="1">
      <c r="B275" s="391">
        <f>'Rate Class Energy Model'!B75</f>
        <v>1</v>
      </c>
      <c r="C275" s="391">
        <f>'Rate Class Energy Model'!C75</f>
        <v>1</v>
      </c>
      <c r="D275" s="391">
        <f>'Rate Class Energy Model'!D75</f>
        <v>0.6</v>
      </c>
      <c r="E275" s="391">
        <f>'Rate Class Energy Model'!E75</f>
        <v>0</v>
      </c>
      <c r="F275" s="391">
        <f>'Rate Class Energy Model'!F75</f>
        <v>0</v>
      </c>
      <c r="G275" s="391">
        <f>'Rate Class Energy Model'!G75</f>
        <v>0</v>
      </c>
    </row>
    <row r="276" spans="2:11" ht="17.100000000000001" customHeight="1">
      <c r="B276" s="324"/>
      <c r="C276" s="324"/>
      <c r="D276" s="324"/>
      <c r="E276" s="392"/>
      <c r="F276" s="392"/>
      <c r="G276" s="392"/>
      <c r="H276" s="392"/>
      <c r="I276" s="392"/>
      <c r="J276" s="392"/>
    </row>
    <row r="277" spans="2:11" ht="17.100000000000001" customHeight="1">
      <c r="B277" s="324"/>
      <c r="C277" s="324"/>
      <c r="D277" s="324"/>
      <c r="E277" s="392"/>
      <c r="F277" s="392"/>
      <c r="G277" s="392"/>
      <c r="H277" s="392"/>
      <c r="I277" s="392"/>
      <c r="J277" s="392"/>
    </row>
    <row r="278" spans="2:11" ht="17.100000000000001" customHeight="1">
      <c r="B278" s="324"/>
      <c r="C278" s="324"/>
      <c r="D278" s="324"/>
    </row>
    <row r="279" spans="2:11" ht="17.100000000000001" customHeight="1">
      <c r="B279" s="324"/>
      <c r="C279" s="324"/>
      <c r="D279" s="324"/>
    </row>
    <row r="280" spans="2:11" ht="17.100000000000001" customHeight="1">
      <c r="B280" s="322" t="s">
        <v>290</v>
      </c>
      <c r="C280" s="322"/>
      <c r="D280" s="322"/>
      <c r="E280" s="323"/>
      <c r="F280" s="323"/>
      <c r="G280" s="323"/>
      <c r="H280" s="323"/>
      <c r="I280" s="323"/>
      <c r="J280" s="323"/>
    </row>
    <row r="281" spans="2:11" s="327" customFormat="1" ht="5.0999999999999996" customHeight="1">
      <c r="B281" s="325"/>
      <c r="C281" s="325"/>
      <c r="D281" s="325"/>
      <c r="E281" s="326"/>
      <c r="F281" s="326"/>
      <c r="G281" s="326"/>
      <c r="H281" s="326"/>
      <c r="I281" s="326"/>
      <c r="J281" s="326"/>
      <c r="K281" s="326"/>
    </row>
    <row r="282" spans="2:11" s="327" customFormat="1" ht="17.100000000000001" customHeight="1">
      <c r="B282" s="371"/>
      <c r="J282" s="372"/>
    </row>
    <row r="283" spans="2:11" s="332" customFormat="1" ht="69.95" customHeight="1">
      <c r="B283" s="329" t="s">
        <v>200</v>
      </c>
      <c r="C283" s="330"/>
      <c r="D283" s="330"/>
      <c r="E283" s="349" t="str">
        <f t="shared" ref="E283:J283" si="33">B272</f>
        <v>Residential Class</v>
      </c>
      <c r="F283" s="349" t="str">
        <f t="shared" si="33"/>
        <v>General Service Less than 50 kW Class</v>
      </c>
      <c r="G283" s="349" t="str">
        <f t="shared" si="33"/>
        <v>General Service Greater than or Equal to 50 kW Class</v>
      </c>
      <c r="H283" s="349" t="str">
        <f t="shared" si="33"/>
        <v>Streetlight Class</v>
      </c>
      <c r="I283" s="349" t="str">
        <f t="shared" si="33"/>
        <v>Sentinel Lighting Class</v>
      </c>
      <c r="J283" s="349" t="str">
        <f t="shared" si="33"/>
        <v>Unmetered Scattered Load Class</v>
      </c>
      <c r="K283" s="349" t="s">
        <v>208</v>
      </c>
    </row>
    <row r="284" spans="2:11" ht="17.100000000000001" customHeight="1">
      <c r="B284" s="335" t="s">
        <v>218</v>
      </c>
      <c r="C284" s="337"/>
      <c r="D284" s="337"/>
      <c r="E284" s="337"/>
      <c r="F284" s="337"/>
      <c r="G284" s="337"/>
      <c r="H284" s="337"/>
      <c r="I284" s="337"/>
      <c r="J284" s="337"/>
      <c r="K284" s="350"/>
    </row>
    <row r="285" spans="2:11" ht="17.100000000000001" customHeight="1">
      <c r="B285" s="335"/>
      <c r="C285" s="337"/>
      <c r="D285" s="337"/>
      <c r="E285" s="407"/>
      <c r="F285" s="407"/>
      <c r="G285" s="407"/>
      <c r="H285" s="407"/>
      <c r="I285" s="407"/>
      <c r="J285" s="407"/>
      <c r="K285" s="408"/>
    </row>
    <row r="286" spans="2:11" ht="17.100000000000001" customHeight="1">
      <c r="B286" s="335" t="s">
        <v>304</v>
      </c>
      <c r="C286" s="96"/>
      <c r="D286" s="96"/>
      <c r="E286" s="387">
        <f>E263</f>
        <v>110.64797894566755</v>
      </c>
      <c r="F286" s="387">
        <f t="shared" ref="F286:J287" si="34">F263</f>
        <v>49.38789828317018</v>
      </c>
      <c r="G286" s="387">
        <f t="shared" si="34"/>
        <v>156.94022799500979</v>
      </c>
      <c r="H286" s="387">
        <f t="shared" si="34"/>
        <v>2.5549398960323604</v>
      </c>
      <c r="I286" s="387">
        <f t="shared" si="34"/>
        <v>0.33830827593798568</v>
      </c>
      <c r="J286" s="387">
        <f t="shared" si="34"/>
        <v>0.8422653194990668</v>
      </c>
      <c r="K286" s="387">
        <f>SUM(E286:J286)</f>
        <v>320.71161871531694</v>
      </c>
    </row>
    <row r="287" spans="2:11" ht="17.100000000000001" customHeight="1">
      <c r="B287" s="335" t="s">
        <v>305</v>
      </c>
      <c r="C287" s="96"/>
      <c r="D287" s="96"/>
      <c r="E287" s="387">
        <f>E264</f>
        <v>111.48769861716082</v>
      </c>
      <c r="F287" s="387">
        <f t="shared" si="34"/>
        <v>49.478210412251144</v>
      </c>
      <c r="G287" s="387">
        <f t="shared" si="34"/>
        <v>157.75296720138741</v>
      </c>
      <c r="H287" s="387">
        <f t="shared" si="34"/>
        <v>2.5606505276226614</v>
      </c>
      <c r="I287" s="387">
        <f t="shared" si="34"/>
        <v>0.32477267703381385</v>
      </c>
      <c r="J287" s="387">
        <f t="shared" si="34"/>
        <v>0.82268849231465435</v>
      </c>
      <c r="K287" s="387">
        <f>SUM(E287:J287)</f>
        <v>322.42698792777054</v>
      </c>
    </row>
    <row r="288" spans="2:11" ht="17.100000000000001" customHeight="1">
      <c r="B288" s="374"/>
      <c r="C288" s="374"/>
      <c r="D288" s="374"/>
      <c r="E288" s="393"/>
      <c r="F288" s="393"/>
      <c r="G288" s="393"/>
      <c r="H288" s="393"/>
      <c r="I288" s="393"/>
      <c r="J288" s="393"/>
      <c r="K288" s="393"/>
    </row>
    <row r="289" spans="2:11" ht="17.100000000000001" customHeight="1">
      <c r="B289" s="335" t="s">
        <v>348</v>
      </c>
      <c r="C289" s="337"/>
      <c r="D289" s="337"/>
      <c r="E289" s="337"/>
      <c r="F289" s="337"/>
      <c r="G289" s="337"/>
      <c r="H289" s="337"/>
      <c r="I289" s="337"/>
      <c r="J289" s="337"/>
      <c r="K289" s="350"/>
    </row>
    <row r="290" spans="2:11" ht="17.100000000000001" customHeight="1">
      <c r="B290" s="335"/>
      <c r="C290" s="337"/>
      <c r="D290" s="337"/>
      <c r="E290" s="407"/>
      <c r="F290" s="407"/>
      <c r="G290" s="407"/>
      <c r="H290" s="407"/>
      <c r="I290" s="407"/>
      <c r="J290" s="407"/>
      <c r="K290" s="408"/>
    </row>
    <row r="291" spans="2:11" ht="17.100000000000001" customHeight="1">
      <c r="B291" s="335" t="s">
        <v>302</v>
      </c>
      <c r="C291" s="96"/>
      <c r="D291" s="96"/>
      <c r="E291" s="394">
        <f>'Rate Class Energy Model'!B72/1000000</f>
        <v>0</v>
      </c>
      <c r="F291" s="394">
        <f>'Rate Class Energy Model'!C72/1000000</f>
        <v>0</v>
      </c>
      <c r="G291" s="394">
        <f>-'Rate Class Energy Model'!D72/1000000</f>
        <v>-2.2048000000000001</v>
      </c>
      <c r="H291" s="394">
        <f>'Rate Class Energy Model'!F72/1000000</f>
        <v>0</v>
      </c>
      <c r="I291" s="394">
        <f>'Rate Class Energy Model'!G72/1000000</f>
        <v>0</v>
      </c>
      <c r="J291" s="394">
        <f>'Rate Class Energy Model'!H72/1000000</f>
        <v>0</v>
      </c>
      <c r="K291" s="395">
        <f>SUM(E291:J291)</f>
        <v>-2.2048000000000001</v>
      </c>
    </row>
    <row r="292" spans="2:11" ht="17.100000000000001" customHeight="1">
      <c r="B292" s="335" t="s">
        <v>303</v>
      </c>
      <c r="C292" s="96"/>
      <c r="D292" s="96"/>
      <c r="E292" s="394">
        <f>'Rate Class Energy Model'!B73/1000000</f>
        <v>0</v>
      </c>
      <c r="F292" s="394">
        <f>'Rate Class Energy Model'!C73/1000000</f>
        <v>0</v>
      </c>
      <c r="G292" s="394">
        <f>-'Rate Class Energy Model'!D73/1000000</f>
        <v>-4.4096000000000002</v>
      </c>
      <c r="H292" s="394">
        <f>'Rate Class Energy Model'!F73/1000000</f>
        <v>0</v>
      </c>
      <c r="I292" s="394">
        <f>'Rate Class Energy Model'!G73/1000000</f>
        <v>0</v>
      </c>
      <c r="J292" s="394">
        <f>'Rate Class Energy Model'!H73/1000000</f>
        <v>0</v>
      </c>
      <c r="K292" s="395">
        <f>SUM(E292:J292)</f>
        <v>-4.4096000000000002</v>
      </c>
    </row>
    <row r="293" spans="2:11" ht="17.100000000000001" customHeight="1">
      <c r="B293" s="374"/>
      <c r="C293" s="374"/>
      <c r="D293" s="374"/>
      <c r="E293" s="393"/>
      <c r="F293" s="393"/>
      <c r="G293" s="393"/>
      <c r="H293" s="393"/>
      <c r="I293" s="393"/>
      <c r="J293" s="393"/>
      <c r="K293" s="393"/>
    </row>
    <row r="294" spans="2:11" ht="17.100000000000001" customHeight="1">
      <c r="B294" s="335" t="s">
        <v>220</v>
      </c>
      <c r="C294" s="337"/>
      <c r="D294" s="337"/>
      <c r="E294" s="337"/>
      <c r="F294" s="337"/>
      <c r="G294" s="337"/>
      <c r="H294" s="337"/>
      <c r="I294" s="337"/>
      <c r="J294" s="337"/>
      <c r="K294" s="350"/>
    </row>
    <row r="295" spans="2:11" ht="17.100000000000001" customHeight="1">
      <c r="B295" s="335"/>
      <c r="C295" s="337"/>
      <c r="D295" s="337"/>
      <c r="E295" s="407"/>
      <c r="F295" s="407"/>
      <c r="G295" s="407"/>
      <c r="H295" s="407"/>
      <c r="I295" s="407"/>
      <c r="J295" s="407"/>
      <c r="K295" s="408"/>
    </row>
    <row r="296" spans="2:11" ht="17.100000000000001" customHeight="1">
      <c r="B296" s="335" t="s">
        <v>302</v>
      </c>
      <c r="C296" s="96"/>
      <c r="D296" s="96"/>
      <c r="E296" s="394">
        <f>'Rate Class Energy Model'!B64/1000000</f>
        <v>-2.6108743215803241</v>
      </c>
      <c r="F296" s="394">
        <f>'Rate Class Energy Model'!C64/1000000</f>
        <v>-1.1653678327705135</v>
      </c>
      <c r="G296" s="394">
        <f>'Rate Class Energy Model'!D64/1000000</f>
        <v>-2.2219179158961571</v>
      </c>
      <c r="H296" s="394">
        <f>'Rate Class Energy Model'!E64/1000000</f>
        <v>0</v>
      </c>
      <c r="I296" s="394">
        <f>'Rate Class Energy Model'!F64/1000000</f>
        <v>0</v>
      </c>
      <c r="J296" s="394">
        <f>'Rate Class Energy Model'!G64/1000000</f>
        <v>0</v>
      </c>
      <c r="K296" s="395">
        <f>SUM(E296:J296)</f>
        <v>-5.9981600702469944</v>
      </c>
    </row>
    <row r="297" spans="2:11" ht="17.100000000000001" customHeight="1">
      <c r="B297" s="335" t="s">
        <v>303</v>
      </c>
      <c r="C297" s="96"/>
      <c r="D297" s="96"/>
      <c r="E297" s="394">
        <f>'Rate Class Energy Model'!B65/1000000</f>
        <v>-2.8115353257080224</v>
      </c>
      <c r="F297" s="394">
        <f>'Rate Class Energy Model'!C65/1000000</f>
        <v>-1.247758615096626</v>
      </c>
      <c r="G297" s="394">
        <f>'Rate Class Energy Model'!D65/1000000</f>
        <v>-2.3869613178311107</v>
      </c>
      <c r="H297" s="394">
        <f>'Rate Class Energy Model'!E65/1000000</f>
        <v>0</v>
      </c>
      <c r="I297" s="394">
        <f>'Rate Class Energy Model'!F65/1000000</f>
        <v>0</v>
      </c>
      <c r="J297" s="394">
        <f>'Rate Class Energy Model'!G65/1000000</f>
        <v>0</v>
      </c>
      <c r="K297" s="395">
        <f>SUM(E297:J297)</f>
        <v>-6.4462552586357589</v>
      </c>
    </row>
    <row r="298" spans="2:11" ht="17.100000000000001" customHeight="1">
      <c r="B298" s="374"/>
      <c r="C298" s="374"/>
      <c r="D298" s="374"/>
      <c r="E298" s="393"/>
      <c r="F298" s="393"/>
      <c r="G298" s="393"/>
      <c r="H298" s="393"/>
      <c r="I298" s="393"/>
      <c r="J298" s="393"/>
      <c r="K298" s="393"/>
    </row>
    <row r="299" spans="2:11" ht="17.100000000000001" customHeight="1">
      <c r="B299" s="335" t="s">
        <v>221</v>
      </c>
      <c r="C299" s="337"/>
      <c r="D299" s="337"/>
      <c r="E299" s="337"/>
      <c r="F299" s="337"/>
      <c r="G299" s="337"/>
      <c r="H299" s="337"/>
      <c r="I299" s="337"/>
      <c r="J299" s="337"/>
      <c r="K299" s="350"/>
    </row>
    <row r="300" spans="2:11" ht="17.100000000000001" customHeight="1">
      <c r="B300" s="335"/>
      <c r="C300" s="337"/>
      <c r="D300" s="337"/>
      <c r="E300" s="407"/>
      <c r="F300" s="407"/>
      <c r="G300" s="407"/>
      <c r="H300" s="407"/>
      <c r="I300" s="407"/>
      <c r="J300" s="407"/>
      <c r="K300" s="408"/>
    </row>
    <row r="301" spans="2:11" ht="17.100000000000001" customHeight="1">
      <c r="B301" s="335" t="s">
        <v>302</v>
      </c>
      <c r="C301" s="96"/>
      <c r="D301" s="96"/>
      <c r="E301" s="394">
        <f t="shared" ref="E301:J302" si="35">E286+E291+E296</f>
        <v>108.03710462408722</v>
      </c>
      <c r="F301" s="394">
        <f t="shared" si="35"/>
        <v>48.222530450399667</v>
      </c>
      <c r="G301" s="394">
        <f t="shared" si="35"/>
        <v>152.51351007911362</v>
      </c>
      <c r="H301" s="394">
        <f t="shared" si="35"/>
        <v>2.5549398960323604</v>
      </c>
      <c r="I301" s="394">
        <f t="shared" si="35"/>
        <v>0.33830827593798568</v>
      </c>
      <c r="J301" s="394">
        <f t="shared" si="35"/>
        <v>0.8422653194990668</v>
      </c>
      <c r="K301" s="387">
        <f>SUM(E301:J301)</f>
        <v>312.50865864506989</v>
      </c>
    </row>
    <row r="302" spans="2:11" ht="17.100000000000001" customHeight="1">
      <c r="B302" s="335" t="s">
        <v>303</v>
      </c>
      <c r="C302" s="96"/>
      <c r="D302" s="96"/>
      <c r="E302" s="394">
        <f t="shared" si="35"/>
        <v>108.6761632914528</v>
      </c>
      <c r="F302" s="394">
        <f t="shared" si="35"/>
        <v>48.230451797154515</v>
      </c>
      <c r="G302" s="394">
        <f t="shared" si="35"/>
        <v>150.95640588355627</v>
      </c>
      <c r="H302" s="394">
        <f t="shared" si="35"/>
        <v>2.5606505276226614</v>
      </c>
      <c r="I302" s="394">
        <f t="shared" si="35"/>
        <v>0.32477267703381385</v>
      </c>
      <c r="J302" s="394">
        <f t="shared" si="35"/>
        <v>0.82268849231465435</v>
      </c>
      <c r="K302" s="387">
        <f>SUM(E302:J302)</f>
        <v>311.57113266913473</v>
      </c>
    </row>
    <row r="303" spans="2:11" ht="17.100000000000001" customHeight="1">
      <c r="B303" s="359"/>
      <c r="C303" s="359"/>
      <c r="D303" s="359"/>
      <c r="E303" s="396"/>
      <c r="F303" s="396"/>
      <c r="G303" s="396"/>
      <c r="H303" s="396"/>
      <c r="I303" s="396"/>
      <c r="J303" s="396"/>
      <c r="K303" s="388"/>
    </row>
    <row r="304" spans="2:11" ht="17.100000000000001" customHeight="1">
      <c r="B304" s="359"/>
      <c r="C304" s="359"/>
      <c r="D304" s="359"/>
      <c r="E304" s="396"/>
      <c r="F304" s="396"/>
      <c r="G304" s="396"/>
      <c r="H304" s="396"/>
      <c r="I304" s="396"/>
      <c r="J304" s="396"/>
      <c r="K304" s="388"/>
    </row>
    <row r="305" spans="2:11" ht="17.100000000000001" customHeight="1">
      <c r="B305" s="359"/>
      <c r="C305" s="359"/>
      <c r="D305" s="359"/>
      <c r="E305" s="396"/>
      <c r="F305" s="396"/>
      <c r="G305" s="396"/>
      <c r="H305" s="396"/>
      <c r="I305" s="396"/>
      <c r="J305" s="396"/>
      <c r="K305" s="388"/>
    </row>
    <row r="306" spans="2:11" ht="17.100000000000001" customHeight="1">
      <c r="B306" s="324"/>
      <c r="C306" s="324"/>
      <c r="D306" s="324"/>
    </row>
    <row r="307" spans="2:11" ht="17.100000000000001" customHeight="1">
      <c r="B307" s="322" t="s">
        <v>291</v>
      </c>
      <c r="C307" s="322"/>
      <c r="D307" s="322"/>
      <c r="E307" s="323"/>
      <c r="F307" s="323"/>
      <c r="G307" s="323"/>
      <c r="H307" s="323"/>
      <c r="I307" s="323"/>
      <c r="J307" s="323"/>
    </row>
    <row r="308" spans="2:11" s="327" customFormat="1" ht="5.0999999999999996" customHeight="1">
      <c r="B308" s="325"/>
      <c r="C308" s="325"/>
      <c r="D308" s="325"/>
      <c r="E308" s="326"/>
      <c r="F308" s="326"/>
      <c r="G308" s="326"/>
      <c r="H308" s="326"/>
    </row>
    <row r="309" spans="2:11" s="327" customFormat="1" ht="17.100000000000001" customHeight="1">
      <c r="B309" s="371"/>
      <c r="J309" s="372"/>
    </row>
    <row r="310" spans="2:11" s="332" customFormat="1" ht="69.95" customHeight="1">
      <c r="B310" s="397" t="s">
        <v>200</v>
      </c>
      <c r="C310" s="398"/>
      <c r="D310" s="398"/>
      <c r="E310" s="399" t="str">
        <f>G283</f>
        <v>General Service Greater than or Equal to 50 kW Class</v>
      </c>
      <c r="F310" s="399" t="str">
        <f>H283</f>
        <v>Streetlight Class</v>
      </c>
      <c r="G310" s="399" t="str">
        <f>I283</f>
        <v>Sentinel Lighting Class</v>
      </c>
      <c r="H310" s="399" t="str">
        <f>K283</f>
        <v>TOTAL</v>
      </c>
    </row>
    <row r="311" spans="2:11" ht="17.100000000000001" customHeight="1">
      <c r="B311" s="335" t="s">
        <v>306</v>
      </c>
      <c r="C311" s="337"/>
      <c r="D311" s="337"/>
      <c r="E311" s="337"/>
      <c r="F311" s="337"/>
      <c r="G311" s="337"/>
      <c r="H311" s="350"/>
    </row>
    <row r="312" spans="2:11" ht="17.100000000000001" customHeight="1">
      <c r="B312" s="409"/>
      <c r="C312" s="407"/>
      <c r="D312" s="407"/>
      <c r="E312" s="407"/>
      <c r="F312" s="407"/>
      <c r="G312" s="407"/>
      <c r="H312" s="408"/>
    </row>
    <row r="313" spans="2:11" ht="17.100000000000001" customHeight="1">
      <c r="B313" s="400">
        <f>'Rate Class Load Model'!A3</f>
        <v>1996</v>
      </c>
      <c r="C313" s="401"/>
      <c r="D313" s="401"/>
      <c r="E313" s="402">
        <f>'Rate Class Load Model'!B3</f>
        <v>380570</v>
      </c>
      <c r="F313" s="402">
        <f>'Rate Class Load Model'!D3</f>
        <v>6750</v>
      </c>
      <c r="G313" s="402">
        <f>'Rate Class Load Model'!E3</f>
        <v>1582</v>
      </c>
      <c r="H313" s="402">
        <f>SUM(E313:G313)</f>
        <v>388902</v>
      </c>
      <c r="I313" s="347"/>
    </row>
    <row r="314" spans="2:11" ht="17.100000000000001" customHeight="1">
      <c r="B314" s="333">
        <f>'Rate Class Load Model'!A4</f>
        <v>1997</v>
      </c>
      <c r="C314" s="96"/>
      <c r="D314" s="96"/>
      <c r="E314" s="352">
        <f>'Rate Class Load Model'!B4</f>
        <v>376940</v>
      </c>
      <c r="F314" s="352">
        <f>'Rate Class Load Model'!D4</f>
        <v>6781</v>
      </c>
      <c r="G314" s="352">
        <f>'Rate Class Load Model'!E4</f>
        <v>1566</v>
      </c>
      <c r="H314" s="352">
        <f t="shared" ref="H314:H321" si="36">SUM(E314:G314)</f>
        <v>385287</v>
      </c>
      <c r="I314" s="347"/>
    </row>
    <row r="315" spans="2:11" ht="17.100000000000001" customHeight="1">
      <c r="B315" s="333">
        <f>'Rate Class Load Model'!A5</f>
        <v>1998</v>
      </c>
      <c r="C315" s="96"/>
      <c r="D315" s="96"/>
      <c r="E315" s="352">
        <f>'Rate Class Load Model'!B5</f>
        <v>384000</v>
      </c>
      <c r="F315" s="352">
        <f>'Rate Class Load Model'!D5</f>
        <v>6792</v>
      </c>
      <c r="G315" s="352">
        <f>'Rate Class Load Model'!E5</f>
        <v>1554</v>
      </c>
      <c r="H315" s="352">
        <f t="shared" si="36"/>
        <v>392346</v>
      </c>
      <c r="I315" s="347"/>
    </row>
    <row r="316" spans="2:11" ht="17.100000000000001" customHeight="1">
      <c r="B316" s="333">
        <f>'Rate Class Load Model'!A6</f>
        <v>1999</v>
      </c>
      <c r="C316" s="96"/>
      <c r="D316" s="96"/>
      <c r="E316" s="352">
        <f>'Rate Class Load Model'!B6</f>
        <v>389697</v>
      </c>
      <c r="F316" s="352">
        <f>'Rate Class Load Model'!D6</f>
        <v>6783</v>
      </c>
      <c r="G316" s="352">
        <f>'Rate Class Load Model'!E6</f>
        <v>1495</v>
      </c>
      <c r="H316" s="352">
        <f t="shared" si="36"/>
        <v>397975</v>
      </c>
      <c r="I316" s="347"/>
    </row>
    <row r="317" spans="2:11" ht="17.100000000000001" customHeight="1">
      <c r="B317" s="333">
        <f>'Rate Class Load Model'!A7</f>
        <v>2000</v>
      </c>
      <c r="C317" s="96"/>
      <c r="D317" s="96"/>
      <c r="E317" s="352">
        <f>'Rate Class Load Model'!B7</f>
        <v>397889</v>
      </c>
      <c r="F317" s="352">
        <f>'Rate Class Load Model'!D7</f>
        <v>6846</v>
      </c>
      <c r="G317" s="352">
        <f>'Rate Class Load Model'!E7</f>
        <v>1517</v>
      </c>
      <c r="H317" s="352">
        <f t="shared" si="36"/>
        <v>406252</v>
      </c>
      <c r="I317" s="347"/>
    </row>
    <row r="318" spans="2:11" ht="17.100000000000001" customHeight="1">
      <c r="B318" s="333">
        <f>'Rate Class Load Model'!A8</f>
        <v>2001</v>
      </c>
      <c r="C318" s="96"/>
      <c r="D318" s="96"/>
      <c r="E318" s="352">
        <f>'Rate Class Load Model'!B8</f>
        <v>410390</v>
      </c>
      <c r="F318" s="352">
        <f>'Rate Class Load Model'!D8</f>
        <v>6897</v>
      </c>
      <c r="G318" s="352">
        <f>'Rate Class Load Model'!E8</f>
        <v>1506</v>
      </c>
      <c r="H318" s="352">
        <f t="shared" si="36"/>
        <v>418793</v>
      </c>
      <c r="I318" s="347"/>
    </row>
    <row r="319" spans="2:11" ht="17.100000000000001" customHeight="1">
      <c r="B319" s="333">
        <f>'Rate Class Load Model'!A9</f>
        <v>2002</v>
      </c>
      <c r="C319" s="96"/>
      <c r="D319" s="96"/>
      <c r="E319" s="352">
        <f>'Rate Class Load Model'!B9</f>
        <v>400427</v>
      </c>
      <c r="F319" s="352">
        <f>'Rate Class Load Model'!D9</f>
        <v>6352</v>
      </c>
      <c r="G319" s="352">
        <f>'Rate Class Load Model'!E9</f>
        <v>1222</v>
      </c>
      <c r="H319" s="352">
        <f t="shared" si="36"/>
        <v>408001</v>
      </c>
      <c r="I319" s="347"/>
    </row>
    <row r="320" spans="2:11" ht="17.100000000000001" customHeight="1">
      <c r="B320" s="333">
        <f>'Rate Class Load Model'!A10</f>
        <v>2003</v>
      </c>
      <c r="C320" s="96"/>
      <c r="D320" s="96"/>
      <c r="E320" s="352">
        <f>'Rate Class Load Model'!B10</f>
        <v>424930</v>
      </c>
      <c r="F320" s="352">
        <f>'Rate Class Load Model'!D10</f>
        <v>6981</v>
      </c>
      <c r="G320" s="352">
        <f>'Rate Class Load Model'!E10</f>
        <v>1376</v>
      </c>
      <c r="H320" s="352">
        <f t="shared" si="36"/>
        <v>433287</v>
      </c>
      <c r="I320" s="347"/>
    </row>
    <row r="321" spans="2:9" ht="17.100000000000001" customHeight="1">
      <c r="B321" s="333">
        <f>'Rate Class Load Model'!A11</f>
        <v>2004</v>
      </c>
      <c r="C321" s="96"/>
      <c r="D321" s="96"/>
      <c r="E321" s="352">
        <f>'Rate Class Load Model'!B11</f>
        <v>391840</v>
      </c>
      <c r="F321" s="352">
        <f>'Rate Class Load Model'!D11</f>
        <v>7006</v>
      </c>
      <c r="G321" s="352">
        <f>'Rate Class Load Model'!E11</f>
        <v>1273</v>
      </c>
      <c r="H321" s="352">
        <f t="shared" si="36"/>
        <v>400119</v>
      </c>
      <c r="I321" s="347"/>
    </row>
    <row r="322" spans="2:9" ht="17.100000000000001" customHeight="1">
      <c r="B322" s="333">
        <f>'Rate Class Load Model'!A12</f>
        <v>2005</v>
      </c>
      <c r="C322" s="96"/>
      <c r="D322" s="96"/>
      <c r="E322" s="352">
        <f>'Rate Class Load Model'!B12</f>
        <v>405678</v>
      </c>
      <c r="F322" s="352">
        <f>'Rate Class Load Model'!D12</f>
        <v>7036</v>
      </c>
      <c r="G322" s="352">
        <f>'Rate Class Load Model'!E12</f>
        <v>1208</v>
      </c>
      <c r="H322" s="352">
        <f>SUM(E322:G322)</f>
        <v>413922</v>
      </c>
      <c r="I322" s="347"/>
    </row>
    <row r="323" spans="2:9" ht="17.100000000000001" customHeight="1">
      <c r="B323" s="333">
        <f>'Rate Class Load Model'!A13</f>
        <v>2006</v>
      </c>
      <c r="C323" s="96"/>
      <c r="D323" s="96"/>
      <c r="E323" s="352">
        <f>'Rate Class Load Model'!B13</f>
        <v>407943</v>
      </c>
      <c r="F323" s="352">
        <f>'Rate Class Load Model'!D13</f>
        <v>7045</v>
      </c>
      <c r="G323" s="352">
        <f>'Rate Class Load Model'!E13</f>
        <v>1195</v>
      </c>
      <c r="H323" s="352">
        <f>SUM(E323:G323)</f>
        <v>416183</v>
      </c>
      <c r="I323" s="347"/>
    </row>
    <row r="324" spans="2:9" ht="17.100000000000001" customHeight="1">
      <c r="B324" s="333">
        <f>'Rate Class Load Model'!A14</f>
        <v>2007</v>
      </c>
      <c r="C324" s="96"/>
      <c r="D324" s="96"/>
      <c r="E324" s="352">
        <f>'Rate Class Load Model'!B14</f>
        <v>409427</v>
      </c>
      <c r="F324" s="352">
        <f>'Rate Class Load Model'!D14</f>
        <v>7076</v>
      </c>
      <c r="G324" s="352">
        <f>'Rate Class Load Model'!E14</f>
        <v>1029</v>
      </c>
      <c r="H324" s="352">
        <f>SUM(E324:G324)</f>
        <v>417532</v>
      </c>
      <c r="I324" s="347"/>
    </row>
    <row r="325" spans="2:9" ht="17.100000000000001" customHeight="1">
      <c r="B325" s="333">
        <f>'Rate Class Load Model'!A15</f>
        <v>2008</v>
      </c>
      <c r="C325" s="96"/>
      <c r="D325" s="96"/>
      <c r="E325" s="352">
        <f>'Rate Class Load Model'!B15</f>
        <v>396778</v>
      </c>
      <c r="F325" s="352">
        <f>'Rate Class Load Model'!D15</f>
        <v>7084</v>
      </c>
      <c r="G325" s="352">
        <f>'Rate Class Load Model'!E15</f>
        <v>979</v>
      </c>
      <c r="H325" s="352">
        <f>SUM(E325:G325)</f>
        <v>404841</v>
      </c>
      <c r="I325" s="347"/>
    </row>
    <row r="326" spans="2:9" ht="17.100000000000001" customHeight="1">
      <c r="B326" s="359"/>
      <c r="C326" s="359"/>
      <c r="D326" s="359"/>
      <c r="E326" s="386"/>
      <c r="F326" s="386"/>
      <c r="G326" s="386"/>
      <c r="H326" s="386"/>
    </row>
    <row r="327" spans="2:9" ht="17.100000000000001" customHeight="1">
      <c r="B327" s="359"/>
      <c r="C327" s="359"/>
      <c r="D327" s="359"/>
      <c r="E327" s="386"/>
      <c r="F327" s="386"/>
      <c r="G327" s="386"/>
      <c r="H327" s="386"/>
    </row>
    <row r="328" spans="2:9" ht="17.100000000000001" customHeight="1">
      <c r="B328" s="324"/>
      <c r="C328" s="324"/>
      <c r="D328" s="324"/>
    </row>
    <row r="329" spans="2:9" ht="17.100000000000001" customHeight="1">
      <c r="B329" s="324"/>
      <c r="C329" s="324"/>
      <c r="D329" s="324"/>
    </row>
    <row r="330" spans="2:9" ht="17.100000000000001" customHeight="1">
      <c r="B330" s="322" t="s">
        <v>292</v>
      </c>
      <c r="C330" s="322"/>
      <c r="D330" s="322"/>
      <c r="E330" s="323"/>
      <c r="F330" s="323"/>
      <c r="G330" s="323"/>
      <c r="H330" s="323"/>
    </row>
    <row r="331" spans="2:9" s="327" customFormat="1" ht="5.0999999999999996" customHeight="1">
      <c r="B331" s="325"/>
      <c r="C331" s="325"/>
      <c r="D331" s="325"/>
      <c r="E331" s="326"/>
      <c r="F331" s="326"/>
      <c r="G331" s="326"/>
    </row>
    <row r="332" spans="2:9" s="327" customFormat="1" ht="17.100000000000001" customHeight="1">
      <c r="B332" s="371"/>
    </row>
    <row r="333" spans="2:9" s="332" customFormat="1" ht="69.95" customHeight="1">
      <c r="B333" s="329" t="s">
        <v>200</v>
      </c>
      <c r="C333" s="330"/>
      <c r="D333" s="330"/>
      <c r="E333" s="349" t="str">
        <f>E310</f>
        <v>General Service Greater than or Equal to 50 kW Class</v>
      </c>
      <c r="F333" s="349" t="str">
        <f>F310</f>
        <v>Streetlight Class</v>
      </c>
      <c r="G333" s="349" t="str">
        <f>G310</f>
        <v>Sentinel Lighting Class</v>
      </c>
    </row>
    <row r="334" spans="2:9" ht="17.100000000000001" customHeight="1">
      <c r="B334" s="335" t="s">
        <v>307</v>
      </c>
      <c r="C334" s="337"/>
      <c r="D334" s="337"/>
      <c r="E334" s="337"/>
      <c r="F334" s="337"/>
      <c r="G334" s="350"/>
    </row>
    <row r="335" spans="2:9" ht="17.100000000000001" customHeight="1">
      <c r="B335" s="335"/>
      <c r="C335" s="337"/>
      <c r="D335" s="337"/>
      <c r="E335" s="337"/>
      <c r="F335" s="337"/>
      <c r="G335" s="350"/>
    </row>
    <row r="336" spans="2:9" ht="17.100000000000001" customHeight="1">
      <c r="B336" s="333">
        <f>'Rate Class Load Model'!A20</f>
        <v>1996</v>
      </c>
      <c r="C336" s="96"/>
      <c r="D336" s="96"/>
      <c r="E336" s="403">
        <f>'Rate Class Load Model'!B20</f>
        <v>2.6563132546939343E-3</v>
      </c>
      <c r="F336" s="403">
        <f>'Rate Class Load Model'!D20</f>
        <v>2.7810737736552365E-3</v>
      </c>
      <c r="G336" s="403">
        <f>'Rate Class Load Model'!E20</f>
        <v>2.7778363078306187E-3</v>
      </c>
    </row>
    <row r="337" spans="2:7" ht="17.100000000000001" customHeight="1">
      <c r="B337" s="333">
        <f>'Rate Class Load Model'!A21</f>
        <v>1997</v>
      </c>
      <c r="C337" s="96"/>
      <c r="D337" s="96"/>
      <c r="E337" s="403">
        <f>'Rate Class Load Model'!B21</f>
        <v>2.6309764779786416E-3</v>
      </c>
      <c r="F337" s="403">
        <f>'Rate Class Load Model'!D21</f>
        <v>2.7810829140683031E-3</v>
      </c>
      <c r="G337" s="403">
        <f>'Rate Class Load Model'!E21</f>
        <v>2.7780586585489167E-3</v>
      </c>
    </row>
    <row r="338" spans="2:7" ht="17.100000000000001" customHeight="1">
      <c r="B338" s="333">
        <f>'Rate Class Load Model'!A22</f>
        <v>1998</v>
      </c>
      <c r="C338" s="96"/>
      <c r="D338" s="96"/>
      <c r="E338" s="403">
        <f>'Rate Class Load Model'!B22</f>
        <v>2.6802540657499827E-3</v>
      </c>
      <c r="F338" s="403">
        <f>'Rate Class Load Model'!D22</f>
        <v>2.7813267813267812E-3</v>
      </c>
      <c r="G338" s="403">
        <f>'Rate Class Load Model'!E22</f>
        <v>2.7780657940369908E-3</v>
      </c>
    </row>
    <row r="339" spans="2:7" ht="17.100000000000001" customHeight="1">
      <c r="B339" s="333">
        <f>'Rate Class Load Model'!A23</f>
        <v>1999</v>
      </c>
      <c r="C339" s="96"/>
      <c r="D339" s="96"/>
      <c r="E339" s="403">
        <f>'Rate Class Load Model'!B23</f>
        <v>2.7200947780647968E-3</v>
      </c>
      <c r="F339" s="403">
        <f>'Rate Class Load Model'!D23</f>
        <v>2.7776526521402626E-3</v>
      </c>
      <c r="G339" s="403">
        <f>'Rate Class Load Model'!E23</f>
        <v>2.7774836184201969E-3</v>
      </c>
    </row>
    <row r="340" spans="2:7" ht="17.100000000000001" customHeight="1">
      <c r="B340" s="333">
        <f>'Rate Class Load Model'!A24</f>
        <v>2000</v>
      </c>
      <c r="C340" s="96"/>
      <c r="D340" s="96"/>
      <c r="E340" s="403">
        <f>'Rate Class Load Model'!B24</f>
        <v>2.648342499761838E-3</v>
      </c>
      <c r="F340" s="403">
        <f>'Rate Class Load Model'!D24</f>
        <v>2.7798576855796609E-3</v>
      </c>
      <c r="G340" s="403">
        <f>'Rate Class Load Model'!E24</f>
        <v>2.7769387773781086E-3</v>
      </c>
    </row>
    <row r="341" spans="2:7" ht="17.100000000000001" customHeight="1">
      <c r="B341" s="333">
        <f>'Rate Class Load Model'!A25</f>
        <v>2001</v>
      </c>
      <c r="C341" s="96"/>
      <c r="D341" s="96"/>
      <c r="E341" s="403">
        <f>'Rate Class Load Model'!B25</f>
        <v>2.698301583865467E-3</v>
      </c>
      <c r="F341" s="403">
        <f>'Rate Class Load Model'!D25</f>
        <v>2.7874302536209919E-3</v>
      </c>
      <c r="G341" s="403">
        <f>'Rate Class Load Model'!E25</f>
        <v>2.7785413949163395E-3</v>
      </c>
    </row>
    <row r="342" spans="2:7" ht="17.100000000000001" customHeight="1">
      <c r="B342" s="333">
        <f>'Rate Class Load Model'!A26</f>
        <v>2002</v>
      </c>
      <c r="C342" s="96"/>
      <c r="D342" s="96"/>
      <c r="E342" s="403">
        <f>'Rate Class Load Model'!B26</f>
        <v>2.5789598962580925E-3</v>
      </c>
      <c r="F342" s="403">
        <f>'Rate Class Load Model'!D26</f>
        <v>2.6078841692152247E-3</v>
      </c>
      <c r="G342" s="403">
        <f>'Rate Class Load Model'!E26</f>
        <v>2.5222242633020499E-3</v>
      </c>
    </row>
    <row r="343" spans="2:7" ht="17.100000000000001" customHeight="1">
      <c r="B343" s="333">
        <f>'Rate Class Load Model'!A27</f>
        <v>2003</v>
      </c>
      <c r="C343" s="96"/>
      <c r="D343" s="96"/>
      <c r="E343" s="403">
        <f>'Rate Class Load Model'!B27</f>
        <v>2.7755171747915436E-3</v>
      </c>
      <c r="F343" s="403">
        <f>'Rate Class Load Model'!D27</f>
        <v>2.8021863556283964E-3</v>
      </c>
      <c r="G343" s="403">
        <f>'Rate Class Load Model'!E27</f>
        <v>2.7782937722606749E-3</v>
      </c>
    </row>
    <row r="344" spans="2:7" ht="17.100000000000001" customHeight="1">
      <c r="B344" s="333">
        <f>'Rate Class Load Model'!A28</f>
        <v>2004</v>
      </c>
      <c r="C344" s="96"/>
      <c r="D344" s="96"/>
      <c r="E344" s="403">
        <f>'Rate Class Load Model'!B28</f>
        <v>2.5349435244411927E-3</v>
      </c>
      <c r="F344" s="403">
        <f>'Rate Class Load Model'!D28</f>
        <v>2.7838473278681553E-3</v>
      </c>
      <c r="G344" s="403">
        <f>'Rate Class Load Model'!E28</f>
        <v>2.7695527596537299E-3</v>
      </c>
    </row>
    <row r="345" spans="2:7" ht="17.100000000000001" customHeight="1">
      <c r="B345" s="333">
        <f>'Rate Class Load Model'!A29</f>
        <v>2005</v>
      </c>
      <c r="C345" s="96"/>
      <c r="D345" s="96"/>
      <c r="E345" s="403">
        <f>'Rate Class Load Model'!B29</f>
        <v>2.5788266973574493E-3</v>
      </c>
      <c r="F345" s="403">
        <f>'Rate Class Load Model'!D29</f>
        <v>2.7916569293281496E-3</v>
      </c>
      <c r="G345" s="403">
        <f>'Rate Class Load Model'!E29</f>
        <v>2.7789152108800971E-3</v>
      </c>
    </row>
    <row r="346" spans="2:7" ht="17.100000000000001" customHeight="1">
      <c r="B346" s="333">
        <f>'Rate Class Load Model'!A30</f>
        <v>2006</v>
      </c>
      <c r="C346" s="96"/>
      <c r="D346" s="96"/>
      <c r="E346" s="403">
        <f>'Rate Class Load Model'!B30</f>
        <v>2.5777439136222906E-3</v>
      </c>
      <c r="F346" s="403">
        <f>'Rate Class Load Model'!D30</f>
        <v>2.7916424288438281E-3</v>
      </c>
      <c r="G346" s="403">
        <f>'Rate Class Load Model'!E30</f>
        <v>2.7788952786685487E-3</v>
      </c>
    </row>
    <row r="347" spans="2:7" ht="17.100000000000001" customHeight="1">
      <c r="B347" s="333">
        <f>'Rate Class Load Model'!A31</f>
        <v>2007</v>
      </c>
      <c r="C347" s="96"/>
      <c r="D347" s="96"/>
      <c r="E347" s="403">
        <f>'Rate Class Load Model'!B31</f>
        <v>2.5835953147500062E-3</v>
      </c>
      <c r="F347" s="403">
        <f>'Rate Class Load Model'!D31</f>
        <v>2.7923756621335946E-3</v>
      </c>
      <c r="G347" s="403">
        <f>'Rate Class Load Model'!E31</f>
        <v>2.7764586526215812E-3</v>
      </c>
    </row>
    <row r="348" spans="2:7" ht="17.100000000000001" customHeight="1">
      <c r="B348" s="333">
        <f>'Rate Class Load Model'!A32</f>
        <v>2008</v>
      </c>
      <c r="C348" s="96"/>
      <c r="D348" s="96"/>
      <c r="E348" s="403">
        <f>'Rate Class Load Model'!B32</f>
        <v>2.5413036621729471E-3</v>
      </c>
      <c r="F348" s="403">
        <f>'Rate Class Load Model'!D32</f>
        <v>2.7788652470028346E-3</v>
      </c>
      <c r="G348" s="403">
        <f>'Rate Class Load Model'!E32</f>
        <v>2.7780300106694513E-3</v>
      </c>
    </row>
    <row r="349" spans="2:7" ht="17.100000000000001" customHeight="1">
      <c r="B349" s="335" t="str">
        <f>'Rate Class Load Model'!A34</f>
        <v>Average</v>
      </c>
      <c r="C349" s="337"/>
      <c r="D349" s="337"/>
      <c r="E349" s="404">
        <f>'Rate Class Load Model'!B34</f>
        <v>2.6311671418083214E-3</v>
      </c>
      <c r="F349" s="404">
        <f>'Rate Class Load Model'!D34</f>
        <v>2.7720678600316479E-3</v>
      </c>
      <c r="G349" s="404">
        <f>'Rate Class Load Model'!E34</f>
        <v>2.7576380383990242E-3</v>
      </c>
    </row>
    <row r="350" spans="2:7" ht="17.100000000000001" customHeight="1">
      <c r="B350" s="359"/>
      <c r="C350" s="359"/>
      <c r="D350" s="359"/>
      <c r="E350" s="405"/>
      <c r="F350" s="405"/>
      <c r="G350" s="405"/>
    </row>
    <row r="351" spans="2:7" ht="17.100000000000001" customHeight="1">
      <c r="B351" s="359"/>
      <c r="C351" s="359"/>
      <c r="D351" s="359"/>
      <c r="E351" s="405"/>
      <c r="F351" s="405"/>
      <c r="G351" s="405"/>
    </row>
    <row r="352" spans="2:7" ht="17.100000000000001" customHeight="1">
      <c r="B352" s="359"/>
      <c r="C352" s="359"/>
      <c r="D352" s="359"/>
      <c r="E352" s="405"/>
      <c r="F352" s="405"/>
      <c r="G352" s="405"/>
    </row>
    <row r="353" spans="2:46" ht="17.100000000000001" customHeight="1">
      <c r="B353" s="324"/>
      <c r="C353" s="324"/>
      <c r="D353" s="324"/>
    </row>
    <row r="354" spans="2:46" ht="17.100000000000001" customHeight="1">
      <c r="B354" s="322" t="s">
        <v>293</v>
      </c>
      <c r="C354" s="322"/>
      <c r="D354" s="322"/>
      <c r="E354" s="323"/>
      <c r="F354" s="323"/>
      <c r="G354" s="323"/>
    </row>
    <row r="355" spans="2:46" s="327" customFormat="1" ht="5.0999999999999996" customHeight="1">
      <c r="B355" s="325"/>
      <c r="C355" s="325"/>
      <c r="D355" s="325"/>
      <c r="E355" s="326"/>
      <c r="F355" s="326"/>
      <c r="G355" s="326"/>
      <c r="H355" s="326"/>
    </row>
    <row r="356" spans="2:46" s="327" customFormat="1" ht="17.100000000000001" customHeight="1">
      <c r="B356" s="371"/>
    </row>
    <row r="357" spans="2:46" s="332" customFormat="1" ht="69.95" customHeight="1">
      <c r="B357" s="329" t="s">
        <v>200</v>
      </c>
      <c r="C357" s="330"/>
      <c r="D357" s="330"/>
      <c r="E357" s="349" t="str">
        <f>E333</f>
        <v>General Service Greater than or Equal to 50 kW Class</v>
      </c>
      <c r="F357" s="349" t="str">
        <f>F333</f>
        <v>Streetlight Class</v>
      </c>
      <c r="G357" s="349" t="str">
        <f>G333</f>
        <v>Sentinel Lighting Class</v>
      </c>
      <c r="H357" s="349" t="str">
        <f>H310</f>
        <v>TOTAL</v>
      </c>
    </row>
    <row r="358" spans="2:46" ht="17.100000000000001" customHeight="1">
      <c r="B358" s="335" t="s">
        <v>308</v>
      </c>
      <c r="C358" s="337"/>
      <c r="D358" s="337"/>
      <c r="E358" s="337"/>
      <c r="F358" s="337"/>
      <c r="G358" s="337"/>
      <c r="H358" s="350"/>
    </row>
    <row r="359" spans="2:46" ht="17.100000000000001" customHeight="1">
      <c r="B359" s="335"/>
      <c r="C359" s="337"/>
      <c r="D359" s="337"/>
      <c r="E359" s="337"/>
      <c r="F359" s="337"/>
      <c r="G359" s="337"/>
      <c r="H359" s="350"/>
    </row>
    <row r="360" spans="2:46" ht="17.100000000000001" customHeight="1">
      <c r="B360" s="335" t="s">
        <v>302</v>
      </c>
      <c r="C360" s="96"/>
      <c r="D360" s="96"/>
      <c r="E360" s="373">
        <f>'Rate Class Load Model'!B16</f>
        <v>401288.53640201601</v>
      </c>
      <c r="F360" s="373">
        <f>'Rate Class Load Model'!D16</f>
        <v>7082.4667701039061</v>
      </c>
      <c r="G360" s="373">
        <f>'Rate Class Load Model'!E16</f>
        <v>932.93177043178264</v>
      </c>
      <c r="H360" s="373">
        <f>SUM(E360:G360)</f>
        <v>409303.93494255171</v>
      </c>
      <c r="I360" s="347"/>
    </row>
    <row r="361" spans="2:46" ht="17.100000000000001" customHeight="1">
      <c r="B361" s="335" t="s">
        <v>303</v>
      </c>
      <c r="C361" s="96"/>
      <c r="D361" s="96"/>
      <c r="E361" s="373">
        <f>'Rate Class Load Model'!B17</f>
        <v>397191.53500629374</v>
      </c>
      <c r="F361" s="373">
        <f>'Rate Class Load Model'!D17</f>
        <v>7098.2970283958612</v>
      </c>
      <c r="G361" s="373">
        <f>'Rate Class Load Model'!E17</f>
        <v>895.60548802112623</v>
      </c>
      <c r="H361" s="373">
        <f>SUM(E361:G361)</f>
        <v>405185.43752271071</v>
      </c>
    </row>
    <row r="362" spans="2:46" ht="17.100000000000001" customHeight="1">
      <c r="B362" s="324"/>
      <c r="C362" s="324"/>
      <c r="D362" s="324"/>
    </row>
    <row r="364" spans="2:46" ht="17.100000000000001" customHeight="1">
      <c r="AR364" s="347"/>
      <c r="AS364" s="347"/>
      <c r="AT364" s="347"/>
    </row>
    <row r="365" spans="2:46" ht="17.100000000000001" customHeight="1">
      <c r="B365" s="322" t="s">
        <v>349</v>
      </c>
      <c r="C365" s="322"/>
      <c r="D365" s="322"/>
      <c r="E365" s="323"/>
      <c r="F365" s="323"/>
      <c r="G365" s="323"/>
      <c r="AQ365" s="347"/>
      <c r="AR365" s="347"/>
      <c r="AS365" s="347"/>
      <c r="AT365" s="347"/>
    </row>
    <row r="366" spans="2:46" ht="5.0999999999999996" customHeight="1">
      <c r="B366" s="325"/>
      <c r="C366" s="325"/>
      <c r="D366" s="325"/>
      <c r="E366" s="326"/>
      <c r="F366" s="326"/>
      <c r="G366" s="326"/>
      <c r="H366" s="326"/>
      <c r="I366" s="326"/>
      <c r="J366" s="326"/>
    </row>
    <row r="367" spans="2:46" ht="17.100000000000001" customHeight="1">
      <c r="B367" s="328"/>
      <c r="C367" s="328"/>
      <c r="D367" s="328"/>
      <c r="E367" s="327"/>
      <c r="F367" s="327"/>
      <c r="G367" s="327"/>
      <c r="H367" s="327"/>
      <c r="I367" s="327"/>
      <c r="J367" s="327"/>
      <c r="AQ367" s="347"/>
      <c r="AR367" s="347"/>
      <c r="AS367" s="347"/>
      <c r="AT367" s="347"/>
    </row>
    <row r="368" spans="2:46" ht="60" customHeight="1">
      <c r="B368" s="329"/>
      <c r="C368" s="330"/>
      <c r="D368" s="330"/>
      <c r="E368" s="331" t="s">
        <v>279</v>
      </c>
      <c r="F368" s="331" t="s">
        <v>71</v>
      </c>
      <c r="G368" s="331" t="s">
        <v>72</v>
      </c>
      <c r="H368" s="331" t="s">
        <v>225</v>
      </c>
      <c r="I368" s="331" t="s">
        <v>271</v>
      </c>
      <c r="J368" s="331" t="s">
        <v>272</v>
      </c>
    </row>
    <row r="369" spans="2:10" ht="17.100000000000001" customHeight="1">
      <c r="B369" s="333"/>
      <c r="C369" s="96"/>
      <c r="D369" s="96"/>
      <c r="E369" s="365"/>
      <c r="F369" s="334"/>
      <c r="G369" s="334"/>
      <c r="H369" s="334"/>
      <c r="I369" s="334"/>
      <c r="J369" s="410"/>
    </row>
    <row r="370" spans="2:10" ht="17.100000000000001" customHeight="1">
      <c r="B370" s="335" t="s">
        <v>274</v>
      </c>
      <c r="C370" s="96"/>
      <c r="D370" s="96"/>
      <c r="E370" s="365"/>
      <c r="F370" s="334"/>
      <c r="G370" s="334"/>
      <c r="H370" s="334"/>
      <c r="I370" s="334"/>
      <c r="J370" s="410"/>
    </row>
    <row r="371" spans="2:10" ht="17.100000000000001" customHeight="1">
      <c r="B371" s="333" t="s">
        <v>75</v>
      </c>
      <c r="C371" s="96"/>
      <c r="D371" s="96"/>
      <c r="E371" s="365">
        <f>Summary!I7</f>
        <v>329583057.43000001</v>
      </c>
      <c r="F371" s="334">
        <f>Summary!K7</f>
        <v>339836661.57000005</v>
      </c>
      <c r="G371" s="334">
        <f>Summary!L7</f>
        <v>340350915</v>
      </c>
      <c r="H371" s="334">
        <f>Summary!M7</f>
        <v>337342212</v>
      </c>
      <c r="I371" s="334"/>
      <c r="J371" s="410"/>
    </row>
    <row r="372" spans="2:10" ht="17.100000000000001" customHeight="1">
      <c r="B372" s="333" t="s">
        <v>275</v>
      </c>
      <c r="C372" s="96"/>
      <c r="D372" s="96"/>
      <c r="E372" s="365">
        <f>Summary!I8</f>
        <v>330620504.72542536</v>
      </c>
      <c r="F372" s="334">
        <f>Summary!K8</f>
        <v>337109848.359218</v>
      </c>
      <c r="G372" s="334">
        <f>Summary!L8</f>
        <v>342278128.91195983</v>
      </c>
      <c r="H372" s="334">
        <f>Summary!M8</f>
        <v>339502489.10932589</v>
      </c>
      <c r="I372" s="334">
        <f>Summary!N8</f>
        <v>331040422</v>
      </c>
      <c r="J372" s="410">
        <f>Summary!O8</f>
        <v>330047301</v>
      </c>
    </row>
    <row r="373" spans="2:10" ht="17.100000000000001" customHeight="1">
      <c r="B373" s="333" t="s">
        <v>223</v>
      </c>
      <c r="C373" s="96"/>
      <c r="D373" s="96"/>
      <c r="E373" s="413"/>
      <c r="F373" s="336">
        <f>Summary!K10</f>
        <v>0</v>
      </c>
      <c r="G373" s="336">
        <f>Summary!L10</f>
        <v>0</v>
      </c>
      <c r="H373" s="336">
        <f>Summary!M10</f>
        <v>0</v>
      </c>
      <c r="I373" s="334">
        <f>Summary!N10</f>
        <v>0</v>
      </c>
      <c r="J373" s="410">
        <f>Summary!O10</f>
        <v>0</v>
      </c>
    </row>
    <row r="374" spans="2:10" ht="17.100000000000001" customHeight="1">
      <c r="B374" s="333" t="s">
        <v>276</v>
      </c>
      <c r="C374" s="96"/>
      <c r="D374" s="96"/>
      <c r="E374" s="365">
        <f t="shared" ref="E374:J374" si="37">E372-E373</f>
        <v>330620504.72542536</v>
      </c>
      <c r="F374" s="334">
        <f t="shared" si="37"/>
        <v>337109848.359218</v>
      </c>
      <c r="G374" s="334">
        <f t="shared" si="37"/>
        <v>342278128.91195983</v>
      </c>
      <c r="H374" s="334">
        <f t="shared" si="37"/>
        <v>339502489.10932589</v>
      </c>
      <c r="I374" s="334">
        <f t="shared" si="37"/>
        <v>331040422</v>
      </c>
      <c r="J374" s="410">
        <f t="shared" si="37"/>
        <v>330047301</v>
      </c>
    </row>
    <row r="375" spans="2:10" ht="17.100000000000001" customHeight="1">
      <c r="B375" s="335" t="s">
        <v>277</v>
      </c>
      <c r="C375" s="337"/>
      <c r="D375" s="337"/>
      <c r="E375" s="414">
        <f>E374/E371-1</f>
        <v>3.1477567552018471E-3</v>
      </c>
      <c r="F375" s="338">
        <f>F374/F371-1</f>
        <v>-8.0238935910696974E-3</v>
      </c>
      <c r="G375" s="339">
        <f>G374/G371-1</f>
        <v>5.6624319989262428E-3</v>
      </c>
      <c r="H375" s="339">
        <f>H374/H371-1</f>
        <v>6.4038149762470908E-3</v>
      </c>
      <c r="I375" s="340"/>
      <c r="J375" s="411"/>
    </row>
    <row r="376" spans="2:10" ht="17.100000000000001" customHeight="1">
      <c r="B376" s="333"/>
      <c r="C376" s="96"/>
      <c r="D376" s="96"/>
      <c r="E376" s="351"/>
      <c r="F376" s="341"/>
      <c r="G376" s="342"/>
      <c r="H376" s="340"/>
      <c r="I376" s="340"/>
      <c r="J376" s="411"/>
    </row>
    <row r="377" spans="2:10" ht="17.100000000000001" customHeight="1">
      <c r="B377" s="333"/>
      <c r="C377" s="96"/>
      <c r="D377" s="96"/>
      <c r="E377" s="351"/>
      <c r="F377" s="341"/>
      <c r="G377" s="342"/>
      <c r="H377" s="340"/>
      <c r="I377" s="340"/>
      <c r="J377" s="411"/>
    </row>
    <row r="378" spans="2:10" ht="17.100000000000001" customHeight="1">
      <c r="B378" s="335" t="s">
        <v>273</v>
      </c>
      <c r="C378" s="96"/>
      <c r="D378" s="96"/>
      <c r="E378" s="351"/>
      <c r="F378" s="341"/>
      <c r="G378" s="342"/>
      <c r="H378" s="340"/>
      <c r="I378" s="340"/>
      <c r="J378" s="411"/>
    </row>
    <row r="379" spans="2:10" ht="17.100000000000001" customHeight="1">
      <c r="B379" s="333" t="s">
        <v>183</v>
      </c>
      <c r="C379" s="96"/>
      <c r="D379" s="96"/>
      <c r="E379" s="365"/>
      <c r="F379" s="334"/>
      <c r="G379" s="334"/>
      <c r="H379" s="343"/>
      <c r="I379" s="343"/>
      <c r="J379" s="412"/>
    </row>
    <row r="380" spans="2:10" ht="17.100000000000001" customHeight="1">
      <c r="B380" s="333" t="s">
        <v>62</v>
      </c>
      <c r="C380" s="96"/>
      <c r="D380" s="96"/>
      <c r="E380" s="365">
        <v>10743</v>
      </c>
      <c r="F380" s="334">
        <f>Summary!K29</f>
        <v>10943</v>
      </c>
      <c r="G380" s="334">
        <f>Summary!L29</f>
        <v>11061</v>
      </c>
      <c r="H380" s="334">
        <f>Summary!M29</f>
        <v>11181</v>
      </c>
      <c r="I380" s="334">
        <f>Summary!N29</f>
        <v>11295</v>
      </c>
      <c r="J380" s="410">
        <f>Summary!O29</f>
        <v>11409</v>
      </c>
    </row>
    <row r="381" spans="2:10" ht="17.100000000000001" customHeight="1">
      <c r="B381" s="333" t="s">
        <v>63</v>
      </c>
      <c r="C381" s="96"/>
      <c r="D381" s="96"/>
      <c r="E381" s="365">
        <v>107176659</v>
      </c>
      <c r="F381" s="334">
        <f>Summary!K31</f>
        <v>108206276</v>
      </c>
      <c r="G381" s="334">
        <f>Summary!L31</f>
        <v>109590116</v>
      </c>
      <c r="H381" s="334">
        <f>Summary!M31</f>
        <v>109814584</v>
      </c>
      <c r="I381" s="334">
        <f>Summary!N31</f>
        <v>108037105</v>
      </c>
      <c r="J381" s="410">
        <f>Summary!O31</f>
        <v>108676163</v>
      </c>
    </row>
    <row r="382" spans="2:10" ht="17.100000000000001" customHeight="1">
      <c r="B382" s="333"/>
      <c r="C382" s="96"/>
      <c r="D382" s="96"/>
      <c r="E382" s="365"/>
      <c r="F382" s="334"/>
      <c r="G382" s="334"/>
      <c r="H382" s="343"/>
      <c r="I382" s="343"/>
      <c r="J382" s="412"/>
    </row>
    <row r="383" spans="2:10" ht="17.100000000000001" customHeight="1">
      <c r="B383" s="333" t="s">
        <v>184</v>
      </c>
      <c r="C383" s="96"/>
      <c r="D383" s="96"/>
      <c r="E383" s="365"/>
      <c r="F383" s="334"/>
      <c r="G383" s="334"/>
      <c r="H383" s="343"/>
      <c r="I383" s="343"/>
      <c r="J383" s="412"/>
    </row>
    <row r="384" spans="2:10" ht="17.100000000000001" customHeight="1">
      <c r="B384" s="333" t="s">
        <v>62</v>
      </c>
      <c r="C384" s="96"/>
      <c r="D384" s="96"/>
      <c r="E384" s="365">
        <v>1178</v>
      </c>
      <c r="F384" s="334">
        <f>Summary!K33</f>
        <v>1339</v>
      </c>
      <c r="G384" s="334">
        <f>Summary!L33</f>
        <v>1344</v>
      </c>
      <c r="H384" s="334">
        <f>Summary!M33</f>
        <v>1347</v>
      </c>
      <c r="I384" s="334">
        <f>Summary!N33</f>
        <v>1351</v>
      </c>
      <c r="J384" s="410">
        <f>Summary!O33</f>
        <v>1355</v>
      </c>
    </row>
    <row r="385" spans="2:10" ht="17.100000000000001" customHeight="1">
      <c r="B385" s="333" t="s">
        <v>63</v>
      </c>
      <c r="C385" s="96"/>
      <c r="D385" s="96"/>
      <c r="E385" s="365">
        <v>44745529</v>
      </c>
      <c r="F385" s="334">
        <f>Summary!K35</f>
        <v>49863299</v>
      </c>
      <c r="G385" s="334">
        <f>Summary!L35</f>
        <v>49217302</v>
      </c>
      <c r="H385" s="334">
        <f>Summary!M35</f>
        <v>49297751</v>
      </c>
      <c r="I385" s="334">
        <f>Summary!N35</f>
        <v>48222530</v>
      </c>
      <c r="J385" s="410">
        <f>Summary!O35</f>
        <v>48230452</v>
      </c>
    </row>
    <row r="386" spans="2:10" ht="17.100000000000001" customHeight="1">
      <c r="B386" s="333"/>
      <c r="C386" s="96"/>
      <c r="D386" s="96"/>
      <c r="E386" s="365"/>
      <c r="F386" s="334"/>
      <c r="G386" s="334"/>
      <c r="H386" s="343"/>
      <c r="I386" s="343"/>
      <c r="J386" s="412"/>
    </row>
    <row r="387" spans="2:10" ht="17.100000000000001" customHeight="1">
      <c r="B387" s="333" t="s">
        <v>185</v>
      </c>
      <c r="C387" s="96"/>
      <c r="D387" s="96"/>
      <c r="E387" s="365"/>
      <c r="F387" s="334"/>
      <c r="G387" s="334"/>
      <c r="H387" s="343"/>
      <c r="I387" s="343"/>
      <c r="J387" s="412"/>
    </row>
    <row r="388" spans="2:10" ht="17.100000000000001" customHeight="1">
      <c r="B388" s="333" t="s">
        <v>62</v>
      </c>
      <c r="C388" s="96"/>
      <c r="D388" s="96"/>
      <c r="E388" s="365">
        <f>9+150</f>
        <v>159</v>
      </c>
      <c r="F388" s="334">
        <f>Summary!K37</f>
        <v>158</v>
      </c>
      <c r="G388" s="334">
        <f>Summary!L37</f>
        <v>160</v>
      </c>
      <c r="H388" s="334">
        <f>Summary!M37</f>
        <v>155</v>
      </c>
      <c r="I388" s="334">
        <f>Summary!N37</f>
        <v>156</v>
      </c>
      <c r="J388" s="410">
        <f>Summary!O37</f>
        <v>157</v>
      </c>
    </row>
    <row r="389" spans="2:10" ht="17.100000000000001" customHeight="1">
      <c r="B389" s="333" t="s">
        <v>64</v>
      </c>
      <c r="C389" s="96"/>
      <c r="D389" s="96"/>
      <c r="E389" s="365">
        <f>143893+232649</f>
        <v>376542</v>
      </c>
      <c r="F389" s="334">
        <f>Summary!K38</f>
        <v>407943</v>
      </c>
      <c r="G389" s="334">
        <f>Summary!L38</f>
        <v>409427</v>
      </c>
      <c r="H389" s="334">
        <f>Summary!M38</f>
        <v>396778</v>
      </c>
      <c r="I389" s="334">
        <f>Summary!N38</f>
        <v>401289</v>
      </c>
      <c r="J389" s="410">
        <f>Summary!O38</f>
        <v>397192</v>
      </c>
    </row>
    <row r="390" spans="2:10" ht="17.100000000000001" customHeight="1">
      <c r="B390" s="333" t="s">
        <v>63</v>
      </c>
      <c r="C390" s="96"/>
      <c r="D390" s="96"/>
      <c r="E390" s="365">
        <f>55806801+95181869</f>
        <v>150988670</v>
      </c>
      <c r="F390" s="334">
        <f>Summary!K39</f>
        <v>158255829</v>
      </c>
      <c r="G390" s="334">
        <f>Summary!L39</f>
        <v>158471800</v>
      </c>
      <c r="H390" s="334">
        <f>Summary!M39</f>
        <v>156131676</v>
      </c>
      <c r="I390" s="334">
        <f>Summary!N39</f>
        <v>152513510</v>
      </c>
      <c r="J390" s="410">
        <f>Summary!O39</f>
        <v>150956406</v>
      </c>
    </row>
    <row r="391" spans="2:10" ht="17.100000000000001" customHeight="1">
      <c r="B391" s="333"/>
      <c r="C391" s="96"/>
      <c r="D391" s="96"/>
      <c r="E391" s="365"/>
      <c r="F391" s="334"/>
      <c r="G391" s="334"/>
      <c r="H391" s="343"/>
      <c r="I391" s="343"/>
      <c r="J391" s="412"/>
    </row>
    <row r="392" spans="2:10" ht="17.100000000000001" customHeight="1">
      <c r="B392" s="333" t="s">
        <v>188</v>
      </c>
      <c r="C392" s="96"/>
      <c r="D392" s="96"/>
      <c r="E392" s="365"/>
      <c r="F392" s="334"/>
      <c r="G392" s="334"/>
      <c r="H392" s="343"/>
      <c r="I392" s="343"/>
      <c r="J392" s="412"/>
    </row>
    <row r="393" spans="2:10" ht="17.100000000000001" customHeight="1">
      <c r="B393" s="333" t="s">
        <v>73</v>
      </c>
      <c r="C393" s="96"/>
      <c r="D393" s="96"/>
      <c r="E393" s="365">
        <v>3487</v>
      </c>
      <c r="F393" s="334">
        <f>Summary!K41</f>
        <v>3494</v>
      </c>
      <c r="G393" s="334">
        <f>Summary!L41</f>
        <v>3512</v>
      </c>
      <c r="H393" s="334">
        <f>Summary!M41</f>
        <v>3526</v>
      </c>
      <c r="I393" s="334">
        <f>Summary!N41</f>
        <v>3541</v>
      </c>
      <c r="J393" s="410">
        <f>Summary!O41</f>
        <v>3556</v>
      </c>
    </row>
    <row r="394" spans="2:10" ht="17.100000000000001" customHeight="1">
      <c r="B394" s="333" t="s">
        <v>64</v>
      </c>
      <c r="C394" s="96"/>
      <c r="D394" s="96"/>
      <c r="E394" s="365">
        <v>6814</v>
      </c>
      <c r="F394" s="334">
        <f>Summary!K42</f>
        <v>7045</v>
      </c>
      <c r="G394" s="334">
        <f>Summary!L42</f>
        <v>7076</v>
      </c>
      <c r="H394" s="334">
        <f>Summary!M42</f>
        <v>7084</v>
      </c>
      <c r="I394" s="334">
        <f>Summary!N42</f>
        <v>7082</v>
      </c>
      <c r="J394" s="410">
        <f>Summary!O42</f>
        <v>7098</v>
      </c>
    </row>
    <row r="395" spans="2:10" ht="17.100000000000001" customHeight="1">
      <c r="B395" s="333" t="s">
        <v>63</v>
      </c>
      <c r="C395" s="96"/>
      <c r="D395" s="96"/>
      <c r="E395" s="365">
        <v>2402165</v>
      </c>
      <c r="F395" s="334">
        <f>Summary!K43</f>
        <v>2523604</v>
      </c>
      <c r="G395" s="334">
        <f>Summary!L43</f>
        <v>2534043</v>
      </c>
      <c r="H395" s="334">
        <f>Summary!M43</f>
        <v>2549242</v>
      </c>
      <c r="I395" s="334">
        <f>Summary!N43</f>
        <v>2554940</v>
      </c>
      <c r="J395" s="410">
        <f>Summary!O43</f>
        <v>2560651</v>
      </c>
    </row>
    <row r="396" spans="2:10" ht="17.100000000000001" customHeight="1">
      <c r="B396" s="333"/>
      <c r="C396" s="96"/>
      <c r="D396" s="96"/>
      <c r="E396" s="365"/>
      <c r="F396" s="334"/>
      <c r="G396" s="334"/>
      <c r="H396" s="343"/>
      <c r="I396" s="343"/>
      <c r="J396" s="412"/>
    </row>
    <row r="397" spans="2:10" ht="17.100000000000001" customHeight="1">
      <c r="B397" s="333" t="s">
        <v>187</v>
      </c>
      <c r="C397" s="96"/>
      <c r="D397" s="96"/>
      <c r="E397" s="365"/>
      <c r="F397" s="334"/>
      <c r="G397" s="334"/>
      <c r="H397" s="343"/>
      <c r="I397" s="343"/>
      <c r="J397" s="412"/>
    </row>
    <row r="398" spans="2:10" ht="17.100000000000001" customHeight="1">
      <c r="B398" s="333" t="s">
        <v>73</v>
      </c>
      <c r="C398" s="96"/>
      <c r="D398" s="96"/>
      <c r="E398" s="365">
        <v>270</v>
      </c>
      <c r="F398" s="334">
        <f>Summary!K45</f>
        <v>244</v>
      </c>
      <c r="G398" s="334">
        <f>Summary!L45</f>
        <v>212</v>
      </c>
      <c r="H398" s="334">
        <f>Summary!M45</f>
        <v>206</v>
      </c>
      <c r="I398" s="334">
        <f>Summary!N45</f>
        <v>200</v>
      </c>
      <c r="J398" s="410">
        <f>Summary!O45</f>
        <v>195</v>
      </c>
    </row>
    <row r="399" spans="2:10" ht="17.100000000000001" customHeight="1">
      <c r="B399" s="333" t="s">
        <v>64</v>
      </c>
      <c r="C399" s="96"/>
      <c r="D399" s="96"/>
      <c r="E399" s="365">
        <v>1260</v>
      </c>
      <c r="F399" s="334">
        <f>Summary!K46</f>
        <v>1195</v>
      </c>
      <c r="G399" s="334">
        <f>Summary!L46</f>
        <v>1029</v>
      </c>
      <c r="H399" s="334">
        <f>Summary!M46</f>
        <v>979</v>
      </c>
      <c r="I399" s="334">
        <f>Summary!N46</f>
        <v>933</v>
      </c>
      <c r="J399" s="410">
        <f>Summary!O46</f>
        <v>896</v>
      </c>
    </row>
    <row r="400" spans="2:10" ht="17.100000000000001" customHeight="1">
      <c r="B400" s="333" t="s">
        <v>63</v>
      </c>
      <c r="C400" s="96"/>
      <c r="D400" s="96"/>
      <c r="E400" s="365">
        <v>451084</v>
      </c>
      <c r="F400" s="334">
        <f>Summary!K47</f>
        <v>430027</v>
      </c>
      <c r="G400" s="334">
        <f>Summary!L47</f>
        <v>370616</v>
      </c>
      <c r="H400" s="334">
        <f>Summary!M47</f>
        <v>352408</v>
      </c>
      <c r="I400" s="334">
        <f>Summary!N47</f>
        <v>338308</v>
      </c>
      <c r="J400" s="410">
        <f>Summary!O47</f>
        <v>324773</v>
      </c>
    </row>
    <row r="401" spans="2:10" ht="17.100000000000001" customHeight="1">
      <c r="B401" s="333"/>
      <c r="C401" s="96"/>
      <c r="D401" s="96"/>
      <c r="E401" s="365"/>
      <c r="F401" s="334"/>
      <c r="G401" s="334"/>
      <c r="H401" s="343"/>
      <c r="I401" s="343"/>
      <c r="J401" s="412"/>
    </row>
    <row r="402" spans="2:10" ht="17.100000000000001" customHeight="1">
      <c r="B402" s="333" t="s">
        <v>4</v>
      </c>
      <c r="C402" s="96"/>
      <c r="D402" s="96"/>
      <c r="E402" s="365"/>
      <c r="F402" s="334"/>
      <c r="G402" s="334"/>
      <c r="H402" s="343"/>
      <c r="I402" s="343"/>
      <c r="J402" s="412"/>
    </row>
    <row r="403" spans="2:10" ht="17.100000000000001" customHeight="1">
      <c r="B403" s="333" t="s">
        <v>73</v>
      </c>
      <c r="C403" s="96"/>
      <c r="D403" s="96"/>
      <c r="E403" s="365">
        <v>168</v>
      </c>
      <c r="F403" s="334">
        <f>Summary!K49</f>
        <v>182</v>
      </c>
      <c r="G403" s="334">
        <f>Summary!L49</f>
        <v>156</v>
      </c>
      <c r="H403" s="334">
        <f>Summary!M49</f>
        <v>155</v>
      </c>
      <c r="I403" s="334">
        <f>Summary!N49</f>
        <v>153</v>
      </c>
      <c r="J403" s="410">
        <f>Summary!O49</f>
        <v>151</v>
      </c>
    </row>
    <row r="404" spans="2:10" ht="17.100000000000001" customHeight="1">
      <c r="B404" s="333" t="s">
        <v>63</v>
      </c>
      <c r="C404" s="96"/>
      <c r="D404" s="96"/>
      <c r="E404" s="365">
        <v>1290526</v>
      </c>
      <c r="F404" s="334">
        <f>Summary!K51</f>
        <v>1097760</v>
      </c>
      <c r="G404" s="334">
        <f>Summary!L51</f>
        <v>922608</v>
      </c>
      <c r="H404" s="334">
        <f>Summary!M51</f>
        <v>862308</v>
      </c>
      <c r="I404" s="334">
        <f>Summary!N51</f>
        <v>842265</v>
      </c>
      <c r="J404" s="410">
        <f>Summary!O51</f>
        <v>822688</v>
      </c>
    </row>
    <row r="405" spans="2:10" ht="17.100000000000001" customHeight="1">
      <c r="B405" s="333"/>
      <c r="C405" s="96"/>
      <c r="D405" s="96"/>
      <c r="E405" s="340"/>
      <c r="F405" s="340"/>
      <c r="G405" s="340"/>
      <c r="H405" s="340"/>
      <c r="I405" s="340"/>
      <c r="J405" s="411"/>
    </row>
    <row r="406" spans="2:10" ht="17.100000000000001" customHeight="1">
      <c r="B406" s="335" t="s">
        <v>15</v>
      </c>
      <c r="C406" s="337"/>
      <c r="D406" s="337"/>
      <c r="E406" s="369"/>
      <c r="F406" s="344"/>
      <c r="G406" s="344"/>
      <c r="H406" s="345"/>
      <c r="I406" s="345"/>
      <c r="J406" s="412"/>
    </row>
    <row r="407" spans="2:10" ht="17.100000000000001" customHeight="1">
      <c r="B407" s="335" t="s">
        <v>74</v>
      </c>
      <c r="C407" s="337"/>
      <c r="D407" s="337"/>
      <c r="E407" s="369">
        <f t="shared" ref="E407:J407" si="38">E403+E398+E393+E388+E384+E380</f>
        <v>16005</v>
      </c>
      <c r="F407" s="344">
        <f t="shared" si="38"/>
        <v>16360</v>
      </c>
      <c r="G407" s="344">
        <f t="shared" si="38"/>
        <v>16445</v>
      </c>
      <c r="H407" s="344">
        <f t="shared" si="38"/>
        <v>16570</v>
      </c>
      <c r="I407" s="344">
        <f t="shared" si="38"/>
        <v>16696</v>
      </c>
      <c r="J407" s="344">
        <f t="shared" si="38"/>
        <v>16823</v>
      </c>
    </row>
    <row r="408" spans="2:10" ht="17.100000000000001" customHeight="1">
      <c r="B408" s="335" t="s">
        <v>63</v>
      </c>
      <c r="C408" s="337"/>
      <c r="D408" s="337"/>
      <c r="E408" s="345">
        <f t="shared" ref="E408:J408" si="39">E381+E385+E390+E395+E400+E404</f>
        <v>307054633</v>
      </c>
      <c r="F408" s="345">
        <f t="shared" si="39"/>
        <v>320376795</v>
      </c>
      <c r="G408" s="345">
        <f t="shared" si="39"/>
        <v>321106485</v>
      </c>
      <c r="H408" s="345">
        <f t="shared" si="39"/>
        <v>319007969</v>
      </c>
      <c r="I408" s="345">
        <f t="shared" si="39"/>
        <v>312508658</v>
      </c>
      <c r="J408" s="346">
        <f t="shared" si="39"/>
        <v>311571133</v>
      </c>
    </row>
    <row r="409" spans="2:10" ht="17.100000000000001" customHeight="1">
      <c r="B409" s="335" t="s">
        <v>222</v>
      </c>
      <c r="C409" s="337"/>
      <c r="D409" s="337"/>
      <c r="E409" s="369">
        <f t="shared" ref="E409:J409" si="40">E389+E394+E399</f>
        <v>384616</v>
      </c>
      <c r="F409" s="344">
        <f t="shared" si="40"/>
        <v>416183</v>
      </c>
      <c r="G409" s="344">
        <f t="shared" si="40"/>
        <v>417532</v>
      </c>
      <c r="H409" s="344">
        <f t="shared" si="40"/>
        <v>404841</v>
      </c>
      <c r="I409" s="344">
        <f t="shared" si="40"/>
        <v>409304</v>
      </c>
      <c r="J409" s="344">
        <f t="shared" si="40"/>
        <v>405186</v>
      </c>
    </row>
  </sheetData>
  <phoneticPr fontId="0" type="noConversion"/>
  <pageMargins left="0.25" right="0.25" top="0.25" bottom="1" header="0.511811023622047" footer="0.511811023622047"/>
  <pageSetup scale="80" fitToHeight="5" orientation="portrait" horizontalDpi="355" verticalDpi="355" r:id="rId1"/>
  <headerFooter alignWithMargins="0">
    <oddFooter>&amp;L&amp;Z&amp;F
&amp;A&amp;R&amp;D
&amp;T</oddFooter>
  </headerFooter>
  <rowBreaks count="6" manualBreakCount="6">
    <brk id="53" max="11" man="1"/>
    <brk id="103" max="11" man="1"/>
    <brk id="183" max="11" man="1"/>
    <brk id="218" max="11" man="1"/>
    <brk id="267" max="11" man="1"/>
    <brk id="305" max="11" man="1"/>
  </rowBreaks>
</worksheet>
</file>

<file path=xl/worksheets/sheet3.xml><?xml version="1.0" encoding="utf-8"?>
<worksheet xmlns="http://schemas.openxmlformats.org/spreadsheetml/2006/main" xmlns:r="http://schemas.openxmlformats.org/officeDocument/2006/relationships">
  <sheetPr enableFormatConditionsCalculation="0">
    <tabColor indexed="12"/>
    <pageSetUpPr fitToPage="1"/>
  </sheetPr>
  <dimension ref="B1:P85"/>
  <sheetViews>
    <sheetView showGridLines="0" topLeftCell="A19" workbookViewId="0">
      <selection activeCell="R57" sqref="R57"/>
    </sheetView>
  </sheetViews>
  <sheetFormatPr defaultRowHeight="12.95" customHeight="1"/>
  <cols>
    <col min="1" max="1" width="1.7109375" style="74" customWidth="1"/>
    <col min="2" max="3" width="5.7109375" style="81" customWidth="1"/>
    <col min="4" max="4" width="10.7109375" style="81" customWidth="1"/>
    <col min="5" max="14" width="10.7109375" style="74" customWidth="1"/>
    <col min="15" max="15" width="11.7109375" style="74" customWidth="1"/>
    <col min="16" max="16" width="11.85546875" style="74" customWidth="1"/>
    <col min="17" max="16384" width="9.140625" style="74"/>
  </cols>
  <sheetData>
    <row r="1" spans="2:15" ht="12.95" customHeight="1">
      <c r="B1" s="75" t="s">
        <v>239</v>
      </c>
      <c r="C1" s="76"/>
      <c r="D1" s="76"/>
      <c r="E1" s="76"/>
      <c r="F1" s="77"/>
      <c r="G1" s="77"/>
      <c r="H1" s="77"/>
      <c r="I1" s="77"/>
    </row>
    <row r="2" spans="2:15" ht="5.0999999999999996" customHeight="1">
      <c r="B2" s="78"/>
      <c r="C2" s="78"/>
      <c r="D2" s="78"/>
      <c r="E2" s="78"/>
      <c r="F2" s="78"/>
      <c r="G2" s="78"/>
      <c r="H2" s="78"/>
      <c r="I2" s="78"/>
      <c r="J2" s="78"/>
      <c r="K2" s="78"/>
      <c r="L2" s="78"/>
      <c r="M2" s="78"/>
      <c r="N2" s="78"/>
      <c r="O2" s="78"/>
    </row>
    <row r="3" spans="2:15" ht="12.95" customHeight="1">
      <c r="B3" s="79"/>
      <c r="C3" s="79"/>
      <c r="D3" s="79"/>
      <c r="E3" s="79"/>
      <c r="F3" s="79"/>
      <c r="G3" s="79"/>
      <c r="H3" s="80"/>
      <c r="I3" s="80"/>
    </row>
    <row r="4" spans="2:15" ht="39" customHeight="1">
      <c r="B4" s="87" t="s">
        <v>89</v>
      </c>
      <c r="C4" s="87"/>
      <c r="D4" s="87"/>
      <c r="E4" s="160" t="s">
        <v>65</v>
      </c>
      <c r="F4" s="160" t="s">
        <v>66</v>
      </c>
      <c r="G4" s="82" t="s">
        <v>67</v>
      </c>
      <c r="H4" s="82" t="s">
        <v>68</v>
      </c>
      <c r="I4" s="82" t="s">
        <v>69</v>
      </c>
      <c r="J4" s="82" t="s">
        <v>70</v>
      </c>
      <c r="K4" s="82" t="s">
        <v>71</v>
      </c>
      <c r="L4" s="82" t="s">
        <v>72</v>
      </c>
      <c r="M4" s="82" t="s">
        <v>225</v>
      </c>
      <c r="N4" s="82" t="s">
        <v>302</v>
      </c>
      <c r="O4" s="82" t="s">
        <v>303</v>
      </c>
    </row>
    <row r="5" spans="2:15" ht="12.95" customHeight="1">
      <c r="B5" s="74"/>
      <c r="C5" s="74"/>
      <c r="D5" s="74"/>
    </row>
    <row r="6" spans="2:15" ht="12.95" customHeight="1">
      <c r="B6" s="92" t="s">
        <v>182</v>
      </c>
      <c r="C6" s="93"/>
      <c r="D6" s="93"/>
      <c r="E6" s="94"/>
      <c r="F6" s="94"/>
      <c r="G6" s="94"/>
      <c r="H6" s="94"/>
      <c r="I6" s="94"/>
      <c r="J6" s="94"/>
      <c r="K6" s="94"/>
      <c r="L6" s="94"/>
      <c r="M6" s="94"/>
      <c r="N6" s="97"/>
      <c r="O6" s="97"/>
    </row>
    <row r="7" spans="2:15" ht="12.95" customHeight="1">
      <c r="B7" s="95" t="s">
        <v>195</v>
      </c>
      <c r="C7" s="96"/>
      <c r="D7" s="96"/>
      <c r="E7" s="100">
        <f>'Purchased Power Model'!C262</f>
        <v>315124971.38</v>
      </c>
      <c r="F7" s="100">
        <f>'Purchased Power Model'!C263</f>
        <v>316396656.49000001</v>
      </c>
      <c r="G7" s="100">
        <f>'Purchased Power Model'!C264</f>
        <v>327858855.01000005</v>
      </c>
      <c r="H7" s="100">
        <f>'Purchased Power Model'!C265</f>
        <v>326758736.68000007</v>
      </c>
      <c r="I7" s="100">
        <f>'Purchased Power Model'!C266</f>
        <v>329583057.43000001</v>
      </c>
      <c r="J7" s="100">
        <f>'Purchased Power Model'!C267</f>
        <v>346922941.25999999</v>
      </c>
      <c r="K7" s="100">
        <f>'Purchased Power Model'!C268</f>
        <v>339836661.57000005</v>
      </c>
      <c r="L7" s="100">
        <f>'Purchased Power Model'!C269</f>
        <v>340350915</v>
      </c>
      <c r="M7" s="100">
        <f>'Purchased Power Model'!C270</f>
        <v>337342212</v>
      </c>
      <c r="N7" s="276" t="s">
        <v>88</v>
      </c>
      <c r="O7" s="276" t="s">
        <v>88</v>
      </c>
    </row>
    <row r="8" spans="2:15" ht="12.95" customHeight="1">
      <c r="B8" s="95" t="s">
        <v>194</v>
      </c>
      <c r="C8" s="96"/>
      <c r="D8" s="96"/>
      <c r="E8" s="98">
        <f>'Purchased Power Model'!L262</f>
        <v>315277683.99659008</v>
      </c>
      <c r="F8" s="98">
        <f>'Purchased Power Model'!L263</f>
        <v>318685741.02586961</v>
      </c>
      <c r="G8" s="98">
        <f>'Purchased Power Model'!L264</f>
        <v>328120844.52430135</v>
      </c>
      <c r="H8" s="98">
        <f>'Purchased Power Model'!L265</f>
        <v>328200247.079952</v>
      </c>
      <c r="I8" s="98">
        <f>'Purchased Power Model'!L266</f>
        <v>330620504.72542536</v>
      </c>
      <c r="J8" s="98">
        <f>'Purchased Power Model'!L267</f>
        <v>341466690.62847179</v>
      </c>
      <c r="K8" s="98">
        <f>'Purchased Power Model'!L268</f>
        <v>337109848.359218</v>
      </c>
      <c r="L8" s="98">
        <f>'Purchased Power Model'!L269</f>
        <v>342278128.91195983</v>
      </c>
      <c r="M8" s="98">
        <f>'Purchased Power Model'!L270</f>
        <v>339502489.10932589</v>
      </c>
      <c r="N8" s="98">
        <f>ROUND('Purchased Power Model'!L272,0)</f>
        <v>331040422</v>
      </c>
      <c r="O8" s="98">
        <f>ROUND('Purchased Power Model'!L273,0)</f>
        <v>330047301</v>
      </c>
    </row>
    <row r="9" spans="2:15" ht="12.95" customHeight="1">
      <c r="B9" s="95" t="s">
        <v>278</v>
      </c>
      <c r="C9" s="96"/>
      <c r="D9" s="96"/>
      <c r="E9" s="99"/>
      <c r="F9" s="99"/>
      <c r="G9" s="99"/>
      <c r="H9" s="99"/>
      <c r="I9" s="99"/>
      <c r="J9" s="99"/>
      <c r="K9" s="99"/>
      <c r="L9" s="99"/>
      <c r="M9" s="99"/>
      <c r="N9" s="275">
        <v>1.0592999999999999</v>
      </c>
      <c r="O9" s="275">
        <v>1.0592999999999999</v>
      </c>
    </row>
    <row r="10" spans="2:15" ht="12.95" customHeight="1">
      <c r="B10" s="95" t="s">
        <v>198</v>
      </c>
      <c r="C10" s="96"/>
      <c r="D10" s="96"/>
      <c r="E10" s="98"/>
      <c r="F10" s="98"/>
      <c r="G10" s="98"/>
      <c r="H10" s="98"/>
      <c r="I10" s="98"/>
      <c r="J10" s="98"/>
      <c r="K10" s="98"/>
      <c r="L10" s="98"/>
      <c r="M10" s="98"/>
      <c r="N10" s="98">
        <f>ROUND(N16*N9,0)</f>
        <v>0</v>
      </c>
      <c r="O10" s="98">
        <f>ROUND(O16*O9,0)</f>
        <v>0</v>
      </c>
    </row>
    <row r="11" spans="2:15" ht="12.95" customHeight="1">
      <c r="B11" s="162" t="s">
        <v>269</v>
      </c>
      <c r="C11" s="163"/>
      <c r="D11" s="163"/>
      <c r="E11" s="164"/>
      <c r="F11" s="164"/>
      <c r="G11" s="164"/>
      <c r="H11" s="164"/>
      <c r="I11" s="164"/>
      <c r="J11" s="164"/>
      <c r="K11" s="164"/>
      <c r="L11" s="164"/>
      <c r="M11" s="164"/>
      <c r="N11" s="164">
        <f>N8-N10</f>
        <v>331040422</v>
      </c>
      <c r="O11" s="164">
        <f>O8-O10</f>
        <v>330047301</v>
      </c>
    </row>
    <row r="12" spans="2:15" ht="12.95" customHeight="1">
      <c r="B12" s="95" t="s">
        <v>193</v>
      </c>
      <c r="C12" s="96"/>
      <c r="D12" s="96"/>
      <c r="E12" s="99">
        <f t="shared" ref="E12:M12" si="0">(E8-E7)/E7</f>
        <v>4.8460969602415595E-4</v>
      </c>
      <c r="F12" s="99">
        <f t="shared" si="0"/>
        <v>7.2348569079836245E-3</v>
      </c>
      <c r="G12" s="99">
        <f t="shared" si="0"/>
        <v>7.990923847193607E-4</v>
      </c>
      <c r="H12" s="99">
        <f t="shared" si="0"/>
        <v>4.4115435584010975E-3</v>
      </c>
      <c r="I12" s="99">
        <f t="shared" si="0"/>
        <v>3.1477567552018306E-3</v>
      </c>
      <c r="J12" s="99">
        <f t="shared" si="0"/>
        <v>-1.5727557859712235E-2</v>
      </c>
      <c r="K12" s="99">
        <f t="shared" si="0"/>
        <v>-8.0238935910697147E-3</v>
      </c>
      <c r="L12" s="99">
        <f t="shared" si="0"/>
        <v>5.6624319989262463E-3</v>
      </c>
      <c r="M12" s="99">
        <f t="shared" si="0"/>
        <v>6.4038149762469859E-3</v>
      </c>
      <c r="N12" s="99"/>
      <c r="O12" s="99"/>
    </row>
    <row r="13" spans="2:15" ht="12.95" customHeight="1">
      <c r="B13" s="88"/>
      <c r="C13" s="88"/>
      <c r="D13" s="88"/>
      <c r="E13" s="90"/>
      <c r="F13" s="90"/>
      <c r="G13" s="90"/>
      <c r="H13" s="90"/>
      <c r="I13" s="90"/>
      <c r="J13" s="90"/>
      <c r="K13" s="90"/>
      <c r="L13" s="90"/>
      <c r="M13" s="90"/>
      <c r="N13" s="90"/>
    </row>
    <row r="14" spans="2:15" ht="12.95" customHeight="1">
      <c r="B14" s="92" t="s">
        <v>196</v>
      </c>
      <c r="C14" s="93"/>
      <c r="D14" s="93"/>
      <c r="E14" s="94"/>
      <c r="F14" s="94"/>
      <c r="G14" s="94"/>
      <c r="H14" s="94"/>
      <c r="I14" s="94"/>
      <c r="J14" s="94"/>
      <c r="K14" s="94"/>
      <c r="L14" s="94"/>
      <c r="M14" s="94"/>
      <c r="N14" s="97"/>
      <c r="O14" s="97"/>
    </row>
    <row r="15" spans="2:15" ht="12.95" customHeight="1">
      <c r="B15" s="95" t="s">
        <v>192</v>
      </c>
      <c r="C15" s="96"/>
      <c r="D15" s="96"/>
      <c r="E15" s="100">
        <f>'Rate Class Energy Model'!I7</f>
        <v>305923494</v>
      </c>
      <c r="F15" s="100">
        <f>'Rate Class Energy Model'!I8</f>
        <v>308052398</v>
      </c>
      <c r="G15" s="100">
        <f>'Rate Class Energy Model'!I9</f>
        <v>317673032</v>
      </c>
      <c r="H15" s="100">
        <f>'Rate Class Energy Model'!I10</f>
        <v>314305835</v>
      </c>
      <c r="I15" s="100">
        <f>'Rate Class Energy Model'!I11</f>
        <v>317099432</v>
      </c>
      <c r="J15" s="100">
        <f>'Rate Class Energy Model'!I12</f>
        <v>323017340</v>
      </c>
      <c r="K15" s="100">
        <f>'Rate Class Energy Model'!I13</f>
        <v>320376795</v>
      </c>
      <c r="L15" s="100">
        <f>'Rate Class Energy Model'!I14</f>
        <v>321106485</v>
      </c>
      <c r="M15" s="100">
        <f>'Rate Class Energy Model'!I15</f>
        <v>319007969</v>
      </c>
      <c r="N15" s="100">
        <f>ROUND('Rate Class Energy Model'!I16,0)</f>
        <v>312508659</v>
      </c>
      <c r="O15" s="100">
        <f>ROUND('Rate Class Energy Model'!I17,0)</f>
        <v>311571133</v>
      </c>
    </row>
    <row r="16" spans="2:15" ht="12.95" customHeight="1">
      <c r="B16" s="95" t="s">
        <v>190</v>
      </c>
      <c r="C16" s="96"/>
      <c r="D16" s="96"/>
      <c r="E16" s="98"/>
      <c r="F16" s="98"/>
      <c r="G16" s="98"/>
      <c r="H16" s="98"/>
      <c r="I16" s="98"/>
      <c r="J16" s="98"/>
      <c r="K16" s="98"/>
      <c r="L16" s="98"/>
      <c r="M16" s="98"/>
      <c r="N16" s="98"/>
      <c r="O16" s="98"/>
    </row>
    <row r="17" spans="2:16" ht="12.95" customHeight="1">
      <c r="B17" s="162" t="s">
        <v>191</v>
      </c>
      <c r="C17" s="163"/>
      <c r="D17" s="163"/>
      <c r="E17" s="164">
        <f>E15-E16</f>
        <v>305923494</v>
      </c>
      <c r="F17" s="164">
        <f t="shared" ref="F17:O17" si="1">F15-F16</f>
        <v>308052398</v>
      </c>
      <c r="G17" s="164">
        <f t="shared" si="1"/>
        <v>317673032</v>
      </c>
      <c r="H17" s="164">
        <f t="shared" si="1"/>
        <v>314305835</v>
      </c>
      <c r="I17" s="164">
        <f t="shared" si="1"/>
        <v>317099432</v>
      </c>
      <c r="J17" s="164">
        <f t="shared" si="1"/>
        <v>323017340</v>
      </c>
      <c r="K17" s="164">
        <f t="shared" si="1"/>
        <v>320376795</v>
      </c>
      <c r="L17" s="164">
        <f t="shared" si="1"/>
        <v>321106485</v>
      </c>
      <c r="M17" s="164">
        <f t="shared" si="1"/>
        <v>319007969</v>
      </c>
      <c r="N17" s="164">
        <f t="shared" si="1"/>
        <v>312508659</v>
      </c>
      <c r="O17" s="164">
        <f t="shared" si="1"/>
        <v>311571133</v>
      </c>
      <c r="P17"/>
    </row>
    <row r="18" spans="2:16" ht="12.95" customHeight="1">
      <c r="B18" s="95" t="s">
        <v>199</v>
      </c>
      <c r="C18" s="96"/>
      <c r="D18" s="96"/>
      <c r="E18" s="161">
        <f t="shared" ref="E18:M18" si="2">E7/E17</f>
        <v>1.0300777075329821</v>
      </c>
      <c r="F18" s="161">
        <f t="shared" si="2"/>
        <v>1.0270871401884039</v>
      </c>
      <c r="G18" s="161">
        <f t="shared" si="2"/>
        <v>1.0320638580677508</v>
      </c>
      <c r="H18" s="161">
        <f t="shared" si="2"/>
        <v>1.0396203324701243</v>
      </c>
      <c r="I18" s="161">
        <f t="shared" si="2"/>
        <v>1.0393681734188662</v>
      </c>
      <c r="J18" s="161">
        <f t="shared" si="2"/>
        <v>1.0740071763949266</v>
      </c>
      <c r="K18" s="161">
        <f t="shared" si="2"/>
        <v>1.0607405619686034</v>
      </c>
      <c r="L18" s="161">
        <f t="shared" si="2"/>
        <v>1.0599316142743116</v>
      </c>
      <c r="M18" s="161">
        <f t="shared" si="2"/>
        <v>1.0574726802514454</v>
      </c>
      <c r="N18" s="161">
        <f>N11/N17</f>
        <v>1.0592999984682026</v>
      </c>
      <c r="O18" s="161">
        <f>O11/O17</f>
        <v>1.0592999994001371</v>
      </c>
    </row>
    <row r="19" spans="2:16" ht="12.95" customHeight="1">
      <c r="B19" s="88"/>
      <c r="C19" s="88"/>
      <c r="D19" s="88"/>
      <c r="E19" s="90"/>
      <c r="F19" s="90"/>
      <c r="G19" s="90"/>
      <c r="H19" s="90"/>
      <c r="I19" s="90"/>
      <c r="J19" s="90"/>
      <c r="K19" s="90"/>
      <c r="L19" s="90"/>
      <c r="M19" s="90"/>
      <c r="N19" s="90"/>
    </row>
    <row r="20" spans="2:16" ht="12.95" customHeight="1">
      <c r="B20" s="88"/>
      <c r="C20" s="88"/>
      <c r="D20" s="88"/>
      <c r="E20" s="90"/>
      <c r="F20" s="90"/>
      <c r="G20" s="90"/>
      <c r="H20" s="90"/>
      <c r="I20" s="90"/>
      <c r="J20" s="90"/>
      <c r="K20" s="90"/>
      <c r="L20" s="90"/>
      <c r="M20" s="90"/>
      <c r="N20" s="90"/>
    </row>
    <row r="21" spans="2:16" ht="12.95" customHeight="1">
      <c r="B21" s="88"/>
      <c r="C21" s="88"/>
      <c r="D21" s="88"/>
      <c r="E21" s="90"/>
      <c r="F21" s="90"/>
      <c r="G21" s="90"/>
      <c r="H21" s="90"/>
      <c r="I21" s="90"/>
      <c r="J21" s="90"/>
      <c r="K21" s="90"/>
      <c r="L21" s="90"/>
      <c r="M21" s="90"/>
      <c r="N21" s="90"/>
    </row>
    <row r="22" spans="2:16" ht="12.95" customHeight="1">
      <c r="B22" s="88"/>
      <c r="C22" s="88"/>
      <c r="D22" s="88"/>
      <c r="E22" s="90"/>
      <c r="F22" s="90"/>
      <c r="G22" s="90"/>
      <c r="H22" s="90"/>
      <c r="I22" s="90"/>
      <c r="J22" s="90"/>
      <c r="K22" s="90"/>
      <c r="L22" s="90"/>
      <c r="M22" s="90"/>
      <c r="N22" s="90"/>
    </row>
    <row r="23" spans="2:16" ht="12.95" customHeight="1">
      <c r="B23" s="75" t="s">
        <v>238</v>
      </c>
      <c r="C23" s="76"/>
      <c r="D23" s="76"/>
      <c r="E23" s="76"/>
      <c r="F23" s="77"/>
      <c r="G23" s="77"/>
      <c r="H23" s="77"/>
      <c r="I23" s="77"/>
    </row>
    <row r="24" spans="2:16" ht="5.0999999999999996" customHeight="1">
      <c r="B24" s="78"/>
      <c r="C24" s="78"/>
      <c r="D24" s="78"/>
      <c r="E24" s="78"/>
      <c r="F24" s="78"/>
      <c r="G24" s="78"/>
      <c r="H24" s="78"/>
      <c r="I24" s="78"/>
      <c r="J24" s="78"/>
      <c r="K24" s="78"/>
      <c r="L24" s="78"/>
      <c r="M24" s="78"/>
      <c r="N24" s="78"/>
      <c r="O24" s="78"/>
    </row>
    <row r="25" spans="2:16" ht="12.95" customHeight="1">
      <c r="B25" s="79"/>
      <c r="C25" s="79"/>
      <c r="D25" s="79"/>
      <c r="E25" s="79"/>
      <c r="F25" s="79"/>
      <c r="G25" s="79"/>
      <c r="H25" s="80"/>
      <c r="I25" s="80"/>
    </row>
    <row r="26" spans="2:16" ht="39" customHeight="1">
      <c r="B26" s="87" t="s">
        <v>89</v>
      </c>
      <c r="C26" s="87"/>
      <c r="D26" s="87"/>
      <c r="E26" s="160" t="s">
        <v>65</v>
      </c>
      <c r="F26" s="160" t="s">
        <v>66</v>
      </c>
      <c r="G26" s="82" t="s">
        <v>67</v>
      </c>
      <c r="H26" s="82" t="s">
        <v>68</v>
      </c>
      <c r="I26" s="82" t="s">
        <v>69</v>
      </c>
      <c r="J26" s="82" t="s">
        <v>70</v>
      </c>
      <c r="K26" s="82" t="s">
        <v>71</v>
      </c>
      <c r="L26" s="82" t="s">
        <v>72</v>
      </c>
      <c r="M26" s="82" t="s">
        <v>227</v>
      </c>
      <c r="N26" s="82" t="s">
        <v>302</v>
      </c>
      <c r="O26" s="82" t="s">
        <v>303</v>
      </c>
    </row>
    <row r="27" spans="2:16" ht="12.95" customHeight="1">
      <c r="B27" s="74"/>
      <c r="C27" s="74"/>
      <c r="D27" s="74"/>
    </row>
    <row r="28" spans="2:16" ht="12.95" customHeight="1">
      <c r="B28" s="92" t="s">
        <v>183</v>
      </c>
      <c r="C28" s="93"/>
      <c r="D28" s="93"/>
      <c r="E28" s="94"/>
      <c r="F28" s="94"/>
      <c r="G28" s="94"/>
      <c r="H28" s="94"/>
      <c r="I28" s="94"/>
      <c r="J28" s="94"/>
      <c r="K28" s="94"/>
      <c r="L28" s="94"/>
      <c r="M28" s="94"/>
      <c r="N28" s="97"/>
      <c r="O28" s="97"/>
    </row>
    <row r="29" spans="2:16" ht="12.95" customHeight="1">
      <c r="B29" s="95" t="s">
        <v>62</v>
      </c>
      <c r="C29" s="96"/>
      <c r="D29" s="96"/>
      <c r="E29" s="100">
        <f>'Rate Class Customer Model'!B7</f>
        <v>10349</v>
      </c>
      <c r="F29" s="100">
        <f>'Rate Class Customer Model'!B8</f>
        <v>10423</v>
      </c>
      <c r="G29" s="100">
        <f>'Rate Class Customer Model'!B9</f>
        <v>10479</v>
      </c>
      <c r="H29" s="100">
        <f>'Rate Class Customer Model'!B10</f>
        <v>10595</v>
      </c>
      <c r="I29" s="100">
        <f>'Rate Class Customer Model'!B11</f>
        <v>10695</v>
      </c>
      <c r="J29" s="100">
        <f>'Rate Class Customer Model'!B12</f>
        <v>10786</v>
      </c>
      <c r="K29" s="100">
        <f>'Rate Class Customer Model'!B13</f>
        <v>10943</v>
      </c>
      <c r="L29" s="100">
        <f>'Rate Class Customer Model'!B14</f>
        <v>11061</v>
      </c>
      <c r="M29" s="100">
        <f>'Rate Class Customer Model'!B15</f>
        <v>11181</v>
      </c>
      <c r="N29" s="100">
        <f>ROUND('Rate Class Customer Model'!B16,0)</f>
        <v>11295</v>
      </c>
      <c r="O29" s="100">
        <f>ROUND('Rate Class Customer Model'!B17,0)</f>
        <v>11409</v>
      </c>
    </row>
    <row r="30" spans="2:16" ht="12.95" customHeight="1">
      <c r="B30" s="95" t="s">
        <v>64</v>
      </c>
      <c r="C30" s="96"/>
      <c r="D30" s="96"/>
      <c r="E30" s="98"/>
      <c r="F30" s="98"/>
      <c r="G30" s="98"/>
      <c r="H30" s="98"/>
      <c r="I30" s="98"/>
      <c r="J30" s="98"/>
      <c r="K30" s="98"/>
      <c r="L30" s="98"/>
      <c r="M30" s="98"/>
      <c r="N30" s="98"/>
      <c r="O30" s="98"/>
    </row>
    <row r="31" spans="2:16" ht="12.95" customHeight="1">
      <c r="B31" s="95" t="s">
        <v>63</v>
      </c>
      <c r="C31" s="96"/>
      <c r="D31" s="96"/>
      <c r="E31" s="98">
        <f>'Rate Class Energy Model'!B7</f>
        <v>103741523</v>
      </c>
      <c r="F31" s="98">
        <f>'Rate Class Energy Model'!B8</f>
        <v>105383265</v>
      </c>
      <c r="G31" s="98">
        <f>'Rate Class Energy Model'!B9</f>
        <v>109736591</v>
      </c>
      <c r="H31" s="98">
        <f>'Rate Class Energy Model'!B10</f>
        <v>108163534</v>
      </c>
      <c r="I31" s="98">
        <f>'Rate Class Energy Model'!B11</f>
        <v>108386794</v>
      </c>
      <c r="J31" s="98">
        <f>'Rate Class Energy Model'!B12</f>
        <v>110976692</v>
      </c>
      <c r="K31" s="98">
        <f>'Rate Class Energy Model'!B13</f>
        <v>108206276</v>
      </c>
      <c r="L31" s="98">
        <f>'Rate Class Energy Model'!B14</f>
        <v>109590116</v>
      </c>
      <c r="M31" s="98">
        <f>'Rate Class Energy Model'!B15</f>
        <v>109814584</v>
      </c>
      <c r="N31" s="98">
        <f>ROUND('Rate Class Energy Model'!B68,0)</f>
        <v>108037105</v>
      </c>
      <c r="O31" s="98">
        <f>ROUND('Rate Class Energy Model'!B69,0)</f>
        <v>108676163</v>
      </c>
    </row>
    <row r="32" spans="2:16" ht="12.95" customHeight="1">
      <c r="B32" s="92" t="s">
        <v>184</v>
      </c>
      <c r="C32" s="93"/>
      <c r="D32" s="93"/>
      <c r="E32" s="94"/>
      <c r="F32" s="94"/>
      <c r="G32" s="94"/>
      <c r="H32" s="94"/>
      <c r="I32" s="94"/>
      <c r="J32" s="94"/>
      <c r="K32" s="94"/>
      <c r="L32" s="94"/>
      <c r="M32" s="94"/>
      <c r="N32" s="97"/>
      <c r="O32" s="97"/>
    </row>
    <row r="33" spans="2:15" ht="12.95" customHeight="1">
      <c r="B33" s="95" t="s">
        <v>62</v>
      </c>
      <c r="C33" s="96"/>
      <c r="D33" s="96"/>
      <c r="E33" s="100">
        <f>'Rate Class Customer Model'!C7</f>
        <v>1294</v>
      </c>
      <c r="F33" s="100">
        <f>'Rate Class Customer Model'!C8</f>
        <v>1285</v>
      </c>
      <c r="G33" s="100">
        <f>'Rate Class Customer Model'!C9</f>
        <v>1279</v>
      </c>
      <c r="H33" s="100">
        <f>'Rate Class Customer Model'!C10</f>
        <v>1278</v>
      </c>
      <c r="I33" s="100">
        <f>'Rate Class Customer Model'!C11</f>
        <v>1289</v>
      </c>
      <c r="J33" s="100">
        <f>'Rate Class Customer Model'!C12</f>
        <v>1315</v>
      </c>
      <c r="K33" s="100">
        <f>'Rate Class Customer Model'!C13</f>
        <v>1339</v>
      </c>
      <c r="L33" s="100">
        <f>'Rate Class Customer Model'!C14</f>
        <v>1344</v>
      </c>
      <c r="M33" s="100">
        <f>'Rate Class Customer Model'!C15</f>
        <v>1347</v>
      </c>
      <c r="N33" s="100">
        <f>ROUND('Rate Class Customer Model'!C16,0)</f>
        <v>1351</v>
      </c>
      <c r="O33" s="100">
        <f>ROUND('Rate Class Customer Model'!C17,0)</f>
        <v>1355</v>
      </c>
    </row>
    <row r="34" spans="2:15" ht="12.95" customHeight="1">
      <c r="B34" s="95" t="s">
        <v>64</v>
      </c>
      <c r="C34" s="96"/>
      <c r="D34" s="96"/>
      <c r="E34" s="98"/>
      <c r="F34" s="98"/>
      <c r="G34" s="98"/>
      <c r="H34" s="98"/>
      <c r="I34" s="98"/>
      <c r="J34" s="98"/>
      <c r="K34" s="98"/>
      <c r="L34" s="98"/>
      <c r="M34" s="98"/>
      <c r="N34" s="98"/>
      <c r="O34" s="98"/>
    </row>
    <row r="35" spans="2:15" ht="12.95" customHeight="1">
      <c r="B35" s="95" t="s">
        <v>63</v>
      </c>
      <c r="C35" s="96"/>
      <c r="D35" s="96"/>
      <c r="E35" s="98">
        <f>'Rate Class Energy Model'!C7</f>
        <v>47838206</v>
      </c>
      <c r="F35" s="98">
        <f>'Rate Class Energy Model'!C8</f>
        <v>46466503</v>
      </c>
      <c r="G35" s="98">
        <f>'Rate Class Energy Model'!C9</f>
        <v>48621576</v>
      </c>
      <c r="H35" s="98">
        <f>'Rate Class Energy Model'!C10</f>
        <v>48794159</v>
      </c>
      <c r="I35" s="98">
        <f>'Rate Class Energy Model'!C11</f>
        <v>49824701</v>
      </c>
      <c r="J35" s="98">
        <f>'Rate Class Energy Model'!C12</f>
        <v>50366915</v>
      </c>
      <c r="K35" s="98">
        <f>'Rate Class Energy Model'!C13</f>
        <v>49863299</v>
      </c>
      <c r="L35" s="98">
        <f>'Rate Class Energy Model'!C14</f>
        <v>49217302</v>
      </c>
      <c r="M35" s="98">
        <f>'Rate Class Energy Model'!C15</f>
        <v>49297751</v>
      </c>
      <c r="N35" s="98">
        <f>ROUND('Rate Class Energy Model'!C68,0)</f>
        <v>48222530</v>
      </c>
      <c r="O35" s="98">
        <f>ROUND('Rate Class Energy Model'!C69,0)</f>
        <v>48230452</v>
      </c>
    </row>
    <row r="36" spans="2:15" ht="12.95" customHeight="1">
      <c r="B36" s="92" t="s">
        <v>185</v>
      </c>
      <c r="C36" s="93"/>
      <c r="D36" s="93"/>
      <c r="E36" s="94"/>
      <c r="F36" s="94"/>
      <c r="G36" s="94"/>
      <c r="H36" s="94"/>
      <c r="I36" s="94"/>
      <c r="J36" s="94"/>
      <c r="K36" s="94"/>
      <c r="L36" s="94"/>
      <c r="M36" s="94"/>
      <c r="N36" s="97"/>
      <c r="O36" s="97"/>
    </row>
    <row r="37" spans="2:15" ht="12.95" customHeight="1">
      <c r="B37" s="95" t="s">
        <v>62</v>
      </c>
      <c r="C37" s="96"/>
      <c r="D37" s="96"/>
      <c r="E37" s="100">
        <f>'Rate Class Customer Model'!D7</f>
        <v>148</v>
      </c>
      <c r="F37" s="100">
        <f>'Rate Class Customer Model'!D8</f>
        <v>149</v>
      </c>
      <c r="G37" s="100">
        <f>'Rate Class Customer Model'!D9</f>
        <v>149</v>
      </c>
      <c r="H37" s="100">
        <f>'Rate Class Customer Model'!D10</f>
        <v>157</v>
      </c>
      <c r="I37" s="100">
        <f>'Rate Class Customer Model'!D11</f>
        <v>159</v>
      </c>
      <c r="J37" s="100">
        <f>'Rate Class Customer Model'!D12</f>
        <v>155</v>
      </c>
      <c r="K37" s="100">
        <f>'Rate Class Customer Model'!D13</f>
        <v>158</v>
      </c>
      <c r="L37" s="100">
        <f>'Rate Class Customer Model'!D14</f>
        <v>160</v>
      </c>
      <c r="M37" s="100">
        <f>'Rate Class Customer Model'!D15</f>
        <v>155</v>
      </c>
      <c r="N37" s="100">
        <f>ROUND('Rate Class Customer Model'!D16,0)</f>
        <v>156</v>
      </c>
      <c r="O37" s="100">
        <f>ROUND('Rate Class Customer Model'!D17,0)</f>
        <v>157</v>
      </c>
    </row>
    <row r="38" spans="2:15" ht="12.95" customHeight="1">
      <c r="B38" s="95" t="s">
        <v>64</v>
      </c>
      <c r="C38" s="96"/>
      <c r="D38" s="96"/>
      <c r="E38" s="98">
        <f>'Rate Class Load Model'!B7</f>
        <v>397889</v>
      </c>
      <c r="F38" s="98">
        <f>'Rate Class Load Model'!B8</f>
        <v>410390</v>
      </c>
      <c r="G38" s="98">
        <f>'Rate Class Load Model'!B9</f>
        <v>400427</v>
      </c>
      <c r="H38" s="98">
        <f>'Rate Class Load Model'!B10</f>
        <v>424930</v>
      </c>
      <c r="I38" s="98">
        <f>'Rate Class Load Model'!B11</f>
        <v>391840</v>
      </c>
      <c r="J38" s="98">
        <f>'Rate Class Load Model'!B12</f>
        <v>405678</v>
      </c>
      <c r="K38" s="98">
        <f>'Rate Class Load Model'!B13</f>
        <v>407943</v>
      </c>
      <c r="L38" s="98">
        <f>'Rate Class Load Model'!B14</f>
        <v>409427</v>
      </c>
      <c r="M38" s="98">
        <f>'Rate Class Load Model'!B15</f>
        <v>396778</v>
      </c>
      <c r="N38" s="98">
        <f>ROUND('Rate Class Load Model'!B16,0)</f>
        <v>401289</v>
      </c>
      <c r="O38" s="98">
        <f>ROUND('Rate Class Load Model'!B17,0)</f>
        <v>397192</v>
      </c>
    </row>
    <row r="39" spans="2:15" ht="12.95" customHeight="1">
      <c r="B39" s="95" t="s">
        <v>63</v>
      </c>
      <c r="C39" s="96"/>
      <c r="D39" s="96"/>
      <c r="E39" s="98">
        <f>'Rate Class Energy Model'!D7</f>
        <v>150240763.81200001</v>
      </c>
      <c r="F39" s="98">
        <f>'Rate Class Energy Model'!D8</f>
        <v>152091968.68650001</v>
      </c>
      <c r="G39" s="98">
        <f>'Rate Class Energy Model'!D9</f>
        <v>155266858</v>
      </c>
      <c r="H39" s="98">
        <f>'Rate Class Energy Model'!D10</f>
        <v>153099394.90175</v>
      </c>
      <c r="I39" s="98">
        <f>'Rate Class Energy Model'!D11</f>
        <v>154575435.79255</v>
      </c>
      <c r="J39" s="98">
        <f>'Rate Class Energy Model'!D12</f>
        <v>157311075</v>
      </c>
      <c r="K39" s="98">
        <f>'Rate Class Energy Model'!D13</f>
        <v>158255829</v>
      </c>
      <c r="L39" s="98">
        <f>'Rate Class Energy Model'!D14</f>
        <v>158471800</v>
      </c>
      <c r="M39" s="98">
        <f>'Rate Class Energy Model'!D15</f>
        <v>156131676</v>
      </c>
      <c r="N39" s="98">
        <f>ROUND('Rate Class Energy Model'!D68,0)</f>
        <v>152513510</v>
      </c>
      <c r="O39" s="98">
        <f>ROUND('Rate Class Energy Model'!D69,0)</f>
        <v>150956406</v>
      </c>
    </row>
    <row r="40" spans="2:15" ht="12.95" customHeight="1">
      <c r="B40" s="92" t="s">
        <v>188</v>
      </c>
      <c r="C40" s="93"/>
      <c r="D40" s="93"/>
      <c r="E40" s="94"/>
      <c r="F40" s="94"/>
      <c r="G40" s="94"/>
      <c r="H40" s="94"/>
      <c r="I40" s="94"/>
      <c r="J40" s="94"/>
      <c r="K40" s="94"/>
      <c r="L40" s="94"/>
      <c r="M40" s="94"/>
      <c r="N40" s="97"/>
      <c r="O40" s="97"/>
    </row>
    <row r="41" spans="2:15" ht="12.95" customHeight="1">
      <c r="B41" s="95" t="s">
        <v>62</v>
      </c>
      <c r="C41" s="96"/>
      <c r="D41" s="96"/>
      <c r="E41" s="100">
        <f>'Rate Class Customer Model'!F7</f>
        <v>3354</v>
      </c>
      <c r="F41" s="100">
        <f>'Rate Class Customer Model'!F8</f>
        <v>3399</v>
      </c>
      <c r="G41" s="100">
        <f>'Rate Class Customer Model'!F9</f>
        <v>3443</v>
      </c>
      <c r="H41" s="100">
        <f>'Rate Class Customer Model'!F10</f>
        <v>3460</v>
      </c>
      <c r="I41" s="100">
        <f>'Rate Class Customer Model'!F11</f>
        <v>3483</v>
      </c>
      <c r="J41" s="100">
        <f>'Rate Class Customer Model'!F12</f>
        <v>3490</v>
      </c>
      <c r="K41" s="100">
        <f>'Rate Class Customer Model'!F13</f>
        <v>3494</v>
      </c>
      <c r="L41" s="100">
        <f>'Rate Class Customer Model'!F14</f>
        <v>3512</v>
      </c>
      <c r="M41" s="100">
        <f>'Rate Class Customer Model'!F15</f>
        <v>3526</v>
      </c>
      <c r="N41" s="100">
        <f>ROUND('Rate Class Customer Model'!F16,0)</f>
        <v>3541</v>
      </c>
      <c r="O41" s="100">
        <f>ROUND('Rate Class Customer Model'!F17,0)</f>
        <v>3556</v>
      </c>
    </row>
    <row r="42" spans="2:15" ht="12.95" customHeight="1">
      <c r="B42" s="95" t="s">
        <v>64</v>
      </c>
      <c r="C42" s="96"/>
      <c r="D42" s="96"/>
      <c r="E42" s="98">
        <f>'Rate Class Load Model'!D7</f>
        <v>6846</v>
      </c>
      <c r="F42" s="98">
        <f>'Rate Class Load Model'!D8</f>
        <v>6897</v>
      </c>
      <c r="G42" s="98">
        <f>'Rate Class Load Model'!D9</f>
        <v>6352</v>
      </c>
      <c r="H42" s="98">
        <f>'Rate Class Load Model'!D10</f>
        <v>6981</v>
      </c>
      <c r="I42" s="98">
        <f>'Rate Class Load Model'!D11</f>
        <v>7006</v>
      </c>
      <c r="J42" s="98">
        <f>'Rate Class Load Model'!D12</f>
        <v>7036</v>
      </c>
      <c r="K42" s="98">
        <f>'Rate Class Load Model'!D13</f>
        <v>7045</v>
      </c>
      <c r="L42" s="98">
        <f>'Rate Class Load Model'!D14</f>
        <v>7076</v>
      </c>
      <c r="M42" s="98">
        <f>'Rate Class Load Model'!D15</f>
        <v>7084</v>
      </c>
      <c r="N42" s="98">
        <f>ROUND('Rate Class Load Model'!D16,0)</f>
        <v>7082</v>
      </c>
      <c r="O42" s="98">
        <f>ROUND('Rate Class Load Model'!D17,0)</f>
        <v>7098</v>
      </c>
    </row>
    <row r="43" spans="2:15" ht="12.95" customHeight="1">
      <c r="B43" s="95" t="s">
        <v>63</v>
      </c>
      <c r="C43" s="96"/>
      <c r="D43" s="96"/>
      <c r="E43" s="98">
        <f>'Rate Class Energy Model'!F7</f>
        <v>2462716</v>
      </c>
      <c r="F43" s="98">
        <f>'Rate Class Energy Model'!F8</f>
        <v>2474322</v>
      </c>
      <c r="G43" s="98">
        <f>'Rate Class Energy Model'!F9</f>
        <v>2435691</v>
      </c>
      <c r="H43" s="98">
        <f>'Rate Class Energy Model'!F10</f>
        <v>2491269</v>
      </c>
      <c r="I43" s="98">
        <f>'Rate Class Energy Model'!F11</f>
        <v>2516661</v>
      </c>
      <c r="J43" s="98">
        <f>'Rate Class Energy Model'!F12</f>
        <v>2520367</v>
      </c>
      <c r="K43" s="98">
        <f>'Rate Class Energy Model'!F13</f>
        <v>2523604</v>
      </c>
      <c r="L43" s="98">
        <f>'Rate Class Energy Model'!F14</f>
        <v>2534043</v>
      </c>
      <c r="M43" s="98">
        <f>'Rate Class Energy Model'!F15</f>
        <v>2549242</v>
      </c>
      <c r="N43" s="98">
        <f>ROUND('Rate Class Energy Model'!F68,0)</f>
        <v>2554940</v>
      </c>
      <c r="O43" s="98">
        <f>ROUND('Rate Class Energy Model'!F69,0)</f>
        <v>2560651</v>
      </c>
    </row>
    <row r="44" spans="2:15" ht="12.95" customHeight="1">
      <c r="B44" s="92" t="s">
        <v>187</v>
      </c>
      <c r="C44" s="93"/>
      <c r="D44" s="93"/>
      <c r="E44" s="94"/>
      <c r="F44" s="94"/>
      <c r="G44" s="94"/>
      <c r="H44" s="94"/>
      <c r="I44" s="94"/>
      <c r="J44" s="94"/>
      <c r="K44" s="94"/>
      <c r="L44" s="94"/>
      <c r="M44" s="94"/>
      <c r="N44" s="97"/>
      <c r="O44" s="97"/>
    </row>
    <row r="45" spans="2:15" ht="12.95" customHeight="1">
      <c r="B45" s="95" t="s">
        <v>73</v>
      </c>
      <c r="C45" s="96"/>
      <c r="D45" s="96"/>
      <c r="E45" s="100">
        <f>'Rate Class Customer Model'!G7</f>
        <v>288</v>
      </c>
      <c r="F45" s="100">
        <f>'Rate Class Customer Model'!G8</f>
        <v>288</v>
      </c>
      <c r="G45" s="100">
        <f>'Rate Class Customer Model'!G9</f>
        <v>288</v>
      </c>
      <c r="H45" s="100">
        <f>'Rate Class Customer Model'!G10</f>
        <v>278</v>
      </c>
      <c r="I45" s="100">
        <f>'Rate Class Customer Model'!G11</f>
        <v>273</v>
      </c>
      <c r="J45" s="100">
        <f>'Rate Class Customer Model'!G12</f>
        <v>260</v>
      </c>
      <c r="K45" s="100">
        <f>'Rate Class Customer Model'!G13</f>
        <v>244</v>
      </c>
      <c r="L45" s="100">
        <f>'Rate Class Customer Model'!G14</f>
        <v>212</v>
      </c>
      <c r="M45" s="100">
        <f>'Rate Class Customer Model'!G15</f>
        <v>206</v>
      </c>
      <c r="N45" s="100">
        <f>ROUND('Rate Class Customer Model'!G16,0)</f>
        <v>200</v>
      </c>
      <c r="O45" s="100">
        <f>ROUND('Rate Class Customer Model'!G17,0)</f>
        <v>195</v>
      </c>
    </row>
    <row r="46" spans="2:15" ht="12.95" customHeight="1">
      <c r="B46" s="95" t="s">
        <v>64</v>
      </c>
      <c r="C46" s="96"/>
      <c r="D46" s="96"/>
      <c r="E46" s="98">
        <f>'Rate Class Load Model'!E7</f>
        <v>1517</v>
      </c>
      <c r="F46" s="98">
        <f>'Rate Class Load Model'!E8</f>
        <v>1506</v>
      </c>
      <c r="G46" s="98">
        <f>'Rate Class Load Model'!E9</f>
        <v>1222</v>
      </c>
      <c r="H46" s="98">
        <f>'Rate Class Load Model'!E10</f>
        <v>1376</v>
      </c>
      <c r="I46" s="98">
        <f>'Rate Class Load Model'!E11</f>
        <v>1273</v>
      </c>
      <c r="J46" s="98">
        <f>'Rate Class Load Model'!E12</f>
        <v>1208</v>
      </c>
      <c r="K46" s="98">
        <f>'Rate Class Load Model'!E13</f>
        <v>1195</v>
      </c>
      <c r="L46" s="98">
        <f>'Rate Class Load Model'!E14</f>
        <v>1029</v>
      </c>
      <c r="M46" s="98">
        <f>'Rate Class Load Model'!E15</f>
        <v>979</v>
      </c>
      <c r="N46" s="98">
        <f>ROUND('Rate Class Load Model'!E16,0)</f>
        <v>933</v>
      </c>
      <c r="O46" s="98">
        <f>ROUND('Rate Class Load Model'!E17,0)</f>
        <v>896</v>
      </c>
    </row>
    <row r="47" spans="2:15" ht="12.95" customHeight="1">
      <c r="B47" s="95" t="s">
        <v>63</v>
      </c>
      <c r="C47" s="96"/>
      <c r="D47" s="96"/>
      <c r="E47" s="98">
        <f>'Rate Class Energy Model'!G7</f>
        <v>546285</v>
      </c>
      <c r="F47" s="98">
        <f>'Rate Class Energy Model'!G8</f>
        <v>542011</v>
      </c>
      <c r="G47" s="98">
        <f>'Rate Class Energy Model'!G9</f>
        <v>484493</v>
      </c>
      <c r="H47" s="98">
        <f>'Rate Class Energy Model'!G10</f>
        <v>495268</v>
      </c>
      <c r="I47" s="98">
        <f>'Rate Class Energy Model'!G11</f>
        <v>459641</v>
      </c>
      <c r="J47" s="98">
        <f>'Rate Class Energy Model'!G12</f>
        <v>434702</v>
      </c>
      <c r="K47" s="98">
        <f>'Rate Class Energy Model'!G13</f>
        <v>430027</v>
      </c>
      <c r="L47" s="98">
        <f>'Rate Class Energy Model'!G14</f>
        <v>370616</v>
      </c>
      <c r="M47" s="98">
        <f>'Rate Class Energy Model'!G15</f>
        <v>352408</v>
      </c>
      <c r="N47" s="98">
        <f>ROUND('Rate Class Energy Model'!G68,0)</f>
        <v>338308</v>
      </c>
      <c r="O47" s="98">
        <f>ROUND('Rate Class Energy Model'!G69,0)</f>
        <v>324773</v>
      </c>
    </row>
    <row r="48" spans="2:15" ht="12.95" customHeight="1">
      <c r="B48" s="92" t="s">
        <v>186</v>
      </c>
      <c r="C48" s="93"/>
      <c r="D48" s="93"/>
      <c r="E48" s="94"/>
      <c r="F48" s="94"/>
      <c r="G48" s="94"/>
      <c r="H48" s="94"/>
      <c r="I48" s="94"/>
      <c r="J48" s="94"/>
      <c r="K48" s="94"/>
      <c r="L48" s="94"/>
      <c r="M48" s="94"/>
      <c r="N48" s="97"/>
      <c r="O48" s="97"/>
    </row>
    <row r="49" spans="2:15" ht="12.95" customHeight="1">
      <c r="B49" s="95" t="s">
        <v>73</v>
      </c>
      <c r="C49" s="96"/>
      <c r="D49" s="96"/>
      <c r="E49" s="100">
        <f>'Rate Class Customer Model'!H7</f>
        <v>180</v>
      </c>
      <c r="F49" s="100">
        <f>'Rate Class Customer Model'!H8</f>
        <v>180</v>
      </c>
      <c r="G49" s="100">
        <f>'Rate Class Customer Model'!H9</f>
        <v>179</v>
      </c>
      <c r="H49" s="100">
        <f>'Rate Class Customer Model'!H10</f>
        <v>187</v>
      </c>
      <c r="I49" s="100">
        <f>'Rate Class Customer Model'!H11</f>
        <v>200</v>
      </c>
      <c r="J49" s="100">
        <f>'Rate Class Customer Model'!H12</f>
        <v>206</v>
      </c>
      <c r="K49" s="100">
        <f>'Rate Class Customer Model'!H13</f>
        <v>182</v>
      </c>
      <c r="L49" s="100">
        <f>'Rate Class Customer Model'!H14</f>
        <v>156</v>
      </c>
      <c r="M49" s="100">
        <f>'Rate Class Customer Model'!H15</f>
        <v>155</v>
      </c>
      <c r="N49" s="100">
        <f>ROUND('Rate Class Customer Model'!H16,0)</f>
        <v>153</v>
      </c>
      <c r="O49" s="100">
        <f>ROUND('Rate Class Customer Model'!H17,0)</f>
        <v>151</v>
      </c>
    </row>
    <row r="50" spans="2:15" ht="12.95" customHeight="1">
      <c r="B50" s="95" t="s">
        <v>64</v>
      </c>
      <c r="C50" s="96"/>
      <c r="D50" s="96"/>
      <c r="E50" s="98"/>
      <c r="F50" s="98"/>
      <c r="G50" s="98"/>
      <c r="H50" s="98"/>
      <c r="I50" s="98"/>
      <c r="J50" s="98"/>
      <c r="K50" s="98"/>
      <c r="L50" s="98"/>
      <c r="M50" s="98"/>
      <c r="N50" s="98"/>
      <c r="O50" s="98"/>
    </row>
    <row r="51" spans="2:15" ht="12.95" customHeight="1">
      <c r="B51" s="95" t="s">
        <v>63</v>
      </c>
      <c r="C51" s="96"/>
      <c r="D51" s="96"/>
      <c r="E51" s="98">
        <f>'Rate Class Energy Model'!H7</f>
        <v>1094000</v>
      </c>
      <c r="F51" s="98">
        <f>'Rate Class Energy Model'!H8</f>
        <v>1094328</v>
      </c>
      <c r="G51" s="98">
        <f>'Rate Class Energy Model'!H9</f>
        <v>1127823.4285714286</v>
      </c>
      <c r="H51" s="98">
        <f>'Rate Class Energy Model'!H10</f>
        <v>1262210</v>
      </c>
      <c r="I51" s="98">
        <f>'Rate Class Energy Model'!H11</f>
        <v>1336199</v>
      </c>
      <c r="J51" s="98">
        <f>'Rate Class Energy Model'!H12</f>
        <v>1407589</v>
      </c>
      <c r="K51" s="98">
        <f>'Rate Class Energy Model'!H13</f>
        <v>1097760</v>
      </c>
      <c r="L51" s="98">
        <f>'Rate Class Energy Model'!H14</f>
        <v>922608</v>
      </c>
      <c r="M51" s="98">
        <f>'Rate Class Energy Model'!H15</f>
        <v>862308</v>
      </c>
      <c r="N51" s="98">
        <f>ROUND('Rate Class Energy Model'!H68,0)</f>
        <v>842265</v>
      </c>
      <c r="O51" s="98">
        <f>ROUND('Rate Class Energy Model'!H69,0)</f>
        <v>822688</v>
      </c>
    </row>
    <row r="52" spans="2:15" ht="12.95" customHeight="1">
      <c r="B52" s="91"/>
      <c r="C52" s="91"/>
      <c r="D52" s="91"/>
      <c r="E52" s="89"/>
      <c r="F52" s="89"/>
      <c r="G52" s="89"/>
      <c r="H52" s="89"/>
      <c r="I52" s="89"/>
      <c r="J52" s="89"/>
      <c r="K52" s="89"/>
      <c r="L52" s="89"/>
      <c r="M52" s="89"/>
      <c r="N52" s="89"/>
    </row>
    <row r="53" spans="2:15" ht="12.95" customHeight="1">
      <c r="B53" s="91"/>
      <c r="C53" s="91"/>
      <c r="D53" s="91"/>
      <c r="E53" s="89"/>
      <c r="F53" s="89"/>
      <c r="G53" s="89"/>
      <c r="H53" s="89"/>
      <c r="I53" s="89"/>
      <c r="J53" s="89"/>
      <c r="K53" s="89"/>
      <c r="L53" s="89"/>
      <c r="M53" s="89"/>
      <c r="N53" s="89"/>
    </row>
    <row r="54" spans="2:15" ht="12.95" customHeight="1">
      <c r="B54" s="92" t="s">
        <v>189</v>
      </c>
      <c r="C54" s="93"/>
      <c r="D54" s="93"/>
      <c r="E54" s="94"/>
      <c r="F54" s="94"/>
      <c r="G54" s="94"/>
      <c r="H54" s="94"/>
      <c r="I54" s="94"/>
      <c r="J54" s="94"/>
      <c r="K54" s="94"/>
      <c r="L54" s="94"/>
      <c r="M54" s="94"/>
      <c r="N54" s="97"/>
      <c r="O54" s="97"/>
    </row>
    <row r="55" spans="2:15" ht="12.95" customHeight="1">
      <c r="B55" s="162" t="s">
        <v>74</v>
      </c>
      <c r="C55" s="163"/>
      <c r="D55" s="163"/>
      <c r="E55" s="165">
        <f t="shared" ref="E55:M55" si="3">E29+E33+E37+E41+E45+E49</f>
        <v>15613</v>
      </c>
      <c r="F55" s="165">
        <f t="shared" si="3"/>
        <v>15724</v>
      </c>
      <c r="G55" s="165">
        <f t="shared" si="3"/>
        <v>15817</v>
      </c>
      <c r="H55" s="165">
        <f t="shared" si="3"/>
        <v>15955</v>
      </c>
      <c r="I55" s="165">
        <f t="shared" si="3"/>
        <v>16099</v>
      </c>
      <c r="J55" s="165">
        <f t="shared" si="3"/>
        <v>16212</v>
      </c>
      <c r="K55" s="165">
        <f t="shared" si="3"/>
        <v>16360</v>
      </c>
      <c r="L55" s="165">
        <f t="shared" si="3"/>
        <v>16445</v>
      </c>
      <c r="M55" s="165">
        <f t="shared" si="3"/>
        <v>16570</v>
      </c>
      <c r="N55" s="165">
        <f>N29+N33+N37+N41+N45+N49</f>
        <v>16696</v>
      </c>
      <c r="O55" s="165">
        <f>O29+O33+O37+O41+O45+O49</f>
        <v>16823</v>
      </c>
    </row>
    <row r="56" spans="2:15" ht="12.95" customHeight="1">
      <c r="B56" s="162" t="s">
        <v>64</v>
      </c>
      <c r="C56" s="163"/>
      <c r="D56" s="163"/>
      <c r="E56" s="164">
        <f t="shared" ref="E56:N56" si="4">E30+E34+E38+E42+E46+E50</f>
        <v>406252</v>
      </c>
      <c r="F56" s="164">
        <f t="shared" si="4"/>
        <v>418793</v>
      </c>
      <c r="G56" s="164">
        <f t="shared" si="4"/>
        <v>408001</v>
      </c>
      <c r="H56" s="164">
        <f t="shared" si="4"/>
        <v>433287</v>
      </c>
      <c r="I56" s="164">
        <f t="shared" si="4"/>
        <v>400119</v>
      </c>
      <c r="J56" s="164">
        <f t="shared" si="4"/>
        <v>413922</v>
      </c>
      <c r="K56" s="164">
        <f t="shared" si="4"/>
        <v>416183</v>
      </c>
      <c r="L56" s="164">
        <f t="shared" si="4"/>
        <v>417532</v>
      </c>
      <c r="M56" s="164">
        <f t="shared" si="4"/>
        <v>404841</v>
      </c>
      <c r="N56" s="164">
        <f t="shared" si="4"/>
        <v>409304</v>
      </c>
      <c r="O56" s="164">
        <f>O30+O34+O38+O42+O46+O50</f>
        <v>405186</v>
      </c>
    </row>
    <row r="57" spans="2:15" ht="12.95" customHeight="1">
      <c r="B57" s="162" t="s">
        <v>63</v>
      </c>
      <c r="C57" s="163"/>
      <c r="D57" s="163"/>
      <c r="E57" s="164">
        <f t="shared" ref="E57:N57" si="5">E31+E35+E39+E43+E47+E51</f>
        <v>305923493.81200004</v>
      </c>
      <c r="F57" s="164">
        <f t="shared" si="5"/>
        <v>308052397.68650001</v>
      </c>
      <c r="G57" s="164">
        <f t="shared" si="5"/>
        <v>317673032.4285714</v>
      </c>
      <c r="H57" s="164">
        <f t="shared" si="5"/>
        <v>314305834.90174997</v>
      </c>
      <c r="I57" s="164">
        <f t="shared" si="5"/>
        <v>317099431.79254997</v>
      </c>
      <c r="J57" s="164">
        <f t="shared" si="5"/>
        <v>323017340</v>
      </c>
      <c r="K57" s="164">
        <f t="shared" si="5"/>
        <v>320376795</v>
      </c>
      <c r="L57" s="164">
        <f t="shared" si="5"/>
        <v>321106485</v>
      </c>
      <c r="M57" s="164">
        <f t="shared" si="5"/>
        <v>319007969</v>
      </c>
      <c r="N57" s="164">
        <f t="shared" si="5"/>
        <v>312508658</v>
      </c>
      <c r="O57" s="164">
        <f>O31+O35+O39+O43+O47+O51</f>
        <v>311571133</v>
      </c>
    </row>
    <row r="59" spans="2:15" ht="12.95" customHeight="1">
      <c r="E59" s="83"/>
      <c r="F59" s="83"/>
      <c r="G59" s="83"/>
      <c r="H59" s="83"/>
      <c r="I59" s="83"/>
      <c r="J59" s="83"/>
      <c r="K59" s="83"/>
      <c r="L59" s="83"/>
      <c r="M59" s="83"/>
      <c r="N59" s="83"/>
      <c r="O59" s="83"/>
    </row>
    <row r="60" spans="2:15" ht="12.95" customHeight="1">
      <c r="E60" s="83"/>
      <c r="F60" s="83"/>
      <c r="G60" s="83"/>
      <c r="H60" s="83"/>
      <c r="I60" s="83"/>
      <c r="J60" s="83"/>
      <c r="K60" s="83"/>
      <c r="L60" s="83"/>
      <c r="M60" s="83"/>
      <c r="N60" s="83"/>
      <c r="O60" s="83"/>
    </row>
    <row r="61" spans="2:15" ht="12.95" customHeight="1">
      <c r="B61" s="159" t="s">
        <v>197</v>
      </c>
      <c r="C61" s="85"/>
      <c r="D61" s="85"/>
      <c r="E61" s="86"/>
      <c r="F61" s="86"/>
      <c r="G61" s="86"/>
      <c r="H61" s="86"/>
      <c r="I61" s="86"/>
      <c r="J61" s="86"/>
      <c r="K61" s="86"/>
      <c r="L61" s="86"/>
      <c r="M61" s="86"/>
      <c r="N61" s="86"/>
      <c r="O61" s="86"/>
    </row>
    <row r="62" spans="2:15" ht="12.95" customHeight="1">
      <c r="E62" s="83"/>
      <c r="F62" s="83"/>
      <c r="G62" s="83"/>
      <c r="H62" s="83"/>
      <c r="I62" s="83"/>
      <c r="J62" s="83"/>
      <c r="K62" s="83"/>
      <c r="L62" s="83"/>
      <c r="M62" s="83"/>
      <c r="N62" s="83"/>
      <c r="O62" s="83"/>
    </row>
    <row r="63" spans="2:15" ht="12.95" customHeight="1">
      <c r="B63" s="84" t="s">
        <v>80</v>
      </c>
      <c r="C63" s="84"/>
      <c r="D63" s="84"/>
      <c r="E63" s="83"/>
      <c r="F63" s="83"/>
      <c r="G63" s="83"/>
      <c r="H63" s="83"/>
      <c r="I63" s="83"/>
      <c r="J63" s="83"/>
      <c r="K63" s="83"/>
      <c r="L63" s="83"/>
      <c r="M63" s="83"/>
      <c r="N63" s="83"/>
      <c r="O63" s="83"/>
    </row>
    <row r="64" spans="2:15" ht="12.95" customHeight="1">
      <c r="B64" s="81" t="s">
        <v>74</v>
      </c>
      <c r="E64" s="83">
        <f>'Rate Class Customer Model'!I7</f>
        <v>15613.000000001</v>
      </c>
      <c r="F64" s="83">
        <f>'Rate Class Customer Model'!I8</f>
        <v>15724.000000001</v>
      </c>
      <c r="G64" s="83">
        <f>'Rate Class Customer Model'!I9</f>
        <v>15817.000000001</v>
      </c>
      <c r="H64" s="83">
        <f>'Rate Class Customer Model'!I10</f>
        <v>15955.000000001</v>
      </c>
      <c r="I64" s="83">
        <f>'Rate Class Customer Model'!I11</f>
        <v>16099.000000001</v>
      </c>
      <c r="J64" s="83">
        <f>'Rate Class Customer Model'!I12</f>
        <v>16212.000000001</v>
      </c>
      <c r="K64" s="83">
        <f>'Rate Class Customer Model'!I13</f>
        <v>16360.000000001</v>
      </c>
      <c r="L64" s="83">
        <f>'Rate Class Customer Model'!I14</f>
        <v>16445.000000001</v>
      </c>
      <c r="M64" s="83">
        <f>'Rate Class Customer Model'!I15</f>
        <v>16570.000000001</v>
      </c>
      <c r="N64" s="83">
        <f>'Rate Class Customer Model'!I16</f>
        <v>16695.920844683646</v>
      </c>
      <c r="O64" s="83">
        <f>'Rate Class Customer Model'!I17</f>
        <v>16823.257489200758</v>
      </c>
    </row>
    <row r="65" spans="2:15" ht="12.95" customHeight="1">
      <c r="B65" s="81" t="s">
        <v>64</v>
      </c>
      <c r="E65" s="83">
        <f>'Rate Class Load Model'!F7</f>
        <v>406252</v>
      </c>
      <c r="F65" s="83">
        <f>'Rate Class Load Model'!F8</f>
        <v>418793</v>
      </c>
      <c r="G65" s="83">
        <f>'Rate Class Load Model'!F9</f>
        <v>408001</v>
      </c>
      <c r="H65" s="83">
        <f>'Rate Class Load Model'!F10</f>
        <v>433287</v>
      </c>
      <c r="I65" s="83">
        <f>'Rate Class Load Model'!F11</f>
        <v>400119</v>
      </c>
      <c r="J65" s="83">
        <f>'Rate Class Load Model'!F12</f>
        <v>413922</v>
      </c>
      <c r="K65" s="83">
        <f>'Rate Class Load Model'!F13</f>
        <v>416183</v>
      </c>
      <c r="L65" s="83">
        <f>'Rate Class Load Model'!F14</f>
        <v>417532</v>
      </c>
      <c r="M65" s="83">
        <f>'Rate Class Load Model'!F15</f>
        <v>404841</v>
      </c>
      <c r="N65" s="83">
        <f>'Rate Class Load Model'!F16</f>
        <v>409303.93494255171</v>
      </c>
      <c r="O65" s="83">
        <f>'Rate Class Load Model'!F17</f>
        <v>405185.43752271071</v>
      </c>
    </row>
    <row r="66" spans="2:15" ht="12.95" customHeight="1">
      <c r="B66" s="81" t="s">
        <v>63</v>
      </c>
      <c r="E66" s="83">
        <f>'Rate Class Energy Model'!I7</f>
        <v>305923494</v>
      </c>
      <c r="F66" s="83">
        <f>'Rate Class Energy Model'!I8</f>
        <v>308052398</v>
      </c>
      <c r="G66" s="83">
        <f>'Rate Class Energy Model'!I9</f>
        <v>317673032</v>
      </c>
      <c r="H66" s="83">
        <f>'Rate Class Energy Model'!I10</f>
        <v>314305835</v>
      </c>
      <c r="I66" s="83">
        <f>'Rate Class Energy Model'!I11</f>
        <v>317099432</v>
      </c>
      <c r="J66" s="83">
        <f>'Rate Class Energy Model'!I12</f>
        <v>323017340</v>
      </c>
      <c r="K66" s="83">
        <f>'Rate Class Energy Model'!I13</f>
        <v>320376795</v>
      </c>
      <c r="L66" s="83">
        <f>'Rate Class Energy Model'!I14</f>
        <v>321106485</v>
      </c>
      <c r="M66" s="83">
        <f>'Rate Class Energy Model'!I15</f>
        <v>319007969</v>
      </c>
      <c r="N66" s="83">
        <f>'Rate Class Energy Model'!J76</f>
        <v>312508658.64506996</v>
      </c>
      <c r="O66" s="83">
        <f>'Rate Class Energy Model'!J77</f>
        <v>311571132.66913474</v>
      </c>
    </row>
    <row r="68" spans="2:15" ht="12.95" customHeight="1">
      <c r="E68" s="83"/>
      <c r="F68" s="83"/>
      <c r="G68" s="83"/>
      <c r="H68" s="83"/>
      <c r="I68" s="83"/>
      <c r="J68" s="83"/>
      <c r="K68" s="83"/>
      <c r="L68" s="83"/>
      <c r="M68" s="83"/>
      <c r="N68" s="83"/>
      <c r="O68" s="83"/>
    </row>
    <row r="69" spans="2:15" ht="12.95" customHeight="1">
      <c r="B69" s="84" t="s">
        <v>81</v>
      </c>
      <c r="C69" s="84"/>
      <c r="D69" s="84"/>
      <c r="N69" s="418" t="s">
        <v>270</v>
      </c>
      <c r="O69" s="418"/>
    </row>
    <row r="70" spans="2:15" ht="12.95" customHeight="1">
      <c r="B70" s="81" t="s">
        <v>74</v>
      </c>
      <c r="E70" s="83">
        <f>E55-E64</f>
        <v>-1.0004441719502211E-9</v>
      </c>
      <c r="F70" s="83">
        <f t="shared" ref="F70:N70" si="6">F55-F64</f>
        <v>-1.0004441719502211E-9</v>
      </c>
      <c r="G70" s="83">
        <f t="shared" si="6"/>
        <v>-1.0004441719502211E-9</v>
      </c>
      <c r="H70" s="83">
        <f t="shared" si="6"/>
        <v>-1.0004441719502211E-9</v>
      </c>
      <c r="I70" s="83">
        <f t="shared" si="6"/>
        <v>-1.0004441719502211E-9</v>
      </c>
      <c r="J70" s="83">
        <f t="shared" si="6"/>
        <v>-1.0004441719502211E-9</v>
      </c>
      <c r="K70" s="83">
        <f t="shared" si="6"/>
        <v>-1.0004441719502211E-9</v>
      </c>
      <c r="L70" s="83">
        <f t="shared" si="6"/>
        <v>-1.0004441719502211E-9</v>
      </c>
      <c r="M70" s="83">
        <f t="shared" si="6"/>
        <v>-1.0004441719502211E-9</v>
      </c>
      <c r="N70" s="83">
        <f t="shared" si="6"/>
        <v>7.9155316354444949E-2</v>
      </c>
      <c r="O70" s="83">
        <f>O55-O64</f>
        <v>-0.25748920075784554</v>
      </c>
    </row>
    <row r="71" spans="2:15" ht="12.95" customHeight="1">
      <c r="B71" s="81" t="s">
        <v>64</v>
      </c>
      <c r="E71" s="83">
        <f>E56-E65</f>
        <v>0</v>
      </c>
      <c r="F71" s="83">
        <f t="shared" ref="F71:M71" si="7">F56-F65</f>
        <v>0</v>
      </c>
      <c r="G71" s="83">
        <f t="shared" si="7"/>
        <v>0</v>
      </c>
      <c r="H71" s="83">
        <f t="shared" si="7"/>
        <v>0</v>
      </c>
      <c r="I71" s="83">
        <f t="shared" si="7"/>
        <v>0</v>
      </c>
      <c r="J71" s="83">
        <f t="shared" si="7"/>
        <v>0</v>
      </c>
      <c r="K71" s="83">
        <f t="shared" si="7"/>
        <v>0</v>
      </c>
      <c r="L71" s="83">
        <f t="shared" si="7"/>
        <v>0</v>
      </c>
      <c r="M71" s="83">
        <f t="shared" si="7"/>
        <v>0</v>
      </c>
      <c r="N71" s="83">
        <f>N56-N65</f>
        <v>6.5057448286097497E-2</v>
      </c>
      <c r="O71" s="83">
        <f>O56-O65</f>
        <v>0.56247728929156438</v>
      </c>
    </row>
    <row r="72" spans="2:15" ht="12.95" customHeight="1">
      <c r="B72" s="81" t="s">
        <v>63</v>
      </c>
      <c r="E72" s="83">
        <f>E57-E66</f>
        <v>-0.18799996376037598</v>
      </c>
      <c r="F72" s="83">
        <f t="shared" ref="F72:N72" si="8">F57-F66</f>
        <v>-0.31349998712539673</v>
      </c>
      <c r="G72" s="83">
        <f t="shared" si="8"/>
        <v>0.42857140302658081</v>
      </c>
      <c r="H72" s="83">
        <f t="shared" si="8"/>
        <v>-9.8250031471252441E-2</v>
      </c>
      <c r="I72" s="83">
        <f t="shared" si="8"/>
        <v>-0.20745003223419189</v>
      </c>
      <c r="J72" s="83">
        <f t="shared" si="8"/>
        <v>0</v>
      </c>
      <c r="K72" s="83">
        <f t="shared" si="8"/>
        <v>0</v>
      </c>
      <c r="L72" s="83">
        <f t="shared" si="8"/>
        <v>0</v>
      </c>
      <c r="M72" s="83">
        <f t="shared" si="8"/>
        <v>0</v>
      </c>
      <c r="N72" s="83">
        <f t="shared" si="8"/>
        <v>-0.64506995677947998</v>
      </c>
      <c r="O72" s="83">
        <f>O57-O66</f>
        <v>0.33086526393890381</v>
      </c>
    </row>
    <row r="75" spans="2:15" ht="12.95" customHeight="1">
      <c r="B75" s="84" t="s">
        <v>122</v>
      </c>
      <c r="C75" s="84"/>
      <c r="D75" s="84"/>
      <c r="E75" s="83"/>
      <c r="F75" s="83"/>
    </row>
    <row r="76" spans="2:15" ht="12.95" customHeight="1">
      <c r="B76" s="81" t="s">
        <v>123</v>
      </c>
      <c r="E76" s="83"/>
      <c r="F76" s="83"/>
      <c r="G76" s="83">
        <f>'Loss Factors'!E17</f>
        <v>327858855</v>
      </c>
      <c r="H76" s="83">
        <f>'Loss Factors'!F17</f>
        <v>326758737</v>
      </c>
      <c r="I76" s="83">
        <f>'Loss Factors'!G17</f>
        <v>329583057</v>
      </c>
      <c r="J76" s="83">
        <f>'Loss Factors'!H17</f>
        <v>346922941.30000001</v>
      </c>
      <c r="K76" s="83">
        <f>'Loss Factors'!I17</f>
        <v>339836662</v>
      </c>
      <c r="L76" s="83">
        <f>'Loss Factors'!J17</f>
        <v>340350915</v>
      </c>
      <c r="M76" s="83">
        <f>'Loss Factors'!K17</f>
        <v>337342212</v>
      </c>
    </row>
    <row r="77" spans="2:15" ht="12.95" customHeight="1">
      <c r="B77" s="81" t="s">
        <v>124</v>
      </c>
      <c r="E77" s="83"/>
      <c r="F77" s="83"/>
      <c r="G77" s="83">
        <f>'Loss Factors'!E12</f>
        <v>317673033</v>
      </c>
      <c r="H77" s="83">
        <f>'Loss Factors'!F12</f>
        <v>314305835</v>
      </c>
      <c r="I77" s="83">
        <f>'Loss Factors'!G12</f>
        <v>317099431</v>
      </c>
      <c r="J77" s="83">
        <f>'Loss Factors'!H12</f>
        <v>323017340</v>
      </c>
      <c r="K77" s="83">
        <f>'Loss Factors'!I12</f>
        <v>320376795</v>
      </c>
      <c r="L77" s="83">
        <f>'Loss Factors'!J12</f>
        <v>321106485</v>
      </c>
      <c r="M77" s="83">
        <f>'Loss Factors'!K12</f>
        <v>319007970</v>
      </c>
    </row>
    <row r="78" spans="2:15" ht="12.95" customHeight="1">
      <c r="E78" s="83"/>
      <c r="F78" s="83"/>
    </row>
    <row r="79" spans="2:15" ht="12.95" customHeight="1">
      <c r="B79" s="84" t="s">
        <v>81</v>
      </c>
      <c r="C79" s="84"/>
      <c r="D79" s="84"/>
      <c r="E79" s="83"/>
      <c r="F79" s="83"/>
    </row>
    <row r="80" spans="2:15" ht="12.95" customHeight="1">
      <c r="B80" s="81" t="s">
        <v>123</v>
      </c>
      <c r="E80" s="83"/>
      <c r="F80" s="83"/>
      <c r="G80" s="83">
        <f t="shared" ref="G80:M80" si="9">G7-G76</f>
        <v>1.0000050067901611E-2</v>
      </c>
      <c r="H80" s="83">
        <f t="shared" si="9"/>
        <v>-0.31999993324279785</v>
      </c>
      <c r="I80" s="83">
        <f t="shared" si="9"/>
        <v>0.43000000715255737</v>
      </c>
      <c r="J80" s="83">
        <f t="shared" si="9"/>
        <v>-4.0000021457672119E-2</v>
      </c>
      <c r="K80" s="83">
        <f t="shared" si="9"/>
        <v>-0.4299999475479126</v>
      </c>
      <c r="L80" s="83">
        <f t="shared" si="9"/>
        <v>0</v>
      </c>
      <c r="M80" s="83">
        <f t="shared" si="9"/>
        <v>0</v>
      </c>
    </row>
    <row r="81" spans="2:15" ht="12.95" customHeight="1">
      <c r="B81" s="81" t="s">
        <v>124</v>
      </c>
      <c r="E81" s="83"/>
      <c r="F81" s="83"/>
      <c r="G81" s="83">
        <f t="shared" ref="G81:M81" si="10">G15-G77</f>
        <v>-1</v>
      </c>
      <c r="H81" s="83">
        <f t="shared" si="10"/>
        <v>0</v>
      </c>
      <c r="I81" s="83">
        <f t="shared" si="10"/>
        <v>1</v>
      </c>
      <c r="J81" s="83">
        <f t="shared" si="10"/>
        <v>0</v>
      </c>
      <c r="K81" s="83">
        <f t="shared" si="10"/>
        <v>0</v>
      </c>
      <c r="L81" s="83">
        <f t="shared" si="10"/>
        <v>0</v>
      </c>
      <c r="M81" s="83">
        <f t="shared" si="10"/>
        <v>-1</v>
      </c>
    </row>
    <row r="84" spans="2:15" ht="12.95" customHeight="1">
      <c r="N84" s="418" t="s">
        <v>270</v>
      </c>
      <c r="O84" s="418"/>
    </row>
    <row r="85" spans="2:15" ht="12.95" customHeight="1">
      <c r="E85" s="274">
        <f t="shared" ref="E85:N85" si="11">E57-E17</f>
        <v>-0.18799996376037598</v>
      </c>
      <c r="F85" s="274">
        <f t="shared" si="11"/>
        <v>-0.31349998712539673</v>
      </c>
      <c r="G85" s="274">
        <f t="shared" si="11"/>
        <v>0.42857140302658081</v>
      </c>
      <c r="H85" s="274">
        <f t="shared" si="11"/>
        <v>-9.8250031471252441E-2</v>
      </c>
      <c r="I85" s="274">
        <f t="shared" si="11"/>
        <v>-0.20745003223419189</v>
      </c>
      <c r="J85" s="274">
        <f t="shared" si="11"/>
        <v>0</v>
      </c>
      <c r="K85" s="274">
        <f t="shared" si="11"/>
        <v>0</v>
      </c>
      <c r="L85" s="274">
        <f t="shared" si="11"/>
        <v>0</v>
      </c>
      <c r="M85" s="274">
        <f t="shared" si="11"/>
        <v>0</v>
      </c>
      <c r="N85" s="274">
        <f t="shared" si="11"/>
        <v>-1</v>
      </c>
      <c r="O85" s="274">
        <f>O57-O17</f>
        <v>0</v>
      </c>
    </row>
  </sheetData>
  <mergeCells count="2">
    <mergeCell ref="N69:O69"/>
    <mergeCell ref="N84:O84"/>
  </mergeCells>
  <phoneticPr fontId="0" type="noConversion"/>
  <pageMargins left="0.25" right="0.25" top="0.25" bottom="0.25" header="0.5" footer="0.5"/>
  <pageSetup scale="52" orientation="landscape"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sheetPr enableFormatConditionsCalculation="0">
    <tabColor indexed="12"/>
    <pageSetUpPr fitToPage="1"/>
  </sheetPr>
  <dimension ref="B1:S72"/>
  <sheetViews>
    <sheetView showGridLines="0" tabSelected="1" topLeftCell="A37" workbookViewId="0">
      <selection activeCell="C13" sqref="C13"/>
    </sheetView>
  </sheetViews>
  <sheetFormatPr defaultRowHeight="12.95" customHeight="1"/>
  <cols>
    <col min="1" max="1" width="1.7109375" style="114" customWidth="1"/>
    <col min="2" max="2" width="5.140625" style="89" customWidth="1"/>
    <col min="3" max="3" width="39.28515625" style="114" customWidth="1"/>
    <col min="4" max="4" width="10.140625" style="114" hidden="1" customWidth="1"/>
    <col min="5" max="7" width="10.7109375" style="114" customWidth="1"/>
    <col min="8" max="11" width="10.7109375" style="89" customWidth="1"/>
    <col min="12" max="14" width="10.7109375" style="114" customWidth="1"/>
    <col min="15" max="15" width="1.7109375" style="114" customWidth="1"/>
    <col min="16" max="16" width="10.85546875" style="114" customWidth="1"/>
    <col min="17" max="16384" width="9.140625" style="114"/>
  </cols>
  <sheetData>
    <row r="1" spans="2:19" ht="12.95" customHeight="1">
      <c r="B1" s="75" t="s">
        <v>359</v>
      </c>
      <c r="C1" s="75"/>
      <c r="D1" s="75"/>
      <c r="E1" s="75"/>
      <c r="F1" s="113"/>
      <c r="G1" s="113"/>
      <c r="H1" s="113"/>
      <c r="I1" s="113"/>
      <c r="J1" s="113"/>
      <c r="K1" s="75"/>
      <c r="L1" s="75"/>
      <c r="M1" s="75"/>
      <c r="N1" s="75"/>
      <c r="O1" s="115"/>
      <c r="P1" s="115"/>
      <c r="Q1" s="115"/>
      <c r="R1" s="115"/>
      <c r="S1" s="115"/>
    </row>
    <row r="2" spans="2:19" ht="5.0999999999999996" customHeight="1">
      <c r="B2" s="139"/>
      <c r="C2" s="139"/>
      <c r="D2" s="139"/>
      <c r="E2" s="139"/>
      <c r="F2" s="139">
        <v>1.0149999999999999</v>
      </c>
      <c r="G2" s="139"/>
      <c r="H2" s="139"/>
      <c r="I2" s="139"/>
      <c r="J2" s="139"/>
      <c r="K2" s="139"/>
      <c r="L2" s="139"/>
      <c r="M2" s="139"/>
      <c r="N2" s="139"/>
      <c r="O2" s="115"/>
      <c r="P2" s="115"/>
      <c r="Q2" s="115"/>
      <c r="R2" s="115"/>
      <c r="S2" s="115"/>
    </row>
    <row r="3" spans="2:19" ht="12.95" customHeight="1">
      <c r="B3" s="116"/>
      <c r="C3" s="116"/>
      <c r="D3" s="116"/>
      <c r="E3" s="116"/>
      <c r="F3" s="116"/>
      <c r="G3" s="116"/>
      <c r="H3" s="116"/>
      <c r="I3" s="116"/>
      <c r="J3" s="116"/>
      <c r="K3" s="116"/>
      <c r="L3" s="116"/>
      <c r="M3" s="116"/>
      <c r="N3" s="116"/>
      <c r="O3" s="115"/>
      <c r="P3" s="115"/>
      <c r="Q3" s="115"/>
      <c r="R3" s="115"/>
      <c r="S3" s="115"/>
    </row>
    <row r="4" spans="2:19" ht="39" customHeight="1">
      <c r="B4" s="87" t="s">
        <v>89</v>
      </c>
      <c r="C4" s="87"/>
      <c r="D4" s="82"/>
      <c r="E4" s="82" t="s">
        <v>67</v>
      </c>
      <c r="F4" s="82" t="s">
        <v>68</v>
      </c>
      <c r="G4" s="82" t="s">
        <v>69</v>
      </c>
      <c r="H4" s="82" t="s">
        <v>70</v>
      </c>
      <c r="I4" s="82" t="s">
        <v>71</v>
      </c>
      <c r="J4" s="82" t="s">
        <v>72</v>
      </c>
      <c r="K4" s="82" t="s">
        <v>225</v>
      </c>
      <c r="L4" s="82" t="s">
        <v>15</v>
      </c>
      <c r="M4" s="82" t="s">
        <v>316</v>
      </c>
      <c r="N4" s="82" t="s">
        <v>317</v>
      </c>
    </row>
    <row r="5" spans="2:19" ht="12.95" customHeight="1">
      <c r="B5" s="118"/>
      <c r="C5" s="119"/>
      <c r="D5" s="119"/>
      <c r="E5" s="119"/>
      <c r="F5" s="119"/>
      <c r="G5" s="120"/>
      <c r="H5" s="121"/>
      <c r="I5" s="122"/>
      <c r="J5" s="122"/>
      <c r="K5" s="122"/>
      <c r="L5" s="123"/>
      <c r="M5" s="121"/>
      <c r="N5" s="121"/>
    </row>
    <row r="6" spans="2:19" ht="12.95" customHeight="1">
      <c r="B6" s="92" t="s">
        <v>90</v>
      </c>
      <c r="C6" s="93"/>
      <c r="D6" s="93"/>
      <c r="E6" s="94"/>
      <c r="F6" s="94"/>
      <c r="G6" s="94"/>
      <c r="H6" s="94"/>
      <c r="I6" s="94"/>
      <c r="J6" s="94"/>
      <c r="K6" s="94"/>
      <c r="L6" s="94"/>
      <c r="M6" s="94"/>
      <c r="N6" s="94"/>
    </row>
    <row r="7" spans="2:19" ht="12.95" customHeight="1">
      <c r="B7" s="140" t="s">
        <v>91</v>
      </c>
      <c r="C7" s="141" t="s">
        <v>92</v>
      </c>
      <c r="D7" s="142"/>
      <c r="E7" s="142">
        <f t="shared" ref="E7:K7" si="0">E18</f>
        <v>327646404</v>
      </c>
      <c r="F7" s="142">
        <f t="shared" si="0"/>
        <v>326488330</v>
      </c>
      <c r="G7" s="142">
        <f t="shared" si="0"/>
        <v>327399956</v>
      </c>
      <c r="H7" s="142">
        <f t="shared" si="0"/>
        <v>335789477</v>
      </c>
      <c r="I7" s="142">
        <f t="shared" si="0"/>
        <v>329335625</v>
      </c>
      <c r="J7" s="142">
        <f t="shared" si="0"/>
        <v>333321095</v>
      </c>
      <c r="K7" s="142">
        <f t="shared" si="0"/>
        <v>330155444.95073891</v>
      </c>
      <c r="L7" s="143">
        <f>SUM(E7:K7)</f>
        <v>2310136331.9507389</v>
      </c>
      <c r="M7" s="142">
        <f>M18</f>
        <v>322993199.25245756</v>
      </c>
      <c r="N7" s="142">
        <f>N18</f>
        <v>322024219.91423404</v>
      </c>
      <c r="O7" s="125"/>
      <c r="P7" s="125"/>
    </row>
    <row r="8" spans="2:19" ht="12.95" customHeight="1">
      <c r="B8" s="140" t="s">
        <v>93</v>
      </c>
      <c r="C8" s="141" t="s">
        <v>94</v>
      </c>
      <c r="D8" s="142"/>
      <c r="E8" s="142"/>
      <c r="F8" s="142"/>
      <c r="G8" s="142"/>
      <c r="H8" s="142"/>
      <c r="I8" s="142"/>
      <c r="J8" s="142"/>
      <c r="K8" s="142"/>
      <c r="L8" s="143">
        <f>SUM(E8:K8)</f>
        <v>0</v>
      </c>
      <c r="M8" s="142"/>
      <c r="N8" s="142"/>
      <c r="O8" s="126"/>
      <c r="P8" s="127"/>
    </row>
    <row r="9" spans="2:19" ht="12.95" customHeight="1">
      <c r="B9" s="140" t="s">
        <v>95</v>
      </c>
      <c r="C9" s="141" t="s">
        <v>96</v>
      </c>
      <c r="D9" s="144"/>
      <c r="E9" s="144">
        <f>E7-E8</f>
        <v>327646404</v>
      </c>
      <c r="F9" s="144">
        <f t="shared" ref="F9:L9" si="1">F7-F8</f>
        <v>326488330</v>
      </c>
      <c r="G9" s="144">
        <f t="shared" si="1"/>
        <v>327399956</v>
      </c>
      <c r="H9" s="144">
        <f t="shared" si="1"/>
        <v>335789477</v>
      </c>
      <c r="I9" s="144">
        <f t="shared" si="1"/>
        <v>329335625</v>
      </c>
      <c r="J9" s="144">
        <f t="shared" si="1"/>
        <v>333321095</v>
      </c>
      <c r="K9" s="144">
        <f>K7-K8</f>
        <v>330155444.95073891</v>
      </c>
      <c r="L9" s="143">
        <f t="shared" si="1"/>
        <v>2310136331.9507389</v>
      </c>
      <c r="M9" s="144">
        <f>M7-M8</f>
        <v>322993199.25245756</v>
      </c>
      <c r="N9" s="144">
        <f>N7-N8</f>
        <v>322024219.91423404</v>
      </c>
      <c r="O9" s="127"/>
      <c r="P9" s="127"/>
    </row>
    <row r="10" spans="2:19" ht="12.95" customHeight="1">
      <c r="B10" s="140" t="s">
        <v>97</v>
      </c>
      <c r="C10" s="141" t="s">
        <v>98</v>
      </c>
      <c r="D10" s="144"/>
      <c r="E10" s="144">
        <f t="shared" ref="E10:K10" si="2">E58</f>
        <v>317673033</v>
      </c>
      <c r="F10" s="144">
        <f t="shared" si="2"/>
        <v>314305835</v>
      </c>
      <c r="G10" s="144">
        <f t="shared" si="2"/>
        <v>317099431</v>
      </c>
      <c r="H10" s="144">
        <f t="shared" si="2"/>
        <v>323017340</v>
      </c>
      <c r="I10" s="144">
        <f t="shared" si="2"/>
        <v>320376795</v>
      </c>
      <c r="J10" s="144">
        <f>J58</f>
        <v>321106485</v>
      </c>
      <c r="K10" s="144">
        <f t="shared" si="2"/>
        <v>319007970</v>
      </c>
      <c r="L10" s="143">
        <f>SUM(E10:K10)</f>
        <v>2232586889</v>
      </c>
      <c r="M10" s="144">
        <f>M58</f>
        <v>312508659</v>
      </c>
      <c r="N10" s="144">
        <f>N58</f>
        <v>311571133</v>
      </c>
      <c r="O10" s="127"/>
      <c r="P10" s="127"/>
    </row>
    <row r="11" spans="2:19" ht="12.95" customHeight="1">
      <c r="B11" s="140" t="s">
        <v>99</v>
      </c>
      <c r="C11" s="141" t="s">
        <v>100</v>
      </c>
      <c r="D11" s="143"/>
      <c r="E11" s="143"/>
      <c r="F11" s="143"/>
      <c r="G11" s="143"/>
      <c r="H11" s="143"/>
      <c r="I11" s="143"/>
      <c r="J11" s="143"/>
      <c r="K11" s="143"/>
      <c r="L11" s="143">
        <f>SUM(E11:K11)</f>
        <v>0</v>
      </c>
      <c r="M11" s="143"/>
      <c r="N11" s="143"/>
      <c r="O11" s="126"/>
      <c r="P11" s="127"/>
    </row>
    <row r="12" spans="2:19" ht="12.95" customHeight="1">
      <c r="B12" s="140" t="s">
        <v>45</v>
      </c>
      <c r="C12" s="141" t="s">
        <v>101</v>
      </c>
      <c r="D12" s="143"/>
      <c r="E12" s="143">
        <f>E10-E11</f>
        <v>317673033</v>
      </c>
      <c r="F12" s="143">
        <f t="shared" ref="F12:L12" si="3">F10-F11</f>
        <v>314305835</v>
      </c>
      <c r="G12" s="143">
        <f t="shared" si="3"/>
        <v>317099431</v>
      </c>
      <c r="H12" s="143">
        <f t="shared" si="3"/>
        <v>323017340</v>
      </c>
      <c r="I12" s="143">
        <f t="shared" si="3"/>
        <v>320376795</v>
      </c>
      <c r="J12" s="143">
        <f t="shared" si="3"/>
        <v>321106485</v>
      </c>
      <c r="K12" s="143">
        <f>K10-K11</f>
        <v>319007970</v>
      </c>
      <c r="L12" s="143">
        <f t="shared" si="3"/>
        <v>2232586889</v>
      </c>
      <c r="M12" s="143">
        <f>M10-M11</f>
        <v>312508659</v>
      </c>
      <c r="N12" s="143">
        <f>N10-N11</f>
        <v>311571133</v>
      </c>
      <c r="O12" s="127"/>
      <c r="P12" s="127"/>
    </row>
    <row r="13" spans="2:19" ht="12.95" customHeight="1">
      <c r="B13" s="140" t="s">
        <v>102</v>
      </c>
      <c r="C13" s="141" t="s">
        <v>103</v>
      </c>
      <c r="D13" s="145"/>
      <c r="E13" s="145">
        <f t="shared" ref="E13:J13" si="4">E9/E12</f>
        <v>1.0313950822511271</v>
      </c>
      <c r="F13" s="145">
        <f t="shared" si="4"/>
        <v>1.0387600026579207</v>
      </c>
      <c r="G13" s="145">
        <f t="shared" si="4"/>
        <v>1.0324835808361952</v>
      </c>
      <c r="H13" s="145">
        <f t="shared" si="4"/>
        <v>1.0395400971353426</v>
      </c>
      <c r="I13" s="145">
        <f t="shared" si="4"/>
        <v>1.0279634172631011</v>
      </c>
      <c r="J13" s="145">
        <f t="shared" si="4"/>
        <v>1.038039125868168</v>
      </c>
      <c r="K13" s="145">
        <f>K9/K12</f>
        <v>1.0349441894844786</v>
      </c>
      <c r="L13" s="145">
        <f>L9/L12</f>
        <v>1.0347352406899935</v>
      </c>
      <c r="M13" s="145">
        <f>M9/M12</f>
        <v>1.0335495991887302</v>
      </c>
      <c r="N13" s="145">
        <f>N9/N12</f>
        <v>1.0335496000980104</v>
      </c>
      <c r="P13" s="128"/>
    </row>
    <row r="14" spans="2:19" ht="12.95" customHeight="1">
      <c r="B14" s="155" t="s">
        <v>104</v>
      </c>
      <c r="C14" s="156" t="s">
        <v>356</v>
      </c>
      <c r="D14" s="146"/>
      <c r="E14" s="421" t="s">
        <v>167</v>
      </c>
      <c r="F14" s="422"/>
      <c r="G14" s="150">
        <f>ROUND((E13+F13+G13)/3,4)</f>
        <v>1.0342</v>
      </c>
      <c r="H14" s="154"/>
      <c r="I14" s="421" t="s">
        <v>226</v>
      </c>
      <c r="J14" s="423"/>
      <c r="K14" s="150">
        <f>ROUND((I13+J13+K13)/3,4)</f>
        <v>1.0336000000000001</v>
      </c>
      <c r="L14" s="154"/>
      <c r="M14" s="154"/>
      <c r="N14" s="154"/>
      <c r="O14" s="115"/>
      <c r="P14" s="115"/>
    </row>
    <row r="15" spans="2:19" ht="12.95" customHeight="1">
      <c r="B15" s="118"/>
      <c r="C15" s="119"/>
      <c r="D15" s="121"/>
      <c r="E15" s="119"/>
      <c r="F15" s="119"/>
      <c r="G15" s="120"/>
      <c r="H15" s="121"/>
      <c r="I15" s="122"/>
      <c r="J15" s="122"/>
      <c r="K15" s="122"/>
      <c r="L15" s="123"/>
      <c r="M15" s="121"/>
      <c r="N15" s="121"/>
      <c r="O15" s="115"/>
      <c r="P15" s="115"/>
    </row>
    <row r="16" spans="2:19" ht="12.95" customHeight="1">
      <c r="B16" s="92" t="s">
        <v>105</v>
      </c>
      <c r="C16" s="93"/>
      <c r="D16" s="94"/>
      <c r="E16" s="94"/>
      <c r="F16" s="94"/>
      <c r="G16" s="94"/>
      <c r="H16" s="94"/>
      <c r="I16" s="94"/>
      <c r="J16" s="94"/>
      <c r="K16" s="94"/>
      <c r="L16" s="94"/>
      <c r="M16" s="94"/>
      <c r="N16" s="94"/>
      <c r="O16" s="115"/>
      <c r="P16" s="115"/>
    </row>
    <row r="17" spans="2:16" ht="12.95" customHeight="1">
      <c r="B17" s="140" t="s">
        <v>106</v>
      </c>
      <c r="C17" s="129" t="s">
        <v>107</v>
      </c>
      <c r="D17" s="142"/>
      <c r="E17" s="142">
        <f t="shared" ref="E17:K17" si="5">E49</f>
        <v>327858855</v>
      </c>
      <c r="F17" s="142">
        <f t="shared" si="5"/>
        <v>326758737</v>
      </c>
      <c r="G17" s="142">
        <f t="shared" si="5"/>
        <v>329583057</v>
      </c>
      <c r="H17" s="142">
        <f t="shared" si="5"/>
        <v>346922941.30000001</v>
      </c>
      <c r="I17" s="142">
        <f t="shared" si="5"/>
        <v>339836662</v>
      </c>
      <c r="J17" s="142">
        <f>J49</f>
        <v>340350915</v>
      </c>
      <c r="K17" s="142">
        <f t="shared" si="5"/>
        <v>337342212</v>
      </c>
      <c r="L17" s="147">
        <f>SUM(E17:K17)</f>
        <v>2348653379.3000002</v>
      </c>
      <c r="M17" s="142">
        <f>M49</f>
        <v>331040422</v>
      </c>
      <c r="N17" s="142">
        <f>N49</f>
        <v>330047301</v>
      </c>
      <c r="O17" s="115"/>
      <c r="P17" s="115"/>
    </row>
    <row r="18" spans="2:16" ht="12.95" customHeight="1">
      <c r="B18" s="140" t="s">
        <v>108</v>
      </c>
      <c r="C18" s="129" t="s">
        <v>109</v>
      </c>
      <c r="D18" s="148"/>
      <c r="E18" s="148">
        <f t="shared" ref="E18:K18" si="6">E51</f>
        <v>327646404</v>
      </c>
      <c r="F18" s="148">
        <f t="shared" si="6"/>
        <v>326488330</v>
      </c>
      <c r="G18" s="148">
        <f t="shared" si="6"/>
        <v>327399956</v>
      </c>
      <c r="H18" s="148">
        <f t="shared" si="6"/>
        <v>335789477</v>
      </c>
      <c r="I18" s="148">
        <f t="shared" si="6"/>
        <v>329335625</v>
      </c>
      <c r="J18" s="148">
        <f>J51</f>
        <v>333321095</v>
      </c>
      <c r="K18" s="148">
        <f t="shared" si="6"/>
        <v>330155444.95073891</v>
      </c>
      <c r="L18" s="149">
        <f>SUM(E18:K18)</f>
        <v>2310136331.9507389</v>
      </c>
      <c r="M18" s="148">
        <f>M51</f>
        <v>322993199.25245756</v>
      </c>
      <c r="N18" s="148">
        <f>N51</f>
        <v>322024219.91423404</v>
      </c>
      <c r="O18" s="115"/>
      <c r="P18" s="115"/>
    </row>
    <row r="19" spans="2:16" ht="12.95" customHeight="1">
      <c r="B19" s="140" t="s">
        <v>110</v>
      </c>
      <c r="C19" s="129" t="s">
        <v>111</v>
      </c>
      <c r="D19" s="145"/>
      <c r="E19" s="145">
        <f t="shared" ref="E19:L19" si="7">E17/E18</f>
        <v>1.0006484154790236</v>
      </c>
      <c r="F19" s="145">
        <f t="shared" si="7"/>
        <v>1.0008282286843146</v>
      </c>
      <c r="G19" s="145">
        <f t="shared" si="7"/>
        <v>1.0066679941765173</v>
      </c>
      <c r="H19" s="145">
        <f t="shared" si="7"/>
        <v>1.0331560845785528</v>
      </c>
      <c r="I19" s="145">
        <f t="shared" si="7"/>
        <v>1.031885518003101</v>
      </c>
      <c r="J19" s="145">
        <f t="shared" si="7"/>
        <v>1.0210902343279533</v>
      </c>
      <c r="K19" s="145">
        <f t="shared" si="7"/>
        <v>1.0217678283341152</v>
      </c>
      <c r="L19" s="145">
        <f t="shared" si="7"/>
        <v>1.0166730624580655</v>
      </c>
      <c r="M19" s="145">
        <f>M17/M18</f>
        <v>1.0249145268883899</v>
      </c>
      <c r="N19" s="145">
        <f>N17/N18</f>
        <v>1.0249145268883899</v>
      </c>
      <c r="O19" s="115"/>
      <c r="P19" s="115"/>
    </row>
    <row r="20" spans="2:16" ht="12.95" customHeight="1">
      <c r="B20" s="155" t="s">
        <v>112</v>
      </c>
      <c r="C20" s="156" t="s">
        <v>357</v>
      </c>
      <c r="D20" s="156"/>
      <c r="E20" s="421" t="s">
        <v>167</v>
      </c>
      <c r="F20" s="422"/>
      <c r="G20" s="150">
        <f>ROUND((E19+F19+G19)/3,4)</f>
        <v>1.0026999999999999</v>
      </c>
      <c r="H20" s="156"/>
      <c r="I20" s="421" t="s">
        <v>226</v>
      </c>
      <c r="J20" s="423"/>
      <c r="K20" s="150">
        <f>ROUND(AVERAGE(I17:K17)/AVERAGE(I18:K18),4)</f>
        <v>1.0248999999999999</v>
      </c>
      <c r="L20" s="156"/>
      <c r="M20" s="156"/>
      <c r="N20" s="156"/>
      <c r="O20" s="115"/>
      <c r="P20" s="115">
        <f>K14*K19</f>
        <v>1.0560992273661416</v>
      </c>
    </row>
    <row r="21" spans="2:16" ht="12.95" customHeight="1">
      <c r="B21" s="118"/>
      <c r="C21" s="119"/>
      <c r="D21" s="121"/>
      <c r="E21" s="119"/>
      <c r="F21" s="119"/>
      <c r="G21" s="120"/>
      <c r="H21" s="121"/>
      <c r="I21" s="122"/>
      <c r="J21" s="122"/>
      <c r="K21" s="122"/>
      <c r="L21" s="123"/>
      <c r="M21" s="123"/>
      <c r="N21" s="123"/>
      <c r="O21" s="115"/>
      <c r="P21" s="115"/>
    </row>
    <row r="22" spans="2:16" ht="12.95" customHeight="1">
      <c r="B22" s="92" t="s">
        <v>113</v>
      </c>
      <c r="C22" s="93"/>
      <c r="D22" s="94"/>
      <c r="E22" s="94"/>
      <c r="F22" s="94"/>
      <c r="G22" s="94"/>
      <c r="H22" s="94"/>
      <c r="I22" s="94"/>
      <c r="J22" s="94"/>
      <c r="K22" s="94"/>
      <c r="L22" s="94"/>
      <c r="M22" s="301"/>
      <c r="N22" s="301"/>
      <c r="O22" s="115"/>
      <c r="P22" s="115"/>
    </row>
    <row r="23" spans="2:16" ht="12.95" customHeight="1">
      <c r="B23" s="157" t="s">
        <v>114</v>
      </c>
      <c r="C23" s="158" t="s">
        <v>358</v>
      </c>
      <c r="D23" s="156"/>
      <c r="E23" s="421" t="s">
        <v>167</v>
      </c>
      <c r="F23" s="422"/>
      <c r="G23" s="150">
        <f>ROUND(G14*G20,4)</f>
        <v>1.0369999999999999</v>
      </c>
      <c r="H23" s="156"/>
      <c r="I23" s="421" t="s">
        <v>226</v>
      </c>
      <c r="J23" s="422"/>
      <c r="K23" s="150">
        <f>ROUND(K14*K20,4)</f>
        <v>1.0592999999999999</v>
      </c>
      <c r="L23" s="156"/>
      <c r="M23" s="302"/>
      <c r="N23" s="302"/>
      <c r="O23" s="115"/>
      <c r="P23" s="115"/>
    </row>
    <row r="24" spans="2:16" ht="12.95" customHeight="1">
      <c r="D24" s="130"/>
      <c r="H24" s="130"/>
      <c r="I24" s="130"/>
      <c r="J24" s="130"/>
      <c r="K24" s="130"/>
    </row>
    <row r="25" spans="2:16" ht="12.95" customHeight="1">
      <c r="B25" s="153" t="s">
        <v>115</v>
      </c>
      <c r="C25" s="151"/>
      <c r="D25" s="151"/>
      <c r="E25" s="152"/>
      <c r="F25" s="152"/>
      <c r="G25" s="152"/>
      <c r="H25" s="152"/>
      <c r="I25" s="152"/>
      <c r="J25" s="152"/>
      <c r="K25" s="152"/>
      <c r="L25" s="152"/>
      <c r="M25" s="301"/>
      <c r="N25" s="301"/>
    </row>
    <row r="26" spans="2:16" ht="12.95" customHeight="1">
      <c r="B26" s="124" t="s">
        <v>104</v>
      </c>
      <c r="C26" s="131" t="s">
        <v>116</v>
      </c>
      <c r="D26" s="131"/>
      <c r="E26" s="132"/>
      <c r="F26" s="132"/>
      <c r="G26" s="133">
        <f>G14</f>
        <v>1.0342</v>
      </c>
      <c r="H26" s="132"/>
      <c r="I26" s="132"/>
      <c r="J26" s="132"/>
      <c r="K26" s="133">
        <f>K14</f>
        <v>1.0336000000000001</v>
      </c>
      <c r="M26" s="138"/>
      <c r="N26" s="138"/>
    </row>
    <row r="27" spans="2:16" ht="12.95" customHeight="1">
      <c r="B27" s="124" t="s">
        <v>117</v>
      </c>
      <c r="C27" s="131" t="s">
        <v>118</v>
      </c>
      <c r="D27" s="131"/>
      <c r="E27" s="132"/>
      <c r="F27" s="132"/>
      <c r="G27" s="133">
        <f>ROUND(G26*0.99,4)</f>
        <v>1.0239</v>
      </c>
      <c r="H27" s="132"/>
      <c r="I27" s="132"/>
      <c r="J27" s="132"/>
      <c r="K27" s="133">
        <f>ROUND(K26*0.99,4)</f>
        <v>1.0233000000000001</v>
      </c>
      <c r="M27" s="138"/>
      <c r="N27" s="138"/>
    </row>
    <row r="28" spans="2:16" ht="12.95" customHeight="1">
      <c r="B28" s="124" t="s">
        <v>114</v>
      </c>
      <c r="C28" s="131" t="s">
        <v>119</v>
      </c>
      <c r="D28" s="131"/>
      <c r="E28" s="132"/>
      <c r="F28" s="132"/>
      <c r="G28" s="133">
        <f>G23</f>
        <v>1.0369999999999999</v>
      </c>
      <c r="H28" s="132"/>
      <c r="I28" s="132"/>
      <c r="J28" s="132"/>
      <c r="K28" s="133">
        <f>K23</f>
        <v>1.0592999999999999</v>
      </c>
      <c r="M28" s="138"/>
      <c r="N28" s="138"/>
    </row>
    <row r="29" spans="2:16" ht="12.95" customHeight="1">
      <c r="B29" s="124" t="s">
        <v>120</v>
      </c>
      <c r="C29" s="131" t="s">
        <v>121</v>
      </c>
      <c r="D29" s="131"/>
      <c r="E29" s="132"/>
      <c r="F29" s="132"/>
      <c r="G29" s="133">
        <f>ROUND(G23*0.99,4)</f>
        <v>1.0266</v>
      </c>
      <c r="H29" s="132"/>
      <c r="I29" s="132"/>
      <c r="J29" s="132"/>
      <c r="K29" s="133">
        <f>ROUND(K23*0.99,4)</f>
        <v>1.0487</v>
      </c>
      <c r="M29" s="138"/>
      <c r="N29" s="138"/>
    </row>
    <row r="30" spans="2:16" ht="12.95" customHeight="1">
      <c r="C30" s="134"/>
      <c r="D30" s="134"/>
      <c r="E30" s="134"/>
      <c r="F30" s="134"/>
      <c r="G30" s="134"/>
      <c r="H30" s="134"/>
      <c r="I30" s="134"/>
      <c r="J30" s="134"/>
      <c r="K30" s="134"/>
      <c r="L30" s="134"/>
      <c r="M30" s="134"/>
      <c r="N30" s="134"/>
    </row>
    <row r="32" spans="2:16" ht="12.95" customHeight="1">
      <c r="B32" s="419" t="s">
        <v>89</v>
      </c>
      <c r="C32" s="420"/>
      <c r="D32" s="73"/>
      <c r="E32" s="73">
        <v>2002</v>
      </c>
      <c r="F32" s="117">
        <v>2003</v>
      </c>
      <c r="G32" s="117">
        <v>2004</v>
      </c>
      <c r="H32" s="117">
        <v>2005</v>
      </c>
      <c r="I32" s="117">
        <v>2006</v>
      </c>
      <c r="J32" s="117">
        <v>2007</v>
      </c>
      <c r="K32" s="117">
        <v>2008</v>
      </c>
      <c r="L32" s="117" t="s">
        <v>258</v>
      </c>
      <c r="M32" s="117">
        <v>2009</v>
      </c>
      <c r="N32" s="117">
        <v>2010</v>
      </c>
      <c r="P32" s="114">
        <f>0.8*10000*12</f>
        <v>96000</v>
      </c>
    </row>
    <row r="34" spans="2:15" ht="12.95" customHeight="1">
      <c r="B34" s="245" t="s">
        <v>259</v>
      </c>
      <c r="C34" s="240"/>
      <c r="D34" s="246"/>
      <c r="E34" s="246"/>
      <c r="F34" s="247"/>
      <c r="G34" s="247"/>
      <c r="H34" s="248"/>
      <c r="I34" s="249"/>
      <c r="J34" s="249"/>
      <c r="K34" s="249"/>
      <c r="L34" s="136"/>
      <c r="M34" s="136"/>
      <c r="N34" s="136"/>
      <c r="O34" s="136"/>
    </row>
    <row r="35" spans="2:15" ht="12.95" customHeight="1">
      <c r="B35" s="243" t="s">
        <v>263</v>
      </c>
      <c r="C35" s="240"/>
      <c r="D35" s="250"/>
      <c r="E35" s="248">
        <v>286980304</v>
      </c>
      <c r="F35" s="248">
        <v>308789290</v>
      </c>
      <c r="G35" s="248">
        <v>313764906</v>
      </c>
      <c r="H35" s="248">
        <v>331693570</v>
      </c>
      <c r="I35" s="248">
        <v>320647650</v>
      </c>
      <c r="J35" s="248">
        <v>325180970</v>
      </c>
      <c r="K35" s="248">
        <v>316385030</v>
      </c>
      <c r="M35" s="264">
        <f>M49-M42</f>
        <v>315240422</v>
      </c>
      <c r="N35" s="264">
        <f>N49-N42</f>
        <v>330047301</v>
      </c>
    </row>
    <row r="36" spans="2:15" ht="12.95" customHeight="1">
      <c r="B36" s="251" t="s">
        <v>157</v>
      </c>
      <c r="C36" s="252"/>
      <c r="D36" s="253"/>
      <c r="E36" s="254">
        <f t="shared" ref="E36:K36" si="8">E35-E37</f>
        <v>0</v>
      </c>
      <c r="F36" s="254">
        <f t="shared" si="8"/>
        <v>13660</v>
      </c>
      <c r="G36" s="254">
        <f t="shared" si="8"/>
        <v>1952350</v>
      </c>
      <c r="H36" s="254">
        <f t="shared" si="8"/>
        <v>10908393</v>
      </c>
      <c r="I36" s="254">
        <f t="shared" si="8"/>
        <v>10217425</v>
      </c>
      <c r="J36" s="254">
        <f t="shared" si="8"/>
        <v>6805675</v>
      </c>
      <c r="K36" s="254">
        <f t="shared" si="8"/>
        <v>6877055</v>
      </c>
      <c r="M36" s="254">
        <f>M35-M37</f>
        <v>7813731.1939170957</v>
      </c>
      <c r="N36" s="254">
        <f>N35-N37</f>
        <v>8023081.0857659578</v>
      </c>
    </row>
    <row r="37" spans="2:15" ht="12.95" customHeight="1">
      <c r="B37" s="243" t="s">
        <v>264</v>
      </c>
      <c r="C37" s="244"/>
      <c r="D37" s="241"/>
      <c r="E37" s="242">
        <v>286980304</v>
      </c>
      <c r="F37" s="242">
        <v>308775630</v>
      </c>
      <c r="G37" s="242">
        <v>311812556</v>
      </c>
      <c r="H37" s="242">
        <v>320785177</v>
      </c>
      <c r="I37" s="242">
        <v>310430225</v>
      </c>
      <c r="J37" s="242">
        <v>318375295</v>
      </c>
      <c r="K37" s="242">
        <v>309507975</v>
      </c>
      <c r="M37" s="303">
        <f>M51-M44</f>
        <v>307426690.8060829</v>
      </c>
      <c r="N37" s="303">
        <f>N51-N44</f>
        <v>322024219.91423404</v>
      </c>
    </row>
    <row r="38" spans="2:15" ht="12.95" customHeight="1">
      <c r="B38" s="137"/>
      <c r="D38" s="135"/>
      <c r="E38" s="136"/>
      <c r="F38" s="136"/>
      <c r="G38" s="136"/>
      <c r="H38" s="136"/>
      <c r="I38" s="136"/>
      <c r="J38" s="136"/>
      <c r="K38" s="136"/>
      <c r="M38" s="136"/>
      <c r="N38" s="136"/>
    </row>
    <row r="39" spans="2:15" ht="12.95" customHeight="1">
      <c r="B39" s="255" t="s">
        <v>158</v>
      </c>
      <c r="C39" s="256"/>
      <c r="D39" s="257"/>
      <c r="E39" s="258">
        <f t="shared" ref="E39:K39" si="9">E35/E37</f>
        <v>1</v>
      </c>
      <c r="F39" s="258">
        <f t="shared" si="9"/>
        <v>1.0000442392425852</v>
      </c>
      <c r="G39" s="258">
        <f t="shared" si="9"/>
        <v>1.0062612937241693</v>
      </c>
      <c r="H39" s="258">
        <f t="shared" si="9"/>
        <v>1.0340052900885754</v>
      </c>
      <c r="I39" s="258">
        <f t="shared" si="9"/>
        <v>1.0329137570286528</v>
      </c>
      <c r="J39" s="258">
        <f t="shared" si="9"/>
        <v>1.0213762660196357</v>
      </c>
      <c r="K39" s="258">
        <f t="shared" si="9"/>
        <v>1.022219314381156</v>
      </c>
      <c r="L39" s="259">
        <f>AVERAGE(I39:K39)</f>
        <v>1.0255031124764815</v>
      </c>
      <c r="M39" s="304">
        <f>L39</f>
        <v>1.0255031124764815</v>
      </c>
      <c r="N39" s="304">
        <f>L39</f>
        <v>1.0255031124764815</v>
      </c>
    </row>
    <row r="40" spans="2:15" ht="12.95" customHeight="1">
      <c r="B40" s="251"/>
      <c r="C40" s="256"/>
      <c r="D40" s="260"/>
      <c r="E40" s="261"/>
      <c r="F40" s="261"/>
      <c r="G40" s="261"/>
      <c r="H40" s="254"/>
      <c r="I40" s="261"/>
      <c r="J40" s="261"/>
      <c r="K40" s="261"/>
      <c r="L40" s="256"/>
      <c r="M40" s="305">
        <f>M35/M37</f>
        <v>1.0254165673560394</v>
      </c>
      <c r="N40" s="305">
        <f>N35/N37</f>
        <v>1.0249145268883899</v>
      </c>
    </row>
    <row r="41" spans="2:15" ht="12.95" customHeight="1">
      <c r="B41" s="245" t="s">
        <v>260</v>
      </c>
      <c r="C41" s="256"/>
      <c r="D41" s="260"/>
      <c r="E41" s="263"/>
      <c r="F41" s="261"/>
      <c r="G41" s="261"/>
      <c r="H41" s="261"/>
      <c r="I41" s="261"/>
      <c r="J41" s="261"/>
      <c r="K41" s="261"/>
      <c r="L41" s="256"/>
      <c r="M41" s="261"/>
      <c r="N41" s="261"/>
    </row>
    <row r="42" spans="2:15" ht="12.95" customHeight="1">
      <c r="B42" s="243" t="s">
        <v>265</v>
      </c>
      <c r="C42" s="240"/>
      <c r="D42" s="250"/>
      <c r="E42" s="248">
        <v>40878551</v>
      </c>
      <c r="F42" s="248">
        <v>17969447</v>
      </c>
      <c r="G42" s="248">
        <v>15818151</v>
      </c>
      <c r="H42" s="248">
        <v>15229371.300000001</v>
      </c>
      <c r="I42" s="248">
        <v>19189012</v>
      </c>
      <c r="J42" s="248">
        <v>15169945</v>
      </c>
      <c r="K42" s="248">
        <v>20957182</v>
      </c>
      <c r="L42" s="256"/>
      <c r="M42" s="306">
        <v>15800000</v>
      </c>
      <c r="N42" s="306"/>
    </row>
    <row r="43" spans="2:15" ht="12.95" customHeight="1">
      <c r="B43" s="251" t="s">
        <v>157</v>
      </c>
      <c r="C43" s="252"/>
      <c r="D43" s="253"/>
      <c r="E43" s="254">
        <f t="shared" ref="E43:K43" si="10">E42-E44</f>
        <v>212451</v>
      </c>
      <c r="F43" s="254">
        <f t="shared" si="10"/>
        <v>256747</v>
      </c>
      <c r="G43" s="254">
        <f t="shared" si="10"/>
        <v>230751</v>
      </c>
      <c r="H43" s="254">
        <f t="shared" si="10"/>
        <v>225071.30000000075</v>
      </c>
      <c r="I43" s="254">
        <f t="shared" si="10"/>
        <v>283612</v>
      </c>
      <c r="J43" s="254">
        <f t="shared" si="10"/>
        <v>224145</v>
      </c>
      <c r="K43" s="254">
        <f t="shared" si="10"/>
        <v>309712.04926108196</v>
      </c>
      <c r="L43" s="256"/>
      <c r="M43" s="254">
        <f>M42-M44</f>
        <v>233491.55362533033</v>
      </c>
      <c r="N43" s="254">
        <f>N42-N44</f>
        <v>0</v>
      </c>
    </row>
    <row r="44" spans="2:15" ht="12.95" customHeight="1">
      <c r="B44" s="243" t="s">
        <v>266</v>
      </c>
      <c r="C44" s="244"/>
      <c r="D44" s="241"/>
      <c r="E44" s="242">
        <v>40666100</v>
      </c>
      <c r="F44" s="242">
        <v>17712700</v>
      </c>
      <c r="G44" s="242">
        <v>15587400</v>
      </c>
      <c r="H44" s="242">
        <v>15004300</v>
      </c>
      <c r="I44" s="242">
        <v>18905400</v>
      </c>
      <c r="J44" s="242">
        <v>14945800</v>
      </c>
      <c r="K44" s="242">
        <v>20647469.950738918</v>
      </c>
      <c r="L44" s="256"/>
      <c r="M44" s="307">
        <f>M42/M46</f>
        <v>15566508.44637467</v>
      </c>
      <c r="N44" s="307"/>
    </row>
    <row r="45" spans="2:15" ht="12.95" customHeight="1">
      <c r="B45" s="253"/>
      <c r="C45" s="256"/>
      <c r="D45" s="253"/>
      <c r="E45" s="253"/>
      <c r="F45" s="253"/>
      <c r="G45" s="253"/>
      <c r="H45" s="253"/>
      <c r="I45" s="253"/>
      <c r="J45" s="253"/>
      <c r="K45" s="253"/>
      <c r="L45" s="256"/>
      <c r="M45" s="253"/>
      <c r="N45" s="253"/>
    </row>
    <row r="46" spans="2:15" ht="12.95" customHeight="1">
      <c r="B46" s="255" t="s">
        <v>159</v>
      </c>
      <c r="C46" s="256"/>
      <c r="D46" s="260"/>
      <c r="E46" s="258">
        <f t="shared" ref="E46:K46" si="11">E42/E44</f>
        <v>1.0052242777153453</v>
      </c>
      <c r="F46" s="258">
        <f>F42/F44</f>
        <v>1.0144950798014984</v>
      </c>
      <c r="G46" s="258">
        <f t="shared" si="11"/>
        <v>1.0148036875938258</v>
      </c>
      <c r="H46" s="258">
        <f t="shared" si="11"/>
        <v>1.0150004532034151</v>
      </c>
      <c r="I46" s="258">
        <f t="shared" si="11"/>
        <v>1.0150016397431423</v>
      </c>
      <c r="J46" s="258">
        <f>J42/J44</f>
        <v>1.0149971898459769</v>
      </c>
      <c r="K46" s="258">
        <f t="shared" si="11"/>
        <v>1.0149999999999999</v>
      </c>
      <c r="L46" s="259">
        <f>AVERAGE(I46:K46)</f>
        <v>1.0149996098630396</v>
      </c>
      <c r="M46" s="304">
        <f>L46</f>
        <v>1.0149996098630396</v>
      </c>
      <c r="N46" s="304">
        <f>L46</f>
        <v>1.0149996098630396</v>
      </c>
    </row>
    <row r="47" spans="2:15" ht="12.95" customHeight="1">
      <c r="B47" s="251"/>
      <c r="C47" s="256"/>
      <c r="D47" s="260"/>
      <c r="E47" s="261"/>
      <c r="F47" s="261"/>
      <c r="G47" s="261"/>
      <c r="H47" s="254"/>
      <c r="I47" s="261"/>
      <c r="J47" s="261"/>
      <c r="K47" s="261"/>
      <c r="L47" s="256"/>
      <c r="M47" s="305">
        <f>M42/M44</f>
        <v>1.0149996098630396</v>
      </c>
      <c r="N47" s="305" t="e">
        <f>N42/N44</f>
        <v>#DIV/0!</v>
      </c>
    </row>
    <row r="48" spans="2:15" ht="12.95" customHeight="1">
      <c r="B48" s="262" t="s">
        <v>261</v>
      </c>
      <c r="C48" s="256"/>
      <c r="D48" s="260"/>
      <c r="E48" s="263"/>
      <c r="F48" s="261"/>
      <c r="G48" s="261"/>
      <c r="H48" s="261"/>
      <c r="I48" s="261"/>
      <c r="J48" s="261"/>
      <c r="K48" s="261"/>
      <c r="L48" s="256"/>
      <c r="M48" s="261"/>
      <c r="N48" s="261"/>
    </row>
    <row r="49" spans="2:14" ht="12.95" customHeight="1">
      <c r="B49" s="255" t="s">
        <v>267</v>
      </c>
      <c r="C49" s="256"/>
      <c r="D49" s="257"/>
      <c r="E49" s="264">
        <f>E35+E42</f>
        <v>327858855</v>
      </c>
      <c r="F49" s="264">
        <f t="shared" ref="E49:K51" si="12">F35+F42</f>
        <v>326758737</v>
      </c>
      <c r="G49" s="264">
        <f t="shared" si="12"/>
        <v>329583057</v>
      </c>
      <c r="H49" s="264">
        <f t="shared" si="12"/>
        <v>346922941.30000001</v>
      </c>
      <c r="I49" s="264">
        <f t="shared" si="12"/>
        <v>339836662</v>
      </c>
      <c r="J49" s="264">
        <f>J35+J42</f>
        <v>340350915</v>
      </c>
      <c r="K49" s="264">
        <f t="shared" si="12"/>
        <v>337342212</v>
      </c>
      <c r="L49" s="256"/>
      <c r="M49" s="310">
        <f>Summary!N11</f>
        <v>331040422</v>
      </c>
      <c r="N49" s="310">
        <f>Summary!O11</f>
        <v>330047301</v>
      </c>
    </row>
    <row r="50" spans="2:14" ht="12.95" customHeight="1">
      <c r="B50" s="251" t="s">
        <v>157</v>
      </c>
      <c r="C50" s="256"/>
      <c r="D50" s="253"/>
      <c r="E50" s="254">
        <f t="shared" si="12"/>
        <v>212451</v>
      </c>
      <c r="F50" s="254">
        <f t="shared" si="12"/>
        <v>270407</v>
      </c>
      <c r="G50" s="254">
        <f t="shared" si="12"/>
        <v>2183101</v>
      </c>
      <c r="H50" s="254">
        <f t="shared" si="12"/>
        <v>11133464.300000001</v>
      </c>
      <c r="I50" s="254">
        <f t="shared" si="12"/>
        <v>10501037</v>
      </c>
      <c r="J50" s="254">
        <f>J36+J43</f>
        <v>7029820</v>
      </c>
      <c r="K50" s="254">
        <f t="shared" si="12"/>
        <v>7186767.049261082</v>
      </c>
      <c r="L50" s="256"/>
      <c r="M50" s="254">
        <f>M49-M51</f>
        <v>8047222.7475424409</v>
      </c>
      <c r="N50" s="254">
        <f>N49-N51</f>
        <v>8023081.0857659578</v>
      </c>
    </row>
    <row r="51" spans="2:14" ht="12.95" customHeight="1">
      <c r="B51" s="255" t="s">
        <v>268</v>
      </c>
      <c r="C51" s="256"/>
      <c r="D51" s="257"/>
      <c r="E51" s="265">
        <f t="shared" si="12"/>
        <v>327646404</v>
      </c>
      <c r="F51" s="265">
        <f t="shared" si="12"/>
        <v>326488330</v>
      </c>
      <c r="G51" s="265">
        <f t="shared" si="12"/>
        <v>327399956</v>
      </c>
      <c r="H51" s="265">
        <f t="shared" si="12"/>
        <v>335789477</v>
      </c>
      <c r="I51" s="265">
        <f t="shared" si="12"/>
        <v>329335625</v>
      </c>
      <c r="J51" s="265">
        <f>J37+J44</f>
        <v>333321095</v>
      </c>
      <c r="K51" s="265">
        <f t="shared" si="12"/>
        <v>330155444.95073891</v>
      </c>
      <c r="L51" s="256"/>
      <c r="M51" s="308">
        <f>M49/M53</f>
        <v>322993199.25245756</v>
      </c>
      <c r="N51" s="308">
        <f>N49/N53</f>
        <v>322024219.91423404</v>
      </c>
    </row>
    <row r="52" spans="2:14" ht="12.95" customHeight="1">
      <c r="B52" s="253"/>
      <c r="C52" s="256"/>
      <c r="D52" s="253"/>
      <c r="E52" s="253"/>
      <c r="F52" s="253"/>
      <c r="G52" s="253"/>
      <c r="H52" s="253"/>
      <c r="I52" s="253"/>
      <c r="J52" s="253"/>
      <c r="K52" s="253"/>
      <c r="L52" s="256"/>
      <c r="M52" s="253"/>
      <c r="N52" s="253"/>
    </row>
    <row r="53" spans="2:14" ht="12.95" customHeight="1">
      <c r="B53" s="255" t="s">
        <v>160</v>
      </c>
      <c r="C53" s="256"/>
      <c r="D53" s="260"/>
      <c r="E53" s="258">
        <f t="shared" ref="E53:K53" si="13">E49/E51</f>
        <v>1.0006484154790236</v>
      </c>
      <c r="F53" s="258">
        <f t="shared" si="13"/>
        <v>1.0008282286843146</v>
      </c>
      <c r="G53" s="258">
        <f t="shared" si="13"/>
        <v>1.0066679941765173</v>
      </c>
      <c r="H53" s="258">
        <f t="shared" si="13"/>
        <v>1.0331560845785528</v>
      </c>
      <c r="I53" s="258">
        <f t="shared" si="13"/>
        <v>1.031885518003101</v>
      </c>
      <c r="J53" s="258">
        <f t="shared" si="13"/>
        <v>1.0210902343279533</v>
      </c>
      <c r="K53" s="258">
        <f t="shared" si="13"/>
        <v>1.0217678283341152</v>
      </c>
      <c r="L53" s="259">
        <f>AVERAGE(I53:K53)</f>
        <v>1.0249145268883899</v>
      </c>
      <c r="M53" s="304">
        <f>L53</f>
        <v>1.0249145268883899</v>
      </c>
      <c r="N53" s="304">
        <f>L53</f>
        <v>1.0249145268883899</v>
      </c>
    </row>
    <row r="54" spans="2:14" ht="12.95" customHeight="1">
      <c r="B54" s="251"/>
      <c r="C54" s="256"/>
      <c r="D54" s="260"/>
      <c r="E54" s="261"/>
      <c r="F54" s="261"/>
      <c r="G54" s="261"/>
      <c r="H54" s="261"/>
      <c r="I54" s="261"/>
      <c r="J54" s="261"/>
      <c r="K54" s="261"/>
      <c r="L54" s="256"/>
      <c r="M54" s="305">
        <f>M49/M51</f>
        <v>1.0249145268883899</v>
      </c>
      <c r="N54" s="305">
        <f>N49/N51</f>
        <v>1.0249145268883899</v>
      </c>
    </row>
    <row r="55" spans="2:14" ht="12.95" customHeight="1">
      <c r="B55" s="262" t="s">
        <v>262</v>
      </c>
      <c r="C55" s="256"/>
      <c r="D55" s="260"/>
      <c r="E55" s="263"/>
      <c r="F55" s="261"/>
      <c r="G55" s="261"/>
      <c r="H55" s="261"/>
      <c r="I55" s="261"/>
      <c r="J55" s="261"/>
      <c r="K55" s="261"/>
      <c r="L55" s="256"/>
      <c r="M55" s="261"/>
      <c r="N55" s="261"/>
    </row>
    <row r="56" spans="2:14" ht="12.95" customHeight="1">
      <c r="B56" s="255" t="s">
        <v>268</v>
      </c>
      <c r="C56" s="256"/>
      <c r="D56" s="257"/>
      <c r="E56" s="264">
        <f t="shared" ref="E56:K56" si="14">E51</f>
        <v>327646404</v>
      </c>
      <c r="F56" s="264">
        <f t="shared" si="14"/>
        <v>326488330</v>
      </c>
      <c r="G56" s="264">
        <f t="shared" si="14"/>
        <v>327399956</v>
      </c>
      <c r="H56" s="264">
        <f t="shared" si="14"/>
        <v>335789477</v>
      </c>
      <c r="I56" s="264">
        <f t="shared" si="14"/>
        <v>329335625</v>
      </c>
      <c r="J56" s="264">
        <f t="shared" si="14"/>
        <v>333321095</v>
      </c>
      <c r="K56" s="264">
        <f t="shared" si="14"/>
        <v>330155444.95073891</v>
      </c>
      <c r="L56" s="256"/>
      <c r="M56" s="264">
        <f>M51</f>
        <v>322993199.25245756</v>
      </c>
      <c r="N56" s="264">
        <f>N51</f>
        <v>322024219.91423404</v>
      </c>
    </row>
    <row r="57" spans="2:14" ht="12.95" customHeight="1">
      <c r="B57" s="251" t="s">
        <v>161</v>
      </c>
      <c r="C57" s="256"/>
      <c r="D57" s="253"/>
      <c r="E57" s="254">
        <f t="shared" ref="E57:K57" si="15">E56-E58</f>
        <v>9973371</v>
      </c>
      <c r="F57" s="254">
        <f t="shared" si="15"/>
        <v>12182495</v>
      </c>
      <c r="G57" s="254">
        <f t="shared" si="15"/>
        <v>10300525</v>
      </c>
      <c r="H57" s="254">
        <f t="shared" si="15"/>
        <v>12772137</v>
      </c>
      <c r="I57" s="254">
        <f t="shared" si="15"/>
        <v>8958830</v>
      </c>
      <c r="J57" s="254">
        <f t="shared" si="15"/>
        <v>12214610</v>
      </c>
      <c r="K57" s="254">
        <f t="shared" si="15"/>
        <v>11147474.950738907</v>
      </c>
      <c r="L57" s="256"/>
      <c r="M57" s="254">
        <f>M56-M58</f>
        <v>10484540.252457559</v>
      </c>
      <c r="N57" s="254">
        <f>N56-N58</f>
        <v>10453086.914234042</v>
      </c>
    </row>
    <row r="58" spans="2:14" ht="12.95" customHeight="1">
      <c r="B58" s="243" t="s">
        <v>162</v>
      </c>
      <c r="C58" s="244"/>
      <c r="D58" s="250"/>
      <c r="E58" s="272">
        <v>317673033</v>
      </c>
      <c r="F58" s="272">
        <v>314305835</v>
      </c>
      <c r="G58" s="272">
        <v>317099431</v>
      </c>
      <c r="H58" s="272">
        <v>323017340</v>
      </c>
      <c r="I58" s="272">
        <v>320376795</v>
      </c>
      <c r="J58" s="272">
        <v>321106485</v>
      </c>
      <c r="K58" s="272">
        <v>319007970</v>
      </c>
      <c r="L58" s="256"/>
      <c r="M58" s="311">
        <f>Summary!N17</f>
        <v>312508659</v>
      </c>
      <c r="N58" s="311">
        <f>Summary!O17</f>
        <v>311571133</v>
      </c>
    </row>
    <row r="59" spans="2:14" ht="12.95" customHeight="1">
      <c r="B59" s="251"/>
      <c r="C59" s="256"/>
      <c r="D59" s="260"/>
      <c r="E59" s="261"/>
      <c r="F59" s="261"/>
      <c r="G59" s="261"/>
      <c r="H59" s="261"/>
      <c r="I59" s="261"/>
      <c r="J59" s="261"/>
      <c r="K59" s="261"/>
      <c r="L59" s="256"/>
      <c r="M59" s="261"/>
      <c r="N59" s="261"/>
    </row>
    <row r="60" spans="2:14" ht="12.95" customHeight="1">
      <c r="B60" s="255" t="s">
        <v>163</v>
      </c>
      <c r="C60" s="256"/>
      <c r="D60" s="260"/>
      <c r="E60" s="258">
        <f t="shared" ref="E60:K60" si="16">E56/E58</f>
        <v>1.0313950822511271</v>
      </c>
      <c r="F60" s="258">
        <f t="shared" si="16"/>
        <v>1.0387600026579207</v>
      </c>
      <c r="G60" s="258">
        <f t="shared" si="16"/>
        <v>1.0324835808361952</v>
      </c>
      <c r="H60" s="258">
        <f t="shared" si="16"/>
        <v>1.0395400971353426</v>
      </c>
      <c r="I60" s="258">
        <f t="shared" si="16"/>
        <v>1.0279634172631011</v>
      </c>
      <c r="J60" s="258">
        <f>J56/J58</f>
        <v>1.038039125868168</v>
      </c>
      <c r="K60" s="258">
        <f t="shared" si="16"/>
        <v>1.0349441894844786</v>
      </c>
      <c r="L60" s="259">
        <f>AVERAGE(I60:K60)</f>
        <v>1.0336489108719158</v>
      </c>
      <c r="M60" s="304">
        <f>L60</f>
        <v>1.0336489108719158</v>
      </c>
      <c r="N60" s="304">
        <f>L60</f>
        <v>1.0336489108719158</v>
      </c>
    </row>
    <row r="61" spans="2:14" ht="12.95" customHeight="1">
      <c r="B61" s="262"/>
      <c r="C61" s="256"/>
      <c r="D61" s="260"/>
      <c r="E61" s="263"/>
      <c r="F61" s="261"/>
      <c r="G61" s="261"/>
      <c r="H61" s="261"/>
      <c r="I61" s="261"/>
      <c r="J61" s="261"/>
      <c r="K61" s="261"/>
      <c r="L61" s="256"/>
      <c r="M61" s="305">
        <f>M56/M58</f>
        <v>1.0335495991887302</v>
      </c>
      <c r="N61" s="305">
        <f>N56/N58</f>
        <v>1.0335496000980104</v>
      </c>
    </row>
    <row r="62" spans="2:14" ht="12.95" customHeight="1" thickBot="1">
      <c r="B62" s="262" t="s">
        <v>164</v>
      </c>
      <c r="C62" s="256"/>
      <c r="D62" s="253"/>
      <c r="E62" s="254"/>
      <c r="F62" s="261"/>
      <c r="G62" s="261"/>
      <c r="H62" s="261"/>
      <c r="I62" s="261"/>
      <c r="J62" s="261"/>
      <c r="K62" s="261"/>
      <c r="L62" s="256"/>
      <c r="M62" s="261"/>
      <c r="N62" s="261"/>
    </row>
    <row r="63" spans="2:14" ht="12.95" customHeight="1">
      <c r="B63" s="251" t="s">
        <v>165</v>
      </c>
      <c r="C63" s="256"/>
      <c r="D63" s="253"/>
      <c r="E63" s="266">
        <f t="shared" ref="E63:K63" si="17">E53</f>
        <v>1.0006484154790236</v>
      </c>
      <c r="F63" s="266">
        <f t="shared" si="17"/>
        <v>1.0008282286843146</v>
      </c>
      <c r="G63" s="266">
        <f t="shared" si="17"/>
        <v>1.0066679941765173</v>
      </c>
      <c r="H63" s="266">
        <f t="shared" si="17"/>
        <v>1.0331560845785528</v>
      </c>
      <c r="I63" s="266">
        <f t="shared" si="17"/>
        <v>1.031885518003101</v>
      </c>
      <c r="J63" s="266">
        <f>J53</f>
        <v>1.0210902343279533</v>
      </c>
      <c r="K63" s="266">
        <f t="shared" si="17"/>
        <v>1.0217678283341152</v>
      </c>
      <c r="L63" s="267">
        <f>L53</f>
        <v>1.0249145268883899</v>
      </c>
      <c r="M63" s="266">
        <f>M53</f>
        <v>1.0249145268883899</v>
      </c>
      <c r="N63" s="266">
        <f>N53</f>
        <v>1.0249145268883899</v>
      </c>
    </row>
    <row r="64" spans="2:14" ht="12.95" customHeight="1">
      <c r="B64" s="251" t="s">
        <v>163</v>
      </c>
      <c r="C64" s="256"/>
      <c r="D64" s="253"/>
      <c r="E64" s="266">
        <f t="shared" ref="E64:L64" si="18">E60</f>
        <v>1.0313950822511271</v>
      </c>
      <c r="F64" s="266">
        <f t="shared" si="18"/>
        <v>1.0387600026579207</v>
      </c>
      <c r="G64" s="266">
        <f t="shared" si="18"/>
        <v>1.0324835808361952</v>
      </c>
      <c r="H64" s="266">
        <f t="shared" si="18"/>
        <v>1.0395400971353426</v>
      </c>
      <c r="I64" s="266">
        <f t="shared" si="18"/>
        <v>1.0279634172631011</v>
      </c>
      <c r="J64" s="266">
        <f>J60</f>
        <v>1.038039125868168</v>
      </c>
      <c r="K64" s="266">
        <f t="shared" si="18"/>
        <v>1.0349441894844786</v>
      </c>
      <c r="L64" s="268">
        <f t="shared" si="18"/>
        <v>1.0336489108719158</v>
      </c>
      <c r="M64" s="266">
        <f>M60</f>
        <v>1.0336489108719158</v>
      </c>
      <c r="N64" s="266">
        <f>N60</f>
        <v>1.0336489108719158</v>
      </c>
    </row>
    <row r="65" spans="2:15" ht="12.95" customHeight="1" thickBot="1">
      <c r="B65" s="255" t="s">
        <v>166</v>
      </c>
      <c r="C65" s="256"/>
      <c r="D65" s="269"/>
      <c r="E65" s="270">
        <f t="shared" ref="E65:K65" si="19">E63*E64</f>
        <v>1.0320638547874474</v>
      </c>
      <c r="F65" s="270">
        <f t="shared" si="19"/>
        <v>1.0396203334882408</v>
      </c>
      <c r="G65" s="270">
        <f>G63*G64</f>
        <v>1.0393681753405606</v>
      </c>
      <c r="H65" s="270">
        <f t="shared" si="19"/>
        <v>1.0740071765187589</v>
      </c>
      <c r="I65" s="270">
        <f t="shared" si="19"/>
        <v>1.0607405633107729</v>
      </c>
      <c r="J65" s="270">
        <f t="shared" si="19"/>
        <v>1.0599316142743116</v>
      </c>
      <c r="K65" s="270">
        <f t="shared" si="19"/>
        <v>1.0574726769365668</v>
      </c>
      <c r="L65" s="271">
        <f>L63*L64</f>
        <v>1.059401784454989</v>
      </c>
      <c r="M65" s="270">
        <f>M63*M64</f>
        <v>1.059401784454989</v>
      </c>
      <c r="N65" s="270">
        <f>N63*N64</f>
        <v>1.059401784454989</v>
      </c>
    </row>
    <row r="66" spans="2:15" ht="12.95" customHeight="1">
      <c r="B66" s="74"/>
      <c r="C66" s="255"/>
      <c r="D66" s="269"/>
      <c r="E66" s="269"/>
      <c r="F66" s="263"/>
      <c r="G66" s="258"/>
      <c r="H66" s="258"/>
      <c r="I66" s="258"/>
      <c r="J66" s="258"/>
      <c r="K66" s="258"/>
      <c r="L66" s="258"/>
      <c r="M66" s="258"/>
      <c r="N66" s="258"/>
      <c r="O66" s="138"/>
    </row>
    <row r="67" spans="2:15" ht="12.95" customHeight="1">
      <c r="B67" s="74"/>
      <c r="C67" s="256"/>
      <c r="D67" s="256"/>
      <c r="E67" s="256"/>
      <c r="F67" s="256"/>
      <c r="G67" s="256"/>
      <c r="H67" s="74"/>
      <c r="I67" s="74"/>
      <c r="J67" s="74"/>
      <c r="K67" s="74"/>
      <c r="L67" s="256"/>
      <c r="M67" s="309">
        <f>M53*M60</f>
        <v>1.059401784454989</v>
      </c>
      <c r="N67" s="309">
        <f>N53*N60</f>
        <v>1.059401784454989</v>
      </c>
    </row>
    <row r="68" spans="2:15" ht="12.95" customHeight="1">
      <c r="B68" s="74"/>
      <c r="C68" s="256"/>
      <c r="D68" s="256"/>
      <c r="E68" s="256"/>
      <c r="F68" s="256"/>
      <c r="G68" s="256"/>
      <c r="H68" s="74"/>
      <c r="I68" s="74"/>
      <c r="J68" s="74"/>
      <c r="K68" s="74"/>
      <c r="L68" s="256"/>
      <c r="M68" s="309">
        <f>M54*M61</f>
        <v>1.0592999984682026</v>
      </c>
      <c r="N68" s="309">
        <f>N54*N61</f>
        <v>1.0592999994001369</v>
      </c>
    </row>
    <row r="69" spans="2:15" ht="12.95" customHeight="1">
      <c r="B69" s="74"/>
      <c r="D69" s="256"/>
      <c r="E69" s="256"/>
      <c r="F69" s="256"/>
      <c r="G69" s="256"/>
      <c r="H69" s="74"/>
      <c r="I69" s="74"/>
      <c r="J69" s="74"/>
      <c r="K69" s="74"/>
      <c r="L69" s="256"/>
      <c r="M69" s="74"/>
      <c r="N69" s="74"/>
    </row>
    <row r="70" spans="2:15" ht="12.95" customHeight="1">
      <c r="B70" s="74"/>
      <c r="C70" s="256"/>
      <c r="D70" s="256"/>
      <c r="E70" s="256"/>
      <c r="F70" s="256"/>
      <c r="G70" s="256"/>
      <c r="H70" s="74"/>
      <c r="I70" s="74"/>
      <c r="J70" s="74"/>
      <c r="K70" s="74"/>
      <c r="L70" s="256"/>
      <c r="M70" s="74"/>
      <c r="N70" s="74"/>
    </row>
    <row r="71" spans="2:15" ht="12.95" customHeight="1">
      <c r="B71" s="74"/>
      <c r="C71" s="256"/>
      <c r="D71" s="256"/>
      <c r="E71" s="256"/>
      <c r="F71" s="256"/>
      <c r="G71" s="256"/>
      <c r="H71" s="74"/>
      <c r="I71" s="74"/>
      <c r="J71" s="74"/>
      <c r="K71" s="74"/>
      <c r="L71" s="256"/>
      <c r="M71" s="74"/>
      <c r="N71" s="74"/>
    </row>
    <row r="72" spans="2:15" ht="12.95" customHeight="1">
      <c r="B72" s="74"/>
      <c r="C72" s="256"/>
      <c r="D72" s="256"/>
      <c r="E72" s="256"/>
      <c r="F72" s="256"/>
      <c r="G72" s="256"/>
      <c r="H72" s="74"/>
      <c r="I72" s="74"/>
      <c r="J72" s="74"/>
      <c r="K72" s="74"/>
      <c r="L72" s="256"/>
      <c r="M72" s="256"/>
      <c r="N72" s="256"/>
    </row>
  </sheetData>
  <mergeCells count="7">
    <mergeCell ref="B32:C32"/>
    <mergeCell ref="E23:F23"/>
    <mergeCell ref="I14:J14"/>
    <mergeCell ref="I20:J20"/>
    <mergeCell ref="I23:J23"/>
    <mergeCell ref="E14:F14"/>
    <mergeCell ref="E20:F20"/>
  </mergeCells>
  <phoneticPr fontId="0" type="noConversion"/>
  <pageMargins left="0.75" right="0.75" top="1" bottom="1" header="0.5" footer="0.5"/>
  <pageSetup scale="53" orientation="landscape" horizontalDpi="355" verticalDpi="355" r:id="rId1"/>
  <headerFooter alignWithMargins="0"/>
  <legacyDrawing r:id="rId2"/>
</worksheet>
</file>

<file path=xl/worksheets/sheet5.xml><?xml version="1.0" encoding="utf-8"?>
<worksheet xmlns="http://schemas.openxmlformats.org/spreadsheetml/2006/main" xmlns:r="http://schemas.openxmlformats.org/officeDocument/2006/relationships">
  <sheetPr enableFormatConditionsCalculation="0">
    <tabColor indexed="12"/>
  </sheetPr>
  <dimension ref="B1:X87"/>
  <sheetViews>
    <sheetView showGridLines="0" workbookViewId="0">
      <selection activeCell="N27" sqref="N27:N28"/>
    </sheetView>
  </sheetViews>
  <sheetFormatPr defaultColWidth="10.7109375" defaultRowHeight="12.95" customHeight="1"/>
  <cols>
    <col min="1" max="1" width="1.7109375" style="102" customWidth="1"/>
    <col min="2" max="2" width="12.28515625" style="102" customWidth="1"/>
    <col min="3" max="4" width="10.7109375" style="102" customWidth="1"/>
    <col min="5" max="12" width="12.7109375" style="102" customWidth="1"/>
    <col min="13" max="21" width="10.7109375" style="102" customWidth="1"/>
    <col min="22" max="24" width="10.7109375" style="103" customWidth="1"/>
    <col min="25" max="16384" width="10.7109375" style="102"/>
  </cols>
  <sheetData>
    <row r="1" spans="2:12" ht="12.95" customHeight="1">
      <c r="B1" s="104" t="s">
        <v>168</v>
      </c>
      <c r="C1" s="104"/>
      <c r="D1" s="104"/>
      <c r="E1" s="101"/>
      <c r="F1" s="101"/>
    </row>
    <row r="2" spans="2:12" ht="5.0999999999999996" customHeight="1">
      <c r="B2" s="111"/>
      <c r="C2" s="111"/>
      <c r="D2" s="111"/>
      <c r="E2" s="112"/>
      <c r="F2" s="112"/>
      <c r="G2" s="112"/>
      <c r="H2" s="112"/>
      <c r="I2" s="112"/>
      <c r="J2" s="112"/>
      <c r="K2" s="112"/>
      <c r="L2" s="112"/>
    </row>
    <row r="5" spans="2:12" ht="12.95" customHeight="1" thickBot="1"/>
    <row r="6" spans="2:12" ht="12.95" customHeight="1">
      <c r="B6" s="105" t="s">
        <v>32</v>
      </c>
      <c r="C6" s="105"/>
      <c r="D6" s="105"/>
      <c r="E6" s="105"/>
    </row>
    <row r="7" spans="2:12" ht="12.95" customHeight="1">
      <c r="B7" s="106" t="s">
        <v>33</v>
      </c>
      <c r="C7" s="106"/>
      <c r="D7" s="106"/>
      <c r="E7" s="106">
        <v>0.98382031965728145</v>
      </c>
    </row>
    <row r="8" spans="2:12" ht="12.95" customHeight="1">
      <c r="B8" s="199" t="s">
        <v>34</v>
      </c>
      <c r="C8" s="199"/>
      <c r="D8" s="199"/>
      <c r="E8" s="200">
        <v>0.96790242137055538</v>
      </c>
    </row>
    <row r="9" spans="2:12" ht="12.95" customHeight="1">
      <c r="B9" s="106" t="s">
        <v>35</v>
      </c>
      <c r="C9" s="106"/>
      <c r="D9" s="106"/>
      <c r="E9" s="106">
        <v>0.9661556143703135</v>
      </c>
    </row>
    <row r="10" spans="2:12" ht="12.95" customHeight="1">
      <c r="B10" s="106" t="s">
        <v>36</v>
      </c>
      <c r="C10" s="106"/>
      <c r="D10" s="106"/>
      <c r="E10" s="106">
        <v>594348.10812215973</v>
      </c>
    </row>
    <row r="11" spans="2:12" ht="12.95" customHeight="1" thickBot="1">
      <c r="B11" s="107" t="s">
        <v>37</v>
      </c>
      <c r="C11" s="107"/>
      <c r="D11" s="107"/>
      <c r="E11" s="107">
        <v>156</v>
      </c>
    </row>
    <row r="13" spans="2:12" ht="12.95" customHeight="1" thickBot="1">
      <c r="B13" s="102" t="s">
        <v>38</v>
      </c>
    </row>
    <row r="14" spans="2:12" ht="12.95" customHeight="1">
      <c r="B14" s="108"/>
      <c r="C14" s="108"/>
      <c r="D14" s="108"/>
      <c r="E14" s="108" t="s">
        <v>42</v>
      </c>
      <c r="F14" s="108" t="s">
        <v>43</v>
      </c>
      <c r="G14" s="108" t="s">
        <v>44</v>
      </c>
      <c r="H14" s="108" t="s">
        <v>45</v>
      </c>
      <c r="I14" s="108" t="s">
        <v>46</v>
      </c>
    </row>
    <row r="15" spans="2:12" ht="12.95" customHeight="1">
      <c r="B15" s="106" t="s">
        <v>39</v>
      </c>
      <c r="C15" s="106"/>
      <c r="D15" s="106"/>
      <c r="E15" s="106">
        <v>8</v>
      </c>
      <c r="F15" s="106">
        <v>1565879753886639.7</v>
      </c>
      <c r="G15" s="106">
        <v>195734969235829.97</v>
      </c>
      <c r="H15" s="106">
        <v>554.09808939197524</v>
      </c>
      <c r="I15" s="106">
        <v>1.0949648025857535E-105</v>
      </c>
    </row>
    <row r="16" spans="2:12" ht="12.95" customHeight="1">
      <c r="B16" s="106" t="s">
        <v>40</v>
      </c>
      <c r="C16" s="106"/>
      <c r="D16" s="106"/>
      <c r="E16" s="106">
        <v>147</v>
      </c>
      <c r="F16" s="106">
        <v>51927702023373.391</v>
      </c>
      <c r="G16" s="106">
        <v>353249673628.39044</v>
      </c>
      <c r="H16" s="106">
        <v>0</v>
      </c>
      <c r="I16" s="106">
        <v>0</v>
      </c>
    </row>
    <row r="17" spans="2:12" ht="12.95" customHeight="1" thickBot="1">
      <c r="B17" s="107" t="s">
        <v>15</v>
      </c>
      <c r="C17" s="107"/>
      <c r="D17" s="107"/>
      <c r="E17" s="107">
        <v>155</v>
      </c>
      <c r="F17" s="107">
        <v>1617807455910013.2</v>
      </c>
      <c r="G17" s="107">
        <v>0</v>
      </c>
      <c r="H17" s="107">
        <v>0</v>
      </c>
      <c r="I17" s="107">
        <v>0</v>
      </c>
    </row>
    <row r="18" spans="2:12" ht="12.95" customHeight="1" thickBot="1"/>
    <row r="19" spans="2:12" ht="12.95" customHeight="1">
      <c r="B19" s="108"/>
      <c r="C19" s="108"/>
      <c r="D19" s="108"/>
      <c r="E19" s="108" t="s">
        <v>47</v>
      </c>
      <c r="F19" s="108" t="s">
        <v>36</v>
      </c>
      <c r="G19" s="108" t="s">
        <v>48</v>
      </c>
      <c r="H19" s="108" t="s">
        <v>49</v>
      </c>
      <c r="I19" s="108" t="s">
        <v>50</v>
      </c>
      <c r="J19" s="108" t="s">
        <v>51</v>
      </c>
      <c r="K19" s="108" t="s">
        <v>52</v>
      </c>
      <c r="L19" s="108" t="s">
        <v>53</v>
      </c>
    </row>
    <row r="20" spans="2:12" ht="12.95" customHeight="1">
      <c r="B20" s="106" t="s">
        <v>41</v>
      </c>
      <c r="C20" s="106"/>
      <c r="D20" s="106"/>
      <c r="E20" s="167">
        <v>-27061054.917958703</v>
      </c>
      <c r="F20" s="106">
        <v>8699796.6727532968</v>
      </c>
      <c r="G20" s="106">
        <v>-3.1105387787637189</v>
      </c>
      <c r="H20" s="106">
        <v>2.2436417205788412E-3</v>
      </c>
      <c r="I20" s="106">
        <v>-44253882.601778492</v>
      </c>
      <c r="J20" s="106">
        <v>-9868227.2341389097</v>
      </c>
      <c r="K20" s="106">
        <v>-44253882.601778492</v>
      </c>
      <c r="L20" s="106">
        <v>-9868227.2341389097</v>
      </c>
    </row>
    <row r="21" spans="2:12" ht="12.95" customHeight="1">
      <c r="B21" s="106" t="s">
        <v>7</v>
      </c>
      <c r="C21" s="106"/>
      <c r="D21" s="106"/>
      <c r="E21" s="167">
        <v>12930.673601919851</v>
      </c>
      <c r="F21" s="106">
        <v>282.72017079181558</v>
      </c>
      <c r="G21" s="106">
        <v>45.736650362458604</v>
      </c>
      <c r="H21" s="106">
        <v>8.0019891833912217E-89</v>
      </c>
      <c r="I21" s="106">
        <v>12371.952592452228</v>
      </c>
      <c r="J21" s="106">
        <v>13489.394611387474</v>
      </c>
      <c r="K21" s="106">
        <v>12371.952592452228</v>
      </c>
      <c r="L21" s="106">
        <v>13489.394611387474</v>
      </c>
    </row>
    <row r="22" spans="2:12" ht="12.95" customHeight="1">
      <c r="B22" s="106" t="s">
        <v>8</v>
      </c>
      <c r="C22" s="106"/>
      <c r="D22" s="106"/>
      <c r="E22" s="167">
        <v>39068.911636868179</v>
      </c>
      <c r="F22" s="106">
        <v>2562.7957506486705</v>
      </c>
      <c r="G22" s="106">
        <v>15.24464508222297</v>
      </c>
      <c r="H22" s="106">
        <v>4.5330082458650826E-32</v>
      </c>
      <c r="I22" s="106">
        <v>34004.229393463102</v>
      </c>
      <c r="J22" s="106">
        <v>44133.593880273256</v>
      </c>
      <c r="K22" s="106">
        <v>34004.229393463102</v>
      </c>
      <c r="L22" s="106">
        <v>44133.593880273256</v>
      </c>
    </row>
    <row r="23" spans="2:12" ht="12.95" customHeight="1">
      <c r="B23" s="106" t="s">
        <v>11</v>
      </c>
      <c r="C23" s="106"/>
      <c r="D23" s="106"/>
      <c r="E23" s="167">
        <v>27062.209321565286</v>
      </c>
      <c r="F23" s="106">
        <v>23112.899284204777</v>
      </c>
      <c r="G23" s="106">
        <v>1.1708703866528525</v>
      </c>
      <c r="H23" s="106">
        <v>0.24354541114645001</v>
      </c>
      <c r="I23" s="106">
        <v>-18614.271361178493</v>
      </c>
      <c r="J23" s="106">
        <v>72738.690004309057</v>
      </c>
      <c r="K23" s="106">
        <v>-18614.271361178493</v>
      </c>
      <c r="L23" s="106">
        <v>72738.690004309057</v>
      </c>
    </row>
    <row r="24" spans="2:12" ht="12.95" customHeight="1">
      <c r="B24" s="106" t="s">
        <v>9</v>
      </c>
      <c r="C24" s="106"/>
      <c r="D24" s="106"/>
      <c r="E24" s="167">
        <v>522965.2340151883</v>
      </c>
      <c r="F24" s="106">
        <v>63087.500038028214</v>
      </c>
      <c r="G24" s="106">
        <v>8.2895222302350327</v>
      </c>
      <c r="H24" s="106">
        <v>6.5670464784553893E-14</v>
      </c>
      <c r="I24" s="106">
        <v>398289.61710637098</v>
      </c>
      <c r="J24" s="106">
        <v>647640.85092400562</v>
      </c>
      <c r="K24" s="106">
        <v>398289.61710637098</v>
      </c>
      <c r="L24" s="106">
        <v>647640.85092400562</v>
      </c>
    </row>
    <row r="25" spans="2:12" ht="12.95" customHeight="1">
      <c r="B25" s="106" t="s">
        <v>29</v>
      </c>
      <c r="C25" s="106"/>
      <c r="D25" s="106"/>
      <c r="E25" s="167">
        <v>-578339.15352859243</v>
      </c>
      <c r="F25" s="106">
        <v>130837.39008113637</v>
      </c>
      <c r="G25" s="106">
        <v>-4.4202895913006683</v>
      </c>
      <c r="H25" s="106">
        <v>1.9035172424313928E-5</v>
      </c>
      <c r="I25" s="106">
        <v>-836904.35762246978</v>
      </c>
      <c r="J25" s="106">
        <v>-319773.94943471515</v>
      </c>
      <c r="K25" s="106">
        <v>-836904.35762246978</v>
      </c>
      <c r="L25" s="106">
        <v>-319773.94943471515</v>
      </c>
    </row>
    <row r="26" spans="2:12" ht="12.95" customHeight="1">
      <c r="B26" s="106" t="s">
        <v>31</v>
      </c>
      <c r="C26" s="106"/>
      <c r="D26" s="106"/>
      <c r="E26" s="167">
        <v>933.45902495269979</v>
      </c>
      <c r="F26" s="106">
        <v>382.6646511960746</v>
      </c>
      <c r="G26" s="106">
        <v>2.439365700581531</v>
      </c>
      <c r="H26" s="106">
        <v>1.5903781382418856E-2</v>
      </c>
      <c r="I26" s="106">
        <v>177.2244075037637</v>
      </c>
      <c r="J26" s="106">
        <v>1689.6936424016358</v>
      </c>
      <c r="K26" s="106">
        <v>177.2244075037637</v>
      </c>
      <c r="L26" s="106">
        <v>1689.6936424016358</v>
      </c>
    </row>
    <row r="27" spans="2:12" ht="12.95" customHeight="1">
      <c r="B27" s="106" t="s">
        <v>10</v>
      </c>
      <c r="C27" s="106"/>
      <c r="D27" s="106"/>
      <c r="E27" s="167">
        <v>7232.9892555841734</v>
      </c>
      <c r="F27" s="106">
        <v>3137.328496419665</v>
      </c>
      <c r="G27" s="106">
        <v>2.3054612431686694</v>
      </c>
      <c r="H27" s="106">
        <v>2.2539655578738025E-2</v>
      </c>
      <c r="I27" s="106">
        <v>1032.8962815250397</v>
      </c>
      <c r="J27" s="106">
        <v>13433.082229643307</v>
      </c>
      <c r="K27" s="106">
        <v>1032.8962815250397</v>
      </c>
      <c r="L27" s="106">
        <v>13433.082229643307</v>
      </c>
    </row>
    <row r="28" spans="2:12" ht="12.95" customHeight="1" thickBot="1">
      <c r="B28" s="107" t="s">
        <v>30</v>
      </c>
      <c r="C28" s="107"/>
      <c r="D28" s="107"/>
      <c r="E28" s="168">
        <v>-2341914.285050049</v>
      </c>
      <c r="F28" s="107">
        <v>612528.90216137911</v>
      </c>
      <c r="G28" s="107">
        <v>-3.8233531132756893</v>
      </c>
      <c r="H28" s="107">
        <v>1.9391858243559111E-4</v>
      </c>
      <c r="I28" s="107">
        <v>-3552414.2843433702</v>
      </c>
      <c r="J28" s="107">
        <v>-1131414.2857567277</v>
      </c>
      <c r="K28" s="107">
        <v>-3552414.2843433702</v>
      </c>
      <c r="L28" s="107">
        <v>-1131414.2857567277</v>
      </c>
    </row>
    <row r="31" spans="2:12" ht="12.95" customHeight="1">
      <c r="B31" s="273" t="s">
        <v>240</v>
      </c>
    </row>
    <row r="87" spans="2:24" s="110" customFormat="1" ht="12.95" customHeight="1">
      <c r="B87" s="102"/>
      <c r="C87" s="102"/>
      <c r="D87" s="102"/>
      <c r="E87" s="102"/>
      <c r="F87" s="102"/>
      <c r="G87" s="102"/>
      <c r="H87" s="102"/>
      <c r="I87" s="102"/>
      <c r="J87" s="102"/>
      <c r="K87" s="102"/>
      <c r="L87" s="102"/>
      <c r="M87" s="102"/>
      <c r="N87" s="102"/>
      <c r="O87" s="102"/>
      <c r="P87" s="102"/>
      <c r="Q87" s="102"/>
      <c r="R87" s="102"/>
      <c r="S87" s="102"/>
      <c r="T87" s="102"/>
      <c r="U87" s="102"/>
      <c r="V87" s="109"/>
      <c r="W87" s="109"/>
      <c r="X87" s="109"/>
    </row>
  </sheetData>
  <phoneticPr fontId="0" type="noConversion"/>
  <pageMargins left="0.38" right="0.75" top="0.98" bottom="0.74" header="0.5" footer="0.5"/>
  <pageSetup scale="85" orientation="landscape" verticalDpi="300" r:id="rId1"/>
  <headerFooter alignWithMargins="0"/>
</worksheet>
</file>

<file path=xl/worksheets/sheet6.xml><?xml version="1.0" encoding="utf-8"?>
<worksheet xmlns="http://schemas.openxmlformats.org/spreadsheetml/2006/main" xmlns:r="http://schemas.openxmlformats.org/officeDocument/2006/relationships">
  <sheetPr enableFormatConditionsCalculation="0">
    <tabColor indexed="48"/>
  </sheetPr>
  <dimension ref="A1:AI311"/>
  <sheetViews>
    <sheetView showGridLines="0" workbookViewId="0">
      <pane xSplit="1" ySplit="1" topLeftCell="B285" activePane="bottomRight" state="frozen"/>
      <selection pane="topRight" activeCell="B1" sqref="B1"/>
      <selection pane="bottomLeft" activeCell="A3" sqref="A3"/>
      <selection pane="bottomRight" activeCell="A3" sqref="A3:IV61"/>
    </sheetView>
  </sheetViews>
  <sheetFormatPr defaultColWidth="13.7109375" defaultRowHeight="12.75"/>
  <cols>
    <col min="1" max="1" width="13.7109375" style="1" customWidth="1"/>
    <col min="2" max="2" width="13.7109375" style="19" hidden="1" customWidth="1"/>
    <col min="3" max="3" width="13.7109375" style="19" customWidth="1"/>
    <col min="4" max="5" width="13.7109375" style="15" customWidth="1"/>
    <col min="6" max="6" width="13.7109375" style="24" customWidth="1"/>
    <col min="7" max="12" width="13.7109375" style="15" customWidth="1"/>
    <col min="13" max="14" width="13.7109375" style="1" customWidth="1"/>
    <col min="15" max="32" width="13.7109375" customWidth="1"/>
    <col min="33" max="35" width="13.7109375" style="3" customWidth="1"/>
  </cols>
  <sheetData>
    <row r="1" spans="1:14" ht="69.95" customHeight="1">
      <c r="A1" s="172"/>
      <c r="B1" s="175" t="s">
        <v>78</v>
      </c>
      <c r="C1" s="175" t="s">
        <v>79</v>
      </c>
      <c r="D1" s="176" t="s">
        <v>7</v>
      </c>
      <c r="E1" s="176" t="s">
        <v>8</v>
      </c>
      <c r="F1" s="183" t="s">
        <v>11</v>
      </c>
      <c r="G1" s="187" t="s">
        <v>9</v>
      </c>
      <c r="H1" s="187" t="s">
        <v>29</v>
      </c>
      <c r="I1" s="166" t="s">
        <v>31</v>
      </c>
      <c r="J1" s="176" t="s">
        <v>10</v>
      </c>
      <c r="K1" s="176" t="s">
        <v>30</v>
      </c>
      <c r="L1" s="191" t="s">
        <v>16</v>
      </c>
      <c r="M1" s="9"/>
      <c r="N1" s="9"/>
    </row>
    <row r="2" spans="1:14" ht="0.75" customHeight="1">
      <c r="A2" s="173">
        <v>33239</v>
      </c>
      <c r="B2" s="177"/>
      <c r="C2" s="177"/>
      <c r="D2" s="178"/>
      <c r="E2" s="178"/>
      <c r="F2" s="184">
        <v>88.382773720985085</v>
      </c>
      <c r="G2" s="188">
        <v>31</v>
      </c>
      <c r="H2" s="188">
        <v>0</v>
      </c>
      <c r="I2" s="14"/>
      <c r="J2" s="178">
        <v>352</v>
      </c>
      <c r="K2" s="179">
        <v>0</v>
      </c>
      <c r="L2" s="192"/>
    </row>
    <row r="3" spans="1:14" hidden="1">
      <c r="A3" s="173">
        <v>33270</v>
      </c>
      <c r="B3" s="177"/>
      <c r="C3" s="177"/>
      <c r="D3" s="178"/>
      <c r="E3" s="178"/>
      <c r="F3" s="184">
        <v>88.202520495970504</v>
      </c>
      <c r="G3" s="188">
        <v>28</v>
      </c>
      <c r="H3" s="188">
        <v>0</v>
      </c>
      <c r="I3" s="14"/>
      <c r="J3" s="178">
        <v>320</v>
      </c>
      <c r="K3" s="179">
        <v>0</v>
      </c>
      <c r="L3" s="192"/>
    </row>
    <row r="4" spans="1:14" hidden="1">
      <c r="A4" s="173">
        <v>33298</v>
      </c>
      <c r="B4" s="177"/>
      <c r="C4" s="177"/>
      <c r="D4" s="178"/>
      <c r="E4" s="178"/>
      <c r="F4" s="184">
        <v>88.022634890388531</v>
      </c>
      <c r="G4" s="188">
        <v>31</v>
      </c>
      <c r="H4" s="188">
        <v>1</v>
      </c>
      <c r="I4" s="14"/>
      <c r="J4" s="178">
        <v>320</v>
      </c>
      <c r="K4" s="179">
        <v>0</v>
      </c>
      <c r="L4" s="192"/>
    </row>
    <row r="5" spans="1:14" hidden="1">
      <c r="A5" s="173">
        <v>33329</v>
      </c>
      <c r="B5" s="177"/>
      <c r="C5" s="177"/>
      <c r="D5" s="178"/>
      <c r="E5" s="178"/>
      <c r="F5" s="184">
        <v>87.843116154493657</v>
      </c>
      <c r="G5" s="188">
        <v>30</v>
      </c>
      <c r="H5" s="188">
        <v>1</v>
      </c>
      <c r="I5" s="14"/>
      <c r="J5" s="178">
        <v>336</v>
      </c>
      <c r="K5" s="179">
        <v>0</v>
      </c>
      <c r="L5" s="192"/>
    </row>
    <row r="6" spans="1:14" hidden="1">
      <c r="A6" s="173">
        <v>33359</v>
      </c>
      <c r="B6" s="177"/>
      <c r="C6" s="177"/>
      <c r="D6" s="178"/>
      <c r="E6" s="178"/>
      <c r="F6" s="184">
        <v>87.663963540069446</v>
      </c>
      <c r="G6" s="188">
        <v>31</v>
      </c>
      <c r="H6" s="188">
        <v>1</v>
      </c>
      <c r="I6" s="14"/>
      <c r="J6" s="178">
        <v>352</v>
      </c>
      <c r="K6" s="179">
        <v>0</v>
      </c>
      <c r="L6" s="192"/>
    </row>
    <row r="7" spans="1:14" hidden="1">
      <c r="A7" s="173">
        <v>33390</v>
      </c>
      <c r="B7" s="177"/>
      <c r="C7" s="177"/>
      <c r="D7" s="178"/>
      <c r="E7" s="178"/>
      <c r="F7" s="184">
        <v>87.485176300425408</v>
      </c>
      <c r="G7" s="188">
        <v>30</v>
      </c>
      <c r="H7" s="188">
        <v>0</v>
      </c>
      <c r="I7" s="25"/>
      <c r="J7" s="178">
        <v>320</v>
      </c>
      <c r="K7" s="179">
        <v>0</v>
      </c>
      <c r="L7" s="192"/>
    </row>
    <row r="8" spans="1:14" hidden="1">
      <c r="A8" s="173">
        <v>33420</v>
      </c>
      <c r="B8" s="177"/>
      <c r="C8" s="177"/>
      <c r="D8" s="178"/>
      <c r="E8" s="178"/>
      <c r="F8" s="184">
        <v>87.306753690393904</v>
      </c>
      <c r="G8" s="188">
        <v>31</v>
      </c>
      <c r="H8" s="188">
        <v>0</v>
      </c>
      <c r="I8" s="14"/>
      <c r="J8" s="178">
        <v>352</v>
      </c>
      <c r="K8" s="179">
        <v>0</v>
      </c>
      <c r="L8" s="192"/>
      <c r="M8" s="15"/>
    </row>
    <row r="9" spans="1:14" hidden="1">
      <c r="A9" s="173">
        <v>33451</v>
      </c>
      <c r="B9" s="177"/>
      <c r="C9" s="177"/>
      <c r="D9" s="178"/>
      <c r="E9" s="178"/>
      <c r="F9" s="184">
        <v>87.12869496632706</v>
      </c>
      <c r="G9" s="188">
        <v>31</v>
      </c>
      <c r="H9" s="188">
        <v>0</v>
      </c>
      <c r="I9" s="14"/>
      <c r="J9" s="178">
        <v>336</v>
      </c>
      <c r="K9" s="179">
        <v>0</v>
      </c>
      <c r="L9" s="192"/>
    </row>
    <row r="10" spans="1:14" hidden="1">
      <c r="A10" s="173">
        <v>33482</v>
      </c>
      <c r="B10" s="177"/>
      <c r="C10" s="177"/>
      <c r="D10" s="178"/>
      <c r="E10" s="178"/>
      <c r="F10" s="184">
        <v>86.950999386093599</v>
      </c>
      <c r="G10" s="188">
        <v>30</v>
      </c>
      <c r="H10" s="188">
        <v>1</v>
      </c>
      <c r="I10" s="14"/>
      <c r="J10" s="178">
        <v>320</v>
      </c>
      <c r="K10" s="179">
        <v>0</v>
      </c>
      <c r="L10" s="192"/>
    </row>
    <row r="11" spans="1:14" hidden="1">
      <c r="A11" s="173">
        <v>33512</v>
      </c>
      <c r="B11" s="177"/>
      <c r="C11" s="177"/>
      <c r="D11" s="178"/>
      <c r="E11" s="178"/>
      <c r="F11" s="184">
        <v>86.773666209075827</v>
      </c>
      <c r="G11" s="188">
        <v>31</v>
      </c>
      <c r="H11" s="188">
        <v>1</v>
      </c>
      <c r="I11" s="14"/>
      <c r="J11" s="178">
        <v>352</v>
      </c>
      <c r="K11" s="179">
        <v>0</v>
      </c>
      <c r="L11" s="192"/>
    </row>
    <row r="12" spans="1:14" hidden="1">
      <c r="A12" s="173">
        <v>33543</v>
      </c>
      <c r="B12" s="177"/>
      <c r="C12" s="177"/>
      <c r="D12" s="178"/>
      <c r="E12" s="178"/>
      <c r="F12" s="184">
        <v>86.596694696166509</v>
      </c>
      <c r="G12" s="188">
        <v>30</v>
      </c>
      <c r="H12" s="188">
        <v>1</v>
      </c>
      <c r="I12" s="14"/>
      <c r="J12" s="178">
        <v>336</v>
      </c>
      <c r="K12" s="179">
        <v>0</v>
      </c>
      <c r="L12" s="192"/>
    </row>
    <row r="13" spans="1:14" hidden="1">
      <c r="A13" s="173">
        <v>33573</v>
      </c>
      <c r="B13" s="177"/>
      <c r="C13" s="177"/>
      <c r="D13" s="178"/>
      <c r="E13" s="178"/>
      <c r="F13" s="184">
        <v>86.420084109765767</v>
      </c>
      <c r="G13" s="188">
        <v>31</v>
      </c>
      <c r="H13" s="188">
        <v>0</v>
      </c>
      <c r="I13" s="14"/>
      <c r="J13" s="178">
        <v>320</v>
      </c>
      <c r="K13" s="179">
        <v>0</v>
      </c>
      <c r="L13" s="192"/>
    </row>
    <row r="14" spans="1:14" hidden="1">
      <c r="A14" s="173">
        <v>33604</v>
      </c>
      <c r="B14" s="177"/>
      <c r="C14" s="177"/>
      <c r="D14" s="178"/>
      <c r="E14" s="178"/>
      <c r="F14" s="184">
        <v>86.243833713778045</v>
      </c>
      <c r="G14" s="188">
        <v>31</v>
      </c>
      <c r="H14" s="188">
        <v>0</v>
      </c>
      <c r="I14" s="14"/>
      <c r="J14" s="178">
        <v>352</v>
      </c>
      <c r="K14" s="179">
        <v>0</v>
      </c>
      <c r="L14" s="192"/>
    </row>
    <row r="15" spans="1:14" hidden="1">
      <c r="A15" s="173">
        <v>33635</v>
      </c>
      <c r="B15" s="177"/>
      <c r="C15" s="177"/>
      <c r="D15" s="178"/>
      <c r="E15" s="178"/>
      <c r="F15" s="184">
        <v>86.290622578242264</v>
      </c>
      <c r="G15" s="188">
        <v>29</v>
      </c>
      <c r="H15" s="188">
        <v>0</v>
      </c>
      <c r="I15" s="14"/>
      <c r="J15" s="178">
        <v>320</v>
      </c>
      <c r="K15" s="179">
        <v>0</v>
      </c>
      <c r="L15" s="192"/>
    </row>
    <row r="16" spans="1:14" hidden="1">
      <c r="A16" s="173">
        <v>33664</v>
      </c>
      <c r="B16" s="177"/>
      <c r="C16" s="177"/>
      <c r="D16" s="178"/>
      <c r="E16" s="178"/>
      <c r="F16" s="184">
        <v>86.337436826525163</v>
      </c>
      <c r="G16" s="188">
        <v>31</v>
      </c>
      <c r="H16" s="188">
        <v>1</v>
      </c>
      <c r="I16" s="14"/>
      <c r="J16" s="178">
        <v>352</v>
      </c>
      <c r="K16" s="179">
        <v>0</v>
      </c>
      <c r="L16" s="192"/>
    </row>
    <row r="17" spans="1:12" hidden="1">
      <c r="A17" s="173">
        <v>33695</v>
      </c>
      <c r="B17" s="177"/>
      <c r="C17" s="177"/>
      <c r="D17" s="178"/>
      <c r="E17" s="178"/>
      <c r="F17" s="184">
        <v>86.384276472397943</v>
      </c>
      <c r="G17" s="188">
        <v>30</v>
      </c>
      <c r="H17" s="188">
        <v>1</v>
      </c>
      <c r="I17" s="14"/>
      <c r="J17" s="178">
        <v>320</v>
      </c>
      <c r="K17" s="179">
        <v>0</v>
      </c>
      <c r="L17" s="192"/>
    </row>
    <row r="18" spans="1:12" hidden="1">
      <c r="A18" s="173">
        <v>33725</v>
      </c>
      <c r="B18" s="177"/>
      <c r="C18" s="177"/>
      <c r="D18" s="178"/>
      <c r="E18" s="178"/>
      <c r="F18" s="184">
        <v>86.431141529639262</v>
      </c>
      <c r="G18" s="188">
        <v>31</v>
      </c>
      <c r="H18" s="188">
        <v>1</v>
      </c>
      <c r="I18" s="14"/>
      <c r="J18" s="178">
        <v>320</v>
      </c>
      <c r="K18" s="179">
        <v>0</v>
      </c>
      <c r="L18" s="192"/>
    </row>
    <row r="19" spans="1:12" hidden="1">
      <c r="A19" s="173">
        <v>33756</v>
      </c>
      <c r="B19" s="177"/>
      <c r="C19" s="177"/>
      <c r="D19" s="178"/>
      <c r="E19" s="178"/>
      <c r="F19" s="184">
        <v>86.478032012035243</v>
      </c>
      <c r="G19" s="188">
        <v>30</v>
      </c>
      <c r="H19" s="188">
        <v>0</v>
      </c>
      <c r="I19" s="14"/>
      <c r="J19" s="178">
        <v>352</v>
      </c>
      <c r="K19" s="179">
        <v>0</v>
      </c>
      <c r="L19" s="192"/>
    </row>
    <row r="20" spans="1:12" hidden="1">
      <c r="A20" s="173">
        <v>33786</v>
      </c>
      <c r="B20" s="177"/>
      <c r="C20" s="177"/>
      <c r="D20" s="178"/>
      <c r="E20" s="178"/>
      <c r="F20" s="184">
        <v>86.524947933379508</v>
      </c>
      <c r="G20" s="188">
        <v>31</v>
      </c>
      <c r="H20" s="188">
        <v>0</v>
      </c>
      <c r="I20" s="14"/>
      <c r="J20" s="178">
        <v>352</v>
      </c>
      <c r="K20" s="179">
        <v>0</v>
      </c>
      <c r="L20" s="192"/>
    </row>
    <row r="21" spans="1:12" hidden="1">
      <c r="A21" s="173">
        <v>33817</v>
      </c>
      <c r="B21" s="177"/>
      <c r="C21" s="177"/>
      <c r="D21" s="178"/>
      <c r="E21" s="178"/>
      <c r="F21" s="184">
        <v>86.571889307473157</v>
      </c>
      <c r="G21" s="188">
        <v>31</v>
      </c>
      <c r="H21" s="188">
        <v>0</v>
      </c>
      <c r="I21" s="14"/>
      <c r="J21" s="178">
        <v>320</v>
      </c>
      <c r="K21" s="179">
        <v>0</v>
      </c>
      <c r="L21" s="192"/>
    </row>
    <row r="22" spans="1:12" hidden="1">
      <c r="A22" s="173">
        <v>33848</v>
      </c>
      <c r="B22" s="177"/>
      <c r="C22" s="177"/>
      <c r="D22" s="178"/>
      <c r="E22" s="178"/>
      <c r="F22" s="184">
        <v>86.618856148124763</v>
      </c>
      <c r="G22" s="188">
        <v>30</v>
      </c>
      <c r="H22" s="188">
        <v>1</v>
      </c>
      <c r="I22" s="14"/>
      <c r="J22" s="178">
        <v>336</v>
      </c>
      <c r="K22" s="179">
        <v>0</v>
      </c>
      <c r="L22" s="192"/>
    </row>
    <row r="23" spans="1:12" hidden="1">
      <c r="A23" s="173">
        <v>33878</v>
      </c>
      <c r="B23" s="177"/>
      <c r="C23" s="177"/>
      <c r="D23" s="178"/>
      <c r="E23" s="178"/>
      <c r="F23" s="184">
        <v>86.665848469150404</v>
      </c>
      <c r="G23" s="188">
        <v>31</v>
      </c>
      <c r="H23" s="188">
        <v>1</v>
      </c>
      <c r="I23" s="14"/>
      <c r="J23" s="178">
        <v>336</v>
      </c>
      <c r="K23" s="179">
        <v>0</v>
      </c>
      <c r="L23" s="192"/>
    </row>
    <row r="24" spans="1:12" hidden="1">
      <c r="A24" s="173">
        <v>33909</v>
      </c>
      <c r="B24" s="177"/>
      <c r="C24" s="177"/>
      <c r="D24" s="178"/>
      <c r="E24" s="178"/>
      <c r="F24" s="184">
        <v>86.712866284373661</v>
      </c>
      <c r="G24" s="188">
        <v>30</v>
      </c>
      <c r="H24" s="188">
        <v>1</v>
      </c>
      <c r="I24" s="14"/>
      <c r="J24" s="178">
        <v>336</v>
      </c>
      <c r="K24" s="179">
        <v>0</v>
      </c>
      <c r="L24" s="192"/>
    </row>
    <row r="25" spans="1:12" hidden="1">
      <c r="A25" s="173">
        <v>33939</v>
      </c>
      <c r="B25" s="177"/>
      <c r="C25" s="177"/>
      <c r="D25" s="178"/>
      <c r="E25" s="178"/>
      <c r="F25" s="184">
        <v>86.759909607625602</v>
      </c>
      <c r="G25" s="188">
        <v>31</v>
      </c>
      <c r="H25" s="188">
        <v>0</v>
      </c>
      <c r="I25" s="14"/>
      <c r="J25" s="178">
        <v>352</v>
      </c>
      <c r="K25" s="179">
        <v>0</v>
      </c>
      <c r="L25" s="192"/>
    </row>
    <row r="26" spans="1:12" hidden="1">
      <c r="A26" s="173">
        <v>33970</v>
      </c>
      <c r="B26" s="177"/>
      <c r="C26" s="177"/>
      <c r="D26" s="178"/>
      <c r="E26" s="178"/>
      <c r="F26" s="184">
        <v>86.806978452744787</v>
      </c>
      <c r="G26" s="188">
        <v>31</v>
      </c>
      <c r="H26" s="188">
        <v>0</v>
      </c>
      <c r="I26" s="14"/>
      <c r="J26" s="178">
        <v>320</v>
      </c>
      <c r="K26" s="179">
        <v>0</v>
      </c>
      <c r="L26" s="192"/>
    </row>
    <row r="27" spans="1:12" hidden="1">
      <c r="A27" s="173">
        <v>34001</v>
      </c>
      <c r="B27" s="177"/>
      <c r="C27" s="177"/>
      <c r="D27" s="178"/>
      <c r="E27" s="178"/>
      <c r="F27" s="184">
        <v>86.893193756549508</v>
      </c>
      <c r="G27" s="188">
        <v>28</v>
      </c>
      <c r="H27" s="188">
        <v>0</v>
      </c>
      <c r="I27" s="14"/>
      <c r="J27" s="178">
        <v>320</v>
      </c>
      <c r="K27" s="179">
        <v>0</v>
      </c>
      <c r="L27" s="192"/>
    </row>
    <row r="28" spans="1:12" hidden="1">
      <c r="A28" s="173">
        <v>34029</v>
      </c>
      <c r="B28" s="177"/>
      <c r="C28" s="177"/>
      <c r="D28" s="178"/>
      <c r="E28" s="178"/>
      <c r="F28" s="184">
        <v>86.979494688016231</v>
      </c>
      <c r="G28" s="188">
        <v>31</v>
      </c>
      <c r="H28" s="188">
        <v>1</v>
      </c>
      <c r="I28" s="14"/>
      <c r="J28" s="178">
        <v>368</v>
      </c>
      <c r="K28" s="179">
        <v>0</v>
      </c>
      <c r="L28" s="192"/>
    </row>
    <row r="29" spans="1:12" hidden="1">
      <c r="A29" s="173">
        <v>34060</v>
      </c>
      <c r="B29" s="177"/>
      <c r="C29" s="177"/>
      <c r="D29" s="178"/>
      <c r="E29" s="178"/>
      <c r="F29" s="184">
        <v>87.06588133218898</v>
      </c>
      <c r="G29" s="188">
        <v>30</v>
      </c>
      <c r="H29" s="188">
        <v>1</v>
      </c>
      <c r="I29" s="14"/>
      <c r="J29" s="178">
        <v>320</v>
      </c>
      <c r="K29" s="179">
        <v>0</v>
      </c>
      <c r="L29" s="192"/>
    </row>
    <row r="30" spans="1:12" hidden="1">
      <c r="A30" s="173">
        <v>34090</v>
      </c>
      <c r="B30" s="177"/>
      <c r="C30" s="177"/>
      <c r="D30" s="178"/>
      <c r="E30" s="178"/>
      <c r="F30" s="184">
        <v>87.152353774196243</v>
      </c>
      <c r="G30" s="188">
        <v>31</v>
      </c>
      <c r="H30" s="188">
        <v>1</v>
      </c>
      <c r="I30" s="14"/>
      <c r="J30" s="178">
        <v>320</v>
      </c>
      <c r="K30" s="179">
        <v>0</v>
      </c>
      <c r="L30" s="192"/>
    </row>
    <row r="31" spans="1:12" hidden="1">
      <c r="A31" s="173">
        <v>34121</v>
      </c>
      <c r="B31" s="177"/>
      <c r="C31" s="177"/>
      <c r="D31" s="178"/>
      <c r="E31" s="178"/>
      <c r="F31" s="184">
        <v>87.238912099251053</v>
      </c>
      <c r="G31" s="188">
        <v>30</v>
      </c>
      <c r="H31" s="188">
        <v>0</v>
      </c>
      <c r="I31" s="14"/>
      <c r="J31" s="178">
        <v>352</v>
      </c>
      <c r="K31" s="179">
        <v>0</v>
      </c>
      <c r="L31" s="192"/>
    </row>
    <row r="32" spans="1:12" hidden="1">
      <c r="A32" s="173">
        <v>34151</v>
      </c>
      <c r="B32" s="177"/>
      <c r="C32" s="177"/>
      <c r="D32" s="178"/>
      <c r="E32" s="178"/>
      <c r="F32" s="184">
        <v>87.325556392651094</v>
      </c>
      <c r="G32" s="188">
        <v>31</v>
      </c>
      <c r="H32" s="188">
        <v>0</v>
      </c>
      <c r="I32" s="14"/>
      <c r="J32" s="178">
        <v>336</v>
      </c>
      <c r="K32" s="179">
        <v>0</v>
      </c>
      <c r="L32" s="192"/>
    </row>
    <row r="33" spans="1:12" hidden="1">
      <c r="A33" s="173">
        <v>34182</v>
      </c>
      <c r="B33" s="177"/>
      <c r="C33" s="177"/>
      <c r="D33" s="178"/>
      <c r="E33" s="178"/>
      <c r="F33" s="184">
        <v>87.412286739778736</v>
      </c>
      <c r="G33" s="188">
        <v>31</v>
      </c>
      <c r="H33" s="188">
        <v>0</v>
      </c>
      <c r="I33" s="14"/>
      <c r="J33" s="178">
        <v>336</v>
      </c>
      <c r="K33" s="179">
        <v>0</v>
      </c>
      <c r="L33" s="192"/>
    </row>
    <row r="34" spans="1:12" hidden="1">
      <c r="A34" s="173">
        <v>34213</v>
      </c>
      <c r="B34" s="177"/>
      <c r="C34" s="177"/>
      <c r="D34" s="178"/>
      <c r="E34" s="178"/>
      <c r="F34" s="184">
        <v>87.499103226101184</v>
      </c>
      <c r="G34" s="188">
        <v>30</v>
      </c>
      <c r="H34" s="188">
        <v>1</v>
      </c>
      <c r="I34" s="14"/>
      <c r="J34" s="178">
        <v>336</v>
      </c>
      <c r="K34" s="179">
        <v>0</v>
      </c>
      <c r="L34" s="192"/>
    </row>
    <row r="35" spans="1:12" hidden="1">
      <c r="A35" s="173">
        <v>34243</v>
      </c>
      <c r="B35" s="177"/>
      <c r="C35" s="177"/>
      <c r="D35" s="178"/>
      <c r="E35" s="178"/>
      <c r="F35" s="184">
        <v>87.586005937170498</v>
      </c>
      <c r="G35" s="188">
        <v>31</v>
      </c>
      <c r="H35" s="188">
        <v>1</v>
      </c>
      <c r="I35" s="14"/>
      <c r="J35" s="178">
        <v>320</v>
      </c>
      <c r="K35" s="179">
        <v>0</v>
      </c>
      <c r="L35" s="192"/>
    </row>
    <row r="36" spans="1:12" hidden="1">
      <c r="A36" s="173">
        <v>34274</v>
      </c>
      <c r="B36" s="177"/>
      <c r="C36" s="177"/>
      <c r="D36" s="178"/>
      <c r="E36" s="178"/>
      <c r="F36" s="184">
        <v>87.672994958623718</v>
      </c>
      <c r="G36" s="188">
        <v>30</v>
      </c>
      <c r="H36" s="188">
        <v>1</v>
      </c>
      <c r="I36" s="14"/>
      <c r="J36" s="178">
        <v>352</v>
      </c>
      <c r="K36" s="179">
        <v>0</v>
      </c>
      <c r="L36" s="192"/>
    </row>
    <row r="37" spans="1:12" hidden="1">
      <c r="A37" s="173">
        <v>34304</v>
      </c>
      <c r="B37" s="177"/>
      <c r="C37" s="177"/>
      <c r="D37" s="178"/>
      <c r="E37" s="178"/>
      <c r="F37" s="184">
        <v>87.760070376182938</v>
      </c>
      <c r="G37" s="188">
        <v>31</v>
      </c>
      <c r="H37" s="188">
        <v>0</v>
      </c>
      <c r="I37" s="14"/>
      <c r="J37" s="178">
        <v>368</v>
      </c>
      <c r="K37" s="179">
        <v>0</v>
      </c>
      <c r="L37" s="192"/>
    </row>
    <row r="38" spans="1:12" hidden="1">
      <c r="A38" s="173">
        <v>34335</v>
      </c>
      <c r="B38" s="177"/>
      <c r="C38" s="177"/>
      <c r="D38" s="178"/>
      <c r="E38" s="178"/>
      <c r="F38" s="184">
        <v>87.847232275655401</v>
      </c>
      <c r="G38" s="188">
        <v>31</v>
      </c>
      <c r="H38" s="188">
        <v>0</v>
      </c>
      <c r="I38" s="14"/>
      <c r="J38" s="178">
        <v>336</v>
      </c>
      <c r="K38" s="179">
        <v>0</v>
      </c>
      <c r="L38" s="192"/>
    </row>
    <row r="39" spans="1:12" hidden="1">
      <c r="A39" s="173">
        <v>34366</v>
      </c>
      <c r="B39" s="177"/>
      <c r="C39" s="177"/>
      <c r="D39" s="178"/>
      <c r="E39" s="178"/>
      <c r="F39" s="184">
        <v>88.18864135346729</v>
      </c>
      <c r="G39" s="188">
        <v>28</v>
      </c>
      <c r="H39" s="188">
        <v>0</v>
      </c>
      <c r="I39" s="14"/>
      <c r="J39" s="178">
        <v>320</v>
      </c>
      <c r="K39" s="179">
        <v>0</v>
      </c>
      <c r="L39" s="192"/>
    </row>
    <row r="40" spans="1:12" hidden="1">
      <c r="A40" s="173">
        <v>34394</v>
      </c>
      <c r="B40" s="177"/>
      <c r="C40" s="177"/>
      <c r="D40" s="178"/>
      <c r="E40" s="178"/>
      <c r="F40" s="184">
        <v>88.531377281942454</v>
      </c>
      <c r="G40" s="188">
        <v>31</v>
      </c>
      <c r="H40" s="188">
        <v>1</v>
      </c>
      <c r="I40" s="14"/>
      <c r="J40" s="178">
        <v>352</v>
      </c>
      <c r="K40" s="179">
        <v>0</v>
      </c>
      <c r="L40" s="192"/>
    </row>
    <row r="41" spans="1:12" hidden="1">
      <c r="A41" s="173">
        <v>34425</v>
      </c>
      <c r="B41" s="177"/>
      <c r="C41" s="177"/>
      <c r="D41" s="178"/>
      <c r="E41" s="178"/>
      <c r="F41" s="184">
        <v>88.875445217747199</v>
      </c>
      <c r="G41" s="188">
        <v>30</v>
      </c>
      <c r="H41" s="188">
        <v>1</v>
      </c>
      <c r="I41" s="14"/>
      <c r="J41" s="178">
        <v>304</v>
      </c>
      <c r="K41" s="179">
        <v>0</v>
      </c>
      <c r="L41" s="192"/>
    </row>
    <row r="42" spans="1:12" hidden="1">
      <c r="A42" s="173">
        <v>34455</v>
      </c>
      <c r="B42" s="177"/>
      <c r="C42" s="177"/>
      <c r="D42" s="178"/>
      <c r="E42" s="178"/>
      <c r="F42" s="184">
        <v>89.220850337588644</v>
      </c>
      <c r="G42" s="188">
        <v>31</v>
      </c>
      <c r="H42" s="188">
        <v>1</v>
      </c>
      <c r="I42" s="14"/>
      <c r="J42" s="178">
        <v>336</v>
      </c>
      <c r="K42" s="179">
        <v>0</v>
      </c>
      <c r="L42" s="192"/>
    </row>
    <row r="43" spans="1:12" hidden="1">
      <c r="A43" s="173">
        <v>34486</v>
      </c>
      <c r="B43" s="177"/>
      <c r="C43" s="177"/>
      <c r="D43" s="178"/>
      <c r="E43" s="178"/>
      <c r="F43" s="184">
        <v>89.567597838292656</v>
      </c>
      <c r="G43" s="188">
        <v>30</v>
      </c>
      <c r="H43" s="188">
        <v>0</v>
      </c>
      <c r="I43" s="14"/>
      <c r="J43" s="178">
        <v>352</v>
      </c>
      <c r="K43" s="179">
        <v>0</v>
      </c>
      <c r="L43" s="192"/>
    </row>
    <row r="44" spans="1:12" hidden="1">
      <c r="A44" s="173">
        <v>34516</v>
      </c>
      <c r="B44" s="177"/>
      <c r="C44" s="177"/>
      <c r="D44" s="178"/>
      <c r="E44" s="178"/>
      <c r="F44" s="184">
        <v>89.915692936882024</v>
      </c>
      <c r="G44" s="188">
        <v>31</v>
      </c>
      <c r="H44" s="188">
        <v>0</v>
      </c>
      <c r="I44" s="14"/>
      <c r="J44" s="178">
        <v>320</v>
      </c>
      <c r="K44" s="179">
        <v>0</v>
      </c>
      <c r="L44" s="192"/>
    </row>
    <row r="45" spans="1:12" hidden="1">
      <c r="A45" s="173">
        <v>34547</v>
      </c>
      <c r="B45" s="177"/>
      <c r="C45" s="177"/>
      <c r="D45" s="178"/>
      <c r="E45" s="178"/>
      <c r="F45" s="184">
        <v>90.265140870654946</v>
      </c>
      <c r="G45" s="188">
        <v>31</v>
      </c>
      <c r="H45" s="188">
        <v>0</v>
      </c>
      <c r="I45" s="14"/>
      <c r="J45" s="178">
        <v>352</v>
      </c>
      <c r="K45" s="179">
        <v>0</v>
      </c>
      <c r="L45" s="192"/>
    </row>
    <row r="46" spans="1:12" hidden="1">
      <c r="A46" s="173">
        <v>34578</v>
      </c>
      <c r="B46" s="177"/>
      <c r="C46" s="177"/>
      <c r="D46" s="178"/>
      <c r="E46" s="178"/>
      <c r="F46" s="184">
        <v>90.615946897263825</v>
      </c>
      <c r="G46" s="188">
        <v>30</v>
      </c>
      <c r="H46" s="188">
        <v>1</v>
      </c>
      <c r="I46" s="14"/>
      <c r="J46" s="178">
        <v>336</v>
      </c>
      <c r="K46" s="179">
        <v>0</v>
      </c>
      <c r="L46" s="192"/>
    </row>
    <row r="47" spans="1:12" hidden="1">
      <c r="A47" s="173">
        <v>34608</v>
      </c>
      <c r="B47" s="177"/>
      <c r="C47" s="177"/>
      <c r="D47" s="178"/>
      <c r="E47" s="178"/>
      <c r="F47" s="184">
        <v>90.968116294794399</v>
      </c>
      <c r="G47" s="188">
        <v>31</v>
      </c>
      <c r="H47" s="188">
        <v>1</v>
      </c>
      <c r="I47" s="14"/>
      <c r="J47" s="178">
        <v>320</v>
      </c>
      <c r="K47" s="179">
        <v>0</v>
      </c>
      <c r="L47" s="192"/>
    </row>
    <row r="48" spans="1:12" hidden="1">
      <c r="A48" s="173">
        <v>34639</v>
      </c>
      <c r="B48" s="177"/>
      <c r="C48" s="177"/>
      <c r="D48" s="178"/>
      <c r="E48" s="178"/>
      <c r="F48" s="184">
        <v>91.321654361845106</v>
      </c>
      <c r="G48" s="188">
        <v>30</v>
      </c>
      <c r="H48" s="188">
        <v>1</v>
      </c>
      <c r="I48" s="14"/>
      <c r="J48" s="178">
        <v>352</v>
      </c>
      <c r="K48" s="179">
        <v>0</v>
      </c>
      <c r="L48" s="192"/>
    </row>
    <row r="49" spans="1:24" hidden="1">
      <c r="A49" s="173">
        <v>34669</v>
      </c>
      <c r="B49" s="177"/>
      <c r="C49" s="177"/>
      <c r="D49" s="178"/>
      <c r="E49" s="178"/>
      <c r="F49" s="184">
        <v>91.676566417606864</v>
      </c>
      <c r="G49" s="188">
        <v>31</v>
      </c>
      <c r="H49" s="188">
        <v>0</v>
      </c>
      <c r="I49" s="14"/>
      <c r="J49" s="178">
        <v>336</v>
      </c>
      <c r="K49" s="179">
        <v>0</v>
      </c>
      <c r="L49" s="192"/>
    </row>
    <row r="50" spans="1:24" hidden="1">
      <c r="A50" s="173">
        <v>34700</v>
      </c>
      <c r="B50" s="177"/>
      <c r="C50" s="177"/>
      <c r="D50" s="178"/>
      <c r="E50" s="178"/>
      <c r="F50" s="184">
        <v>92.032857801943052</v>
      </c>
      <c r="G50" s="188">
        <v>31</v>
      </c>
      <c r="H50" s="188">
        <v>0</v>
      </c>
      <c r="I50" s="14"/>
      <c r="J50" s="178">
        <v>352</v>
      </c>
      <c r="K50" s="179">
        <v>0</v>
      </c>
      <c r="L50" s="192"/>
    </row>
    <row r="51" spans="1:24" hidden="1">
      <c r="A51" s="173">
        <v>34731</v>
      </c>
      <c r="B51" s="177"/>
      <c r="C51" s="177"/>
      <c r="D51" s="178"/>
      <c r="E51" s="178"/>
      <c r="F51" s="184">
        <v>92.329586087589604</v>
      </c>
      <c r="G51" s="188">
        <v>28</v>
      </c>
      <c r="H51" s="188">
        <v>0</v>
      </c>
      <c r="I51" s="14"/>
      <c r="J51" s="178">
        <v>320</v>
      </c>
      <c r="K51" s="179">
        <v>0</v>
      </c>
      <c r="L51" s="192"/>
    </row>
    <row r="52" spans="1:24" hidden="1">
      <c r="A52" s="173">
        <v>34759</v>
      </c>
      <c r="B52" s="177"/>
      <c r="C52" s="177"/>
      <c r="D52" s="178"/>
      <c r="E52" s="178"/>
      <c r="F52" s="184">
        <v>92.627271071502463</v>
      </c>
      <c r="G52" s="188">
        <v>31</v>
      </c>
      <c r="H52" s="188">
        <v>1</v>
      </c>
      <c r="I52" s="14"/>
      <c r="J52" s="178">
        <v>368</v>
      </c>
      <c r="K52" s="179">
        <v>0</v>
      </c>
      <c r="L52" s="192"/>
    </row>
    <row r="53" spans="1:24" hidden="1">
      <c r="A53" s="173">
        <v>34790</v>
      </c>
      <c r="B53" s="177"/>
      <c r="C53" s="177"/>
      <c r="D53" s="178"/>
      <c r="E53" s="178"/>
      <c r="F53" s="184">
        <v>92.925915838226032</v>
      </c>
      <c r="G53" s="188">
        <v>30</v>
      </c>
      <c r="H53" s="188">
        <v>1</v>
      </c>
      <c r="I53" s="14"/>
      <c r="J53" s="178">
        <v>288</v>
      </c>
      <c r="K53" s="179">
        <v>0</v>
      </c>
      <c r="L53" s="192"/>
    </row>
    <row r="54" spans="1:24" hidden="1">
      <c r="A54" s="173">
        <v>34820</v>
      </c>
      <c r="B54" s="177"/>
      <c r="C54" s="177"/>
      <c r="D54" s="178"/>
      <c r="E54" s="178"/>
      <c r="F54" s="184">
        <v>93.22552348224977</v>
      </c>
      <c r="G54" s="188">
        <v>31</v>
      </c>
      <c r="H54" s="188">
        <v>1</v>
      </c>
      <c r="I54" s="14"/>
      <c r="J54" s="178">
        <v>352</v>
      </c>
      <c r="K54" s="179">
        <v>0</v>
      </c>
      <c r="L54" s="192"/>
    </row>
    <row r="55" spans="1:24" hidden="1">
      <c r="A55" s="173">
        <v>34851</v>
      </c>
      <c r="B55" s="177"/>
      <c r="C55" s="177"/>
      <c r="D55" s="178"/>
      <c r="E55" s="178"/>
      <c r="F55" s="184">
        <v>93.526097108040247</v>
      </c>
      <c r="G55" s="188">
        <v>30</v>
      </c>
      <c r="H55" s="188">
        <v>0</v>
      </c>
      <c r="I55" s="14"/>
      <c r="J55" s="178">
        <v>352</v>
      </c>
      <c r="K55" s="179">
        <v>0</v>
      </c>
      <c r="L55" s="192"/>
    </row>
    <row r="56" spans="1:24" hidden="1">
      <c r="A56" s="173">
        <v>34881</v>
      </c>
      <c r="B56" s="177"/>
      <c r="C56" s="177"/>
      <c r="D56" s="178"/>
      <c r="E56" s="178"/>
      <c r="F56" s="184">
        <v>93.827639830073323</v>
      </c>
      <c r="G56" s="188">
        <v>31</v>
      </c>
      <c r="H56" s="188">
        <v>0</v>
      </c>
      <c r="I56" s="14"/>
      <c r="J56" s="178">
        <v>320</v>
      </c>
      <c r="K56" s="179">
        <v>0</v>
      </c>
      <c r="L56" s="192"/>
    </row>
    <row r="57" spans="1:24" hidden="1">
      <c r="A57" s="173">
        <v>34912</v>
      </c>
      <c r="B57" s="177"/>
      <c r="C57" s="177"/>
      <c r="D57" s="178"/>
      <c r="E57" s="178"/>
      <c r="F57" s="184">
        <v>94.130154772866419</v>
      </c>
      <c r="G57" s="188">
        <v>31</v>
      </c>
      <c r="H57" s="188">
        <v>0</v>
      </c>
      <c r="I57" s="14"/>
      <c r="J57" s="178">
        <v>352</v>
      </c>
      <c r="K57" s="179">
        <v>0</v>
      </c>
      <c r="L57" s="192"/>
    </row>
    <row r="58" spans="1:24" hidden="1">
      <c r="A58" s="173">
        <v>34943</v>
      </c>
      <c r="B58" s="177"/>
      <c r="C58" s="177"/>
      <c r="D58" s="178"/>
      <c r="E58" s="178"/>
      <c r="F58" s="184">
        <v>94.433645071010858</v>
      </c>
      <c r="G58" s="188">
        <v>30</v>
      </c>
      <c r="H58" s="188">
        <v>1</v>
      </c>
      <c r="I58" s="14"/>
      <c r="J58" s="178">
        <v>320</v>
      </c>
      <c r="K58" s="179">
        <v>0</v>
      </c>
      <c r="L58" s="192"/>
    </row>
    <row r="59" spans="1:24" hidden="1">
      <c r="A59" s="173">
        <v>34973</v>
      </c>
      <c r="B59" s="177"/>
      <c r="C59" s="177"/>
      <c r="D59" s="178"/>
      <c r="E59" s="178"/>
      <c r="F59" s="184">
        <v>94.738113869204412</v>
      </c>
      <c r="G59" s="188">
        <v>31</v>
      </c>
      <c r="H59" s="188">
        <v>1</v>
      </c>
      <c r="I59" s="14"/>
      <c r="J59" s="178">
        <v>336</v>
      </c>
      <c r="K59" s="179">
        <v>0</v>
      </c>
      <c r="L59" s="192"/>
    </row>
    <row r="60" spans="1:24" hidden="1">
      <c r="A60" s="173">
        <v>35004</v>
      </c>
      <c r="B60" s="177"/>
      <c r="C60" s="177"/>
      <c r="D60" s="178"/>
      <c r="E60" s="178"/>
      <c r="F60" s="184">
        <v>95.043564322283814</v>
      </c>
      <c r="G60" s="188">
        <v>30</v>
      </c>
      <c r="H60" s="188">
        <v>1</v>
      </c>
      <c r="I60" s="14"/>
      <c r="J60" s="178">
        <v>352</v>
      </c>
      <c r="K60" s="179">
        <v>0</v>
      </c>
      <c r="L60" s="192"/>
    </row>
    <row r="61" spans="1:24" hidden="1">
      <c r="A61" s="173">
        <v>35034</v>
      </c>
      <c r="B61" s="177"/>
      <c r="C61" s="177"/>
      <c r="D61" s="178"/>
      <c r="E61" s="178"/>
      <c r="F61" s="184">
        <v>95.349999595257515</v>
      </c>
      <c r="G61" s="188">
        <v>31</v>
      </c>
      <c r="H61" s="188">
        <v>0</v>
      </c>
      <c r="I61" s="14"/>
      <c r="J61" s="178">
        <v>336</v>
      </c>
      <c r="K61" s="179">
        <v>0</v>
      </c>
      <c r="L61" s="192"/>
    </row>
    <row r="62" spans="1:24">
      <c r="A62" s="173">
        <v>35065</v>
      </c>
      <c r="B62" s="177">
        <v>32105791.23</v>
      </c>
      <c r="C62" s="177">
        <v>32105791.23</v>
      </c>
      <c r="D62" s="179">
        <v>839.4</v>
      </c>
      <c r="E62" s="179">
        <v>0</v>
      </c>
      <c r="F62" s="185">
        <v>94.715305091666934</v>
      </c>
      <c r="G62" s="188">
        <v>31</v>
      </c>
      <c r="H62" s="188">
        <v>0</v>
      </c>
      <c r="I62" s="14">
        <f>I63- (I127-I67)/60</f>
        <v>27739.75</v>
      </c>
      <c r="J62" s="179">
        <v>352</v>
      </c>
      <c r="K62" s="179">
        <v>0</v>
      </c>
      <c r="L62" s="190">
        <f>'Regression Results'!$E$20+D62*'Regression Results'!$E$21+E62*'Regression Results'!$E$22+F62*'Regression Results'!$E$23+G62*'Regression Results'!$E$24+H62*'Regression Results'!$E$25+I62*'Regression Results'!$E$26+J62*'Regression Results'!$E$27+K62*'Regression Results'!$E$28</f>
        <v>31008012.375707548</v>
      </c>
      <c r="M62" s="7"/>
      <c r="N62" s="11"/>
      <c r="P62" s="194" t="s">
        <v>228</v>
      </c>
      <c r="Q62" s="194"/>
      <c r="R62" s="194"/>
      <c r="S62" s="194"/>
      <c r="T62" s="194"/>
      <c r="U62" s="194"/>
      <c r="V62" s="194"/>
      <c r="W62" s="194"/>
      <c r="X62" s="194"/>
    </row>
    <row r="63" spans="1:24" ht="13.5" thickBot="1">
      <c r="A63" s="173">
        <v>35096</v>
      </c>
      <c r="B63" s="177">
        <v>29375921</v>
      </c>
      <c r="C63" s="177">
        <v>29375921</v>
      </c>
      <c r="D63" s="179">
        <v>739.6</v>
      </c>
      <c r="E63" s="179">
        <v>0</v>
      </c>
      <c r="F63" s="185">
        <v>94.800748405985075</v>
      </c>
      <c r="G63" s="188">
        <v>29</v>
      </c>
      <c r="H63" s="188">
        <v>0</v>
      </c>
      <c r="I63" s="14">
        <f>I64- (I127-I67)/60</f>
        <v>27761</v>
      </c>
      <c r="J63" s="179">
        <v>336</v>
      </c>
      <c r="K63" s="179">
        <v>0</v>
      </c>
      <c r="L63" s="190">
        <f>'Regression Results'!$E$20+D63*'Regression Results'!$E$21+E63*'Regression Results'!$E$22+F63*'Regression Results'!$E$23+G63*'Regression Results'!$E$24+H63*'Regression Results'!$E$25+I63*'Regression Results'!$E$26+J63*'Regression Results'!$E$27+K63*'Regression Results'!$E$28</f>
        <v>28578021.143253677</v>
      </c>
      <c r="M63" s="7"/>
      <c r="N63" s="11"/>
      <c r="P63" s="194"/>
      <c r="Q63" s="194"/>
      <c r="R63" s="194"/>
      <c r="S63" s="194"/>
      <c r="T63" s="194"/>
      <c r="U63" s="194"/>
      <c r="V63" s="194"/>
      <c r="W63" s="194"/>
      <c r="X63" s="194"/>
    </row>
    <row r="64" spans="1:24">
      <c r="A64" s="173">
        <v>35125</v>
      </c>
      <c r="B64" s="177">
        <v>27990631.780000001</v>
      </c>
      <c r="C64" s="177">
        <v>27990631.780000001</v>
      </c>
      <c r="D64" s="179">
        <v>669</v>
      </c>
      <c r="E64" s="179">
        <v>0</v>
      </c>
      <c r="F64" s="185">
        <v>94.886268799292239</v>
      </c>
      <c r="G64" s="188">
        <v>31</v>
      </c>
      <c r="H64" s="188">
        <v>1</v>
      </c>
      <c r="I64" s="14">
        <f>I65- (I127-I67)/60</f>
        <v>27782.25</v>
      </c>
      <c r="J64" s="179">
        <v>336</v>
      </c>
      <c r="K64" s="179">
        <v>0</v>
      </c>
      <c r="L64" s="190">
        <f>'Regression Results'!$E$20+D64*'Regression Results'!$E$21+E64*'Regression Results'!$E$22+F64*'Regression Results'!$E$23+G64*'Regression Results'!$E$24+H64*'Regression Results'!$E$25+I64*'Regression Results'!$E$26+J64*'Regression Results'!$E$27+K64*'Regression Results'!$E$28</f>
        <v>28154857.276525106</v>
      </c>
      <c r="M64" s="7"/>
      <c r="N64" s="11"/>
      <c r="P64" s="195" t="s">
        <v>32</v>
      </c>
      <c r="Q64" s="195"/>
      <c r="R64" s="194"/>
      <c r="S64" s="194"/>
      <c r="T64" s="194"/>
      <c r="U64" s="194"/>
      <c r="V64" s="194"/>
      <c r="W64" s="194"/>
      <c r="X64" s="194"/>
    </row>
    <row r="65" spans="1:24">
      <c r="A65" s="173">
        <v>35156</v>
      </c>
      <c r="B65" s="177">
        <v>24835089.530000001</v>
      </c>
      <c r="C65" s="177">
        <v>24835089.530000001</v>
      </c>
      <c r="D65" s="179">
        <v>455.1</v>
      </c>
      <c r="E65" s="179">
        <v>0</v>
      </c>
      <c r="F65" s="185">
        <v>94.971866341121896</v>
      </c>
      <c r="G65" s="188">
        <v>30</v>
      </c>
      <c r="H65" s="188">
        <v>1</v>
      </c>
      <c r="I65" s="14">
        <f>I66- (I127-I67)/60</f>
        <v>27803.5</v>
      </c>
      <c r="J65" s="179">
        <v>336</v>
      </c>
      <c r="K65" s="179">
        <v>0</v>
      </c>
      <c r="L65" s="190">
        <f>'Regression Results'!$E$20+D65*'Regression Results'!$E$21+E65*'Regression Results'!$E$22+F65*'Regression Results'!$E$23+G65*'Regression Results'!$E$24+H65*'Regression Results'!$E$25+I65*'Regression Results'!$E$26+J65*'Regression Results'!$E$27+K65*'Regression Results'!$E$28</f>
        <v>24888173.421933912</v>
      </c>
      <c r="M65" s="7"/>
      <c r="N65" s="11"/>
      <c r="P65" s="196" t="s">
        <v>33</v>
      </c>
      <c r="Q65" s="196">
        <v>0.98382031965728145</v>
      </c>
      <c r="R65" s="194"/>
      <c r="S65" s="194"/>
      <c r="T65" s="194"/>
      <c r="U65" s="194"/>
      <c r="V65" s="194"/>
      <c r="W65" s="194"/>
      <c r="X65" s="194"/>
    </row>
    <row r="66" spans="1:24">
      <c r="A66" s="173">
        <v>35186</v>
      </c>
      <c r="B66" s="177">
        <v>22198745.710000001</v>
      </c>
      <c r="C66" s="177">
        <v>22198745.710000001</v>
      </c>
      <c r="D66" s="179">
        <v>209.3</v>
      </c>
      <c r="E66" s="179">
        <v>6.6</v>
      </c>
      <c r="F66" s="185">
        <v>95.057541101070257</v>
      </c>
      <c r="G66" s="188">
        <v>31</v>
      </c>
      <c r="H66" s="188">
        <v>1</v>
      </c>
      <c r="I66" s="14">
        <f>I67- (I127-I67)/60</f>
        <v>27824.75</v>
      </c>
      <c r="J66" s="179">
        <v>352</v>
      </c>
      <c r="K66" s="179">
        <v>0</v>
      </c>
      <c r="L66" s="190">
        <f>'Regression Results'!$E$20+D66*'Regression Results'!$E$21+E66*'Regression Results'!$E$22+F66*'Regression Results'!$E$23+G66*'Regression Results'!$E$24+H66*'Regression Results'!$E$25+I66*'Regression Results'!$E$26+J66*'Regression Results'!$E$27+K66*'Regression Results'!$E$28</f>
        <v>22628516.282057416</v>
      </c>
      <c r="M66" s="7"/>
      <c r="N66" s="11"/>
      <c r="P66" s="196" t="s">
        <v>34</v>
      </c>
      <c r="Q66" s="196">
        <v>0.96790242137055538</v>
      </c>
      <c r="R66" s="194"/>
      <c r="S66" s="194"/>
      <c r="T66" s="194"/>
      <c r="U66" s="194"/>
      <c r="V66" s="194"/>
      <c r="W66" s="194"/>
      <c r="X66" s="194"/>
    </row>
    <row r="67" spans="1:24">
      <c r="A67" s="173">
        <v>35217</v>
      </c>
      <c r="B67" s="177">
        <v>21319575.280000001</v>
      </c>
      <c r="C67" s="177">
        <v>21319575.280000001</v>
      </c>
      <c r="D67" s="179">
        <v>35.1</v>
      </c>
      <c r="E67" s="179">
        <v>33.4</v>
      </c>
      <c r="F67" s="185">
        <v>95.143293148796303</v>
      </c>
      <c r="G67" s="188">
        <v>30</v>
      </c>
      <c r="H67" s="188">
        <v>0</v>
      </c>
      <c r="I67" s="14">
        <v>27846</v>
      </c>
      <c r="J67" s="179">
        <v>320</v>
      </c>
      <c r="K67" s="179">
        <v>0</v>
      </c>
      <c r="L67" s="190">
        <f>'Regression Results'!$E$20+D67*'Regression Results'!$E$21+E67*'Regression Results'!$E$22+F67*'Regression Results'!$E$23+G67*'Regression Results'!$E$24+H67*'Regression Results'!$E$25+I67*'Regression Results'!$E$26+J67*'Regression Results'!$E$27+K67*'Regression Results'!$E$28</f>
        <v>21269114.679951318</v>
      </c>
      <c r="M67" s="7"/>
      <c r="N67" s="11"/>
      <c r="P67" s="196" t="s">
        <v>35</v>
      </c>
      <c r="Q67" s="196">
        <v>0.9661556143703135</v>
      </c>
      <c r="R67" s="194"/>
      <c r="S67" s="194"/>
      <c r="T67" s="194"/>
      <c r="U67" s="194"/>
      <c r="V67" s="194"/>
      <c r="W67" s="194"/>
      <c r="X67" s="194"/>
    </row>
    <row r="68" spans="1:24">
      <c r="A68" s="173">
        <v>35247</v>
      </c>
      <c r="B68" s="177">
        <v>21362287.850000001</v>
      </c>
      <c r="C68" s="177">
        <v>21362287.850000001</v>
      </c>
      <c r="D68" s="179">
        <v>11.2</v>
      </c>
      <c r="E68" s="179">
        <v>43.7</v>
      </c>
      <c r="F68" s="185">
        <v>95.22912255402187</v>
      </c>
      <c r="G68" s="188">
        <v>31</v>
      </c>
      <c r="H68" s="188">
        <v>0</v>
      </c>
      <c r="I68" s="14">
        <f>(I127-I67)/60+I67</f>
        <v>27867.25</v>
      </c>
      <c r="J68" s="179">
        <v>352</v>
      </c>
      <c r="K68" s="179">
        <v>0</v>
      </c>
      <c r="L68" s="190">
        <f>'Regression Results'!$E$20+D68*'Regression Results'!$E$21+E68*'Regression Results'!$E$22+F68*'Regression Results'!$E$23+G68*'Regression Results'!$E$24+H68*'Regression Results'!$E$25+I68*'Regression Results'!$E$26+J68*'Regression Results'!$E$27+K68*'Regression Results'!$E$28</f>
        <v>22139060.998529457</v>
      </c>
      <c r="M68" s="7"/>
      <c r="N68" s="11"/>
      <c r="P68" s="196" t="s">
        <v>36</v>
      </c>
      <c r="Q68" s="196">
        <v>594348.10812215973</v>
      </c>
      <c r="R68" s="194"/>
      <c r="S68" s="194"/>
      <c r="T68" s="194"/>
      <c r="U68" s="194"/>
      <c r="V68" s="194"/>
      <c r="W68" s="194"/>
      <c r="X68" s="194"/>
    </row>
    <row r="69" spans="1:24" ht="13.5" thickBot="1">
      <c r="A69" s="173">
        <v>35278</v>
      </c>
      <c r="B69" s="177">
        <v>22271996.530000001</v>
      </c>
      <c r="C69" s="177">
        <v>22271996.530000001</v>
      </c>
      <c r="D69" s="179">
        <v>6.4</v>
      </c>
      <c r="E69" s="179">
        <v>71.8</v>
      </c>
      <c r="F69" s="185">
        <v>95.315029386531663</v>
      </c>
      <c r="G69" s="188">
        <v>31</v>
      </c>
      <c r="H69" s="188">
        <v>0</v>
      </c>
      <c r="I69" s="14">
        <f>(I127-I67)/60+I68</f>
        <v>27888.5</v>
      </c>
      <c r="J69" s="179">
        <v>336</v>
      </c>
      <c r="K69" s="179">
        <v>0</v>
      </c>
      <c r="L69" s="190">
        <f>'Regression Results'!$E$20+D69*'Regression Results'!$E$21+E69*'Regression Results'!$E$22+F69*'Regression Results'!$E$23+G69*'Regression Results'!$E$24+H69*'Regression Results'!$E$25+I69*'Regression Results'!$E$26+J69*'Regression Results'!$E$27+K69*'Regression Results'!$E$28</f>
        <v>23081263.187110677</v>
      </c>
      <c r="M69" s="7"/>
      <c r="N69" s="11"/>
      <c r="P69" s="197" t="s">
        <v>37</v>
      </c>
      <c r="Q69" s="197">
        <v>156</v>
      </c>
      <c r="R69" s="194"/>
      <c r="S69" s="194"/>
      <c r="T69" s="194"/>
      <c r="U69" s="194"/>
      <c r="V69" s="194"/>
      <c r="W69" s="194"/>
      <c r="X69" s="194"/>
    </row>
    <row r="70" spans="1:24">
      <c r="A70" s="173">
        <v>35309</v>
      </c>
      <c r="B70" s="177">
        <v>21640511.68</v>
      </c>
      <c r="C70" s="177">
        <v>21640511.68</v>
      </c>
      <c r="D70" s="179">
        <v>84.4</v>
      </c>
      <c r="E70" s="179">
        <v>23.6</v>
      </c>
      <c r="F70" s="185">
        <v>95.401013716173367</v>
      </c>
      <c r="G70" s="188">
        <v>30</v>
      </c>
      <c r="H70" s="188">
        <v>1</v>
      </c>
      <c r="I70" s="14">
        <f>(I127-I67)/60+I69</f>
        <v>27909.75</v>
      </c>
      <c r="J70" s="179">
        <v>320</v>
      </c>
      <c r="K70" s="179">
        <v>0</v>
      </c>
      <c r="L70" s="190">
        <f>'Regression Results'!$E$20+D70*'Regression Results'!$E$21+E70*'Regression Results'!$E$22+F70*'Regression Results'!$E$23+G70*'Regression Results'!$E$24+H70*'Regression Results'!$E$25+I70*'Regression Results'!$E$26+J70*'Regression Results'!$E$27+K70*'Regression Results'!$E$28</f>
        <v>21011864.90173763</v>
      </c>
      <c r="M70" s="7"/>
      <c r="N70" s="11"/>
      <c r="P70" s="194"/>
      <c r="Q70" s="194"/>
      <c r="R70" s="194"/>
      <c r="S70" s="194"/>
      <c r="T70" s="194"/>
      <c r="U70" s="194"/>
      <c r="V70" s="194"/>
      <c r="W70" s="194"/>
      <c r="X70" s="194"/>
    </row>
    <row r="71" spans="1:24" ht="13.5" thickBot="1">
      <c r="A71" s="173">
        <v>35339</v>
      </c>
      <c r="B71" s="177">
        <v>23341015.899999999</v>
      </c>
      <c r="C71" s="177">
        <v>23341015.899999999</v>
      </c>
      <c r="D71" s="179">
        <v>285.2</v>
      </c>
      <c r="E71" s="179">
        <v>0</v>
      </c>
      <c r="F71" s="185">
        <v>95.487075612857652</v>
      </c>
      <c r="G71" s="188">
        <v>31</v>
      </c>
      <c r="H71" s="188">
        <v>1</v>
      </c>
      <c r="I71" s="14">
        <f>(I127-I67)/60+I70</f>
        <v>27931</v>
      </c>
      <c r="J71" s="179">
        <v>352</v>
      </c>
      <c r="K71" s="179">
        <v>0</v>
      </c>
      <c r="L71" s="190">
        <f>'Regression Results'!$E$20+D71*'Regression Results'!$E$21+E71*'Regression Results'!$E$22+F71*'Regression Results'!$E$23+G71*'Regression Results'!$E$24+H71*'Regression Results'!$E$25+I71*'Regression Results'!$E$26+J71*'Regression Results'!$E$27+K71*'Regression Results'!$E$28</f>
        <v>23462903.765909854</v>
      </c>
      <c r="M71" s="7"/>
      <c r="N71" s="11"/>
      <c r="P71" s="194" t="s">
        <v>38</v>
      </c>
      <c r="Q71" s="194"/>
      <c r="R71" s="194"/>
      <c r="S71" s="194"/>
      <c r="T71" s="194"/>
      <c r="U71" s="194"/>
      <c r="V71" s="194"/>
      <c r="W71" s="194"/>
      <c r="X71" s="194"/>
    </row>
    <row r="72" spans="1:24">
      <c r="A72" s="173">
        <v>35370</v>
      </c>
      <c r="B72" s="177">
        <v>26467677.93</v>
      </c>
      <c r="C72" s="177">
        <v>26467677.93</v>
      </c>
      <c r="D72" s="179">
        <v>548.20000000000005</v>
      </c>
      <c r="E72" s="179">
        <v>0</v>
      </c>
      <c r="F72" s="185">
        <v>95.573215146558283</v>
      </c>
      <c r="G72" s="188">
        <v>30</v>
      </c>
      <c r="H72" s="188">
        <v>1</v>
      </c>
      <c r="I72" s="14">
        <f>(I127-I67)/60+I71</f>
        <v>27952.25</v>
      </c>
      <c r="J72" s="179">
        <v>320</v>
      </c>
      <c r="K72" s="179">
        <v>0</v>
      </c>
      <c r="L72" s="190">
        <f>'Regression Results'!$E$20+D72*'Regression Results'!$E$21+E72*'Regression Results'!$E$22+F72*'Regression Results'!$E$23+G72*'Regression Results'!$E$24+H72*'Regression Results'!$E$25+I72*'Regression Results'!$E$26+J72*'Regression Results'!$E$27+K72*'Regression Results'!$E$28</f>
        <v>26131417.163393006</v>
      </c>
      <c r="M72" s="7"/>
      <c r="N72" s="11"/>
      <c r="P72" s="198"/>
      <c r="Q72" s="198" t="s">
        <v>42</v>
      </c>
      <c r="R72" s="198" t="s">
        <v>43</v>
      </c>
      <c r="S72" s="198" t="s">
        <v>44</v>
      </c>
      <c r="T72" s="198" t="s">
        <v>45</v>
      </c>
      <c r="U72" s="198" t="s">
        <v>46</v>
      </c>
      <c r="V72" s="194"/>
      <c r="W72" s="194"/>
      <c r="X72" s="194"/>
    </row>
    <row r="73" spans="1:24">
      <c r="A73" s="173">
        <v>35400</v>
      </c>
      <c r="B73" s="177">
        <v>28001688.57</v>
      </c>
      <c r="C73" s="177">
        <v>28001688.57</v>
      </c>
      <c r="D73" s="179">
        <v>605.6</v>
      </c>
      <c r="E73" s="179">
        <v>0</v>
      </c>
      <c r="F73" s="186">
        <v>95.659432387312208</v>
      </c>
      <c r="G73" s="188">
        <v>31</v>
      </c>
      <c r="H73" s="188">
        <v>0</v>
      </c>
      <c r="I73" s="14">
        <f>(I127-I67)/60+I72</f>
        <v>27973.5</v>
      </c>
      <c r="J73" s="179">
        <v>320</v>
      </c>
      <c r="K73" s="179">
        <v>0</v>
      </c>
      <c r="L73" s="190">
        <f>'Regression Results'!$E$20+D73*'Regression Results'!$E$21+E73*'Regression Results'!$E$22+F73*'Regression Results'!$E$23+G73*'Regression Results'!$E$24+H73*'Regression Results'!$E$25+I73*'Regression Results'!$E$26+J73*'Regression Results'!$E$27+K73*'Regression Results'!$E$28</f>
        <v>27997111.448983643</v>
      </c>
      <c r="M73" s="7"/>
      <c r="N73" s="11"/>
      <c r="P73" s="196" t="s">
        <v>39</v>
      </c>
      <c r="Q73" s="196">
        <v>8</v>
      </c>
      <c r="R73" s="196">
        <v>1565879753886639.7</v>
      </c>
      <c r="S73" s="196">
        <v>195734969235829.97</v>
      </c>
      <c r="T73" s="196">
        <v>554.09808939197524</v>
      </c>
      <c r="U73" s="196">
        <v>1.0949648025857535E-105</v>
      </c>
      <c r="V73" s="194"/>
      <c r="W73" s="194"/>
      <c r="X73" s="194"/>
    </row>
    <row r="74" spans="1:24">
      <c r="A74" s="173">
        <v>35431</v>
      </c>
      <c r="B74" s="177">
        <v>32195226</v>
      </c>
      <c r="C74" s="177">
        <v>32195226</v>
      </c>
      <c r="D74" s="179">
        <v>836.4</v>
      </c>
      <c r="E74" s="179">
        <v>0</v>
      </c>
      <c r="F74" s="185">
        <v>96.013834907485574</v>
      </c>
      <c r="G74" s="188">
        <v>31</v>
      </c>
      <c r="H74" s="188">
        <v>0</v>
      </c>
      <c r="I74" s="14">
        <f>(I127-I67)/60+I73</f>
        <v>27994.75</v>
      </c>
      <c r="J74" s="179">
        <v>352</v>
      </c>
      <c r="K74" s="179">
        <v>0</v>
      </c>
      <c r="L74" s="190">
        <f>'Regression Results'!$E$20+D74*'Regression Results'!$E$21+E74*'Regression Results'!$E$22+F74*'Regression Results'!$E$23+G74*'Regression Results'!$E$24+H74*'Regression Results'!$E$25+I74*'Regression Results'!$E$26+J74*'Regression Results'!$E$27+K74*'Regression Results'!$E$28</f>
        <v>31242393.491950702</v>
      </c>
      <c r="M74" s="7"/>
      <c r="N74" s="11"/>
      <c r="P74" s="196" t="s">
        <v>40</v>
      </c>
      <c r="Q74" s="196">
        <v>147</v>
      </c>
      <c r="R74" s="196">
        <v>51927702023373.391</v>
      </c>
      <c r="S74" s="196">
        <v>353249673628.39044</v>
      </c>
      <c r="T74" s="196"/>
      <c r="U74" s="196"/>
      <c r="V74" s="194"/>
      <c r="W74" s="194"/>
      <c r="X74" s="194"/>
    </row>
    <row r="75" spans="1:24" ht="13.5" thickBot="1">
      <c r="A75" s="173">
        <v>35462</v>
      </c>
      <c r="B75" s="177">
        <v>27794810</v>
      </c>
      <c r="C75" s="177">
        <v>27794810</v>
      </c>
      <c r="D75" s="179">
        <v>679.5</v>
      </c>
      <c r="E75" s="179">
        <v>0</v>
      </c>
      <c r="F75" s="185">
        <v>96.369550430916135</v>
      </c>
      <c r="G75" s="188">
        <v>28</v>
      </c>
      <c r="H75" s="188">
        <v>0</v>
      </c>
      <c r="I75" s="14">
        <f>(I127-I67)/60+I74</f>
        <v>28016</v>
      </c>
      <c r="J75" s="179">
        <v>320</v>
      </c>
      <c r="K75" s="179">
        <v>0</v>
      </c>
      <c r="L75" s="190">
        <f>'Regression Results'!$E$20+D75*'Regression Results'!$E$21+E75*'Regression Results'!$E$22+F75*'Regression Results'!$E$23+G75*'Regression Results'!$E$24+H75*'Regression Results'!$E$25+I75*'Regression Results'!$E$26+J75*'Regression Results'!$E$27+K75*'Regression Results'!$E$28</f>
        <v>27442681.897819478</v>
      </c>
      <c r="M75" s="7"/>
      <c r="N75" s="11"/>
      <c r="P75" s="197" t="s">
        <v>15</v>
      </c>
      <c r="Q75" s="197">
        <v>155</v>
      </c>
      <c r="R75" s="197">
        <v>1617807455910013.2</v>
      </c>
      <c r="S75" s="197"/>
      <c r="T75" s="197"/>
      <c r="U75" s="197"/>
      <c r="V75" s="194"/>
      <c r="W75" s="194"/>
      <c r="X75" s="194"/>
    </row>
    <row r="76" spans="1:24" ht="13.5" thickBot="1">
      <c r="A76" s="173">
        <v>35490</v>
      </c>
      <c r="B76" s="177">
        <v>28681746</v>
      </c>
      <c r="C76" s="177">
        <v>28681746</v>
      </c>
      <c r="D76" s="179">
        <v>677.9</v>
      </c>
      <c r="E76" s="179">
        <v>0</v>
      </c>
      <c r="F76" s="185">
        <v>96.726583822065777</v>
      </c>
      <c r="G76" s="188">
        <v>31</v>
      </c>
      <c r="H76" s="188">
        <v>1</v>
      </c>
      <c r="I76" s="14">
        <f>(I127-I67)/60+I75</f>
        <v>28037.25</v>
      </c>
      <c r="J76" s="179">
        <v>304</v>
      </c>
      <c r="K76" s="179">
        <v>0</v>
      </c>
      <c r="L76" s="190">
        <f>'Regression Results'!$E$20+D76*'Regression Results'!$E$21+E76*'Regression Results'!$E$22+F76*'Regression Results'!$E$23+G76*'Regression Results'!$E$24+H76*'Regression Results'!$E$25+I76*'Regression Results'!$E$26+J76*'Regression Results'!$E$27+K76*'Regression Results'!$E$28</f>
        <v>28326319.657130353</v>
      </c>
      <c r="M76" s="7"/>
      <c r="N76" s="11"/>
      <c r="P76" s="194"/>
      <c r="Q76" s="194"/>
      <c r="R76" s="194"/>
      <c r="S76" s="194"/>
      <c r="T76" s="194"/>
      <c r="U76" s="194"/>
      <c r="V76" s="194"/>
      <c r="W76" s="194"/>
      <c r="X76" s="194"/>
    </row>
    <row r="77" spans="1:24">
      <c r="A77" s="173">
        <v>35521</v>
      </c>
      <c r="B77" s="177">
        <v>24697796</v>
      </c>
      <c r="C77" s="177">
        <v>24697796</v>
      </c>
      <c r="D77" s="179">
        <v>410.1</v>
      </c>
      <c r="E77" s="179">
        <v>0</v>
      </c>
      <c r="F77" s="185">
        <v>97.084939963418421</v>
      </c>
      <c r="G77" s="188">
        <v>30</v>
      </c>
      <c r="H77" s="188">
        <v>1</v>
      </c>
      <c r="I77" s="14">
        <f>(I127-I67)/60+I76</f>
        <v>28058.5</v>
      </c>
      <c r="J77" s="179">
        <v>352</v>
      </c>
      <c r="K77" s="179">
        <v>0</v>
      </c>
      <c r="L77" s="190">
        <f>'Regression Results'!$E$20+D77*'Regression Results'!$E$21+E77*'Regression Results'!$E$22+F77*'Regression Results'!$E$23+G77*'Regression Results'!$E$24+H77*'Regression Results'!$E$25+I77*'Regression Results'!$E$26+J77*'Regression Results'!$E$27+K77*'Regression Results'!$E$28</f>
        <v>24717237.42997827</v>
      </c>
      <c r="M77" s="7"/>
      <c r="N77" s="11"/>
      <c r="P77" s="198"/>
      <c r="Q77" s="198" t="s">
        <v>47</v>
      </c>
      <c r="R77" s="198" t="s">
        <v>36</v>
      </c>
      <c r="S77" s="198" t="s">
        <v>48</v>
      </c>
      <c r="T77" s="198" t="s">
        <v>49</v>
      </c>
      <c r="U77" s="198" t="s">
        <v>50</v>
      </c>
      <c r="V77" s="198" t="s">
        <v>51</v>
      </c>
      <c r="W77" s="198" t="s">
        <v>52</v>
      </c>
      <c r="X77" s="198" t="s">
        <v>53</v>
      </c>
    </row>
    <row r="78" spans="1:24">
      <c r="A78" s="173">
        <v>35551</v>
      </c>
      <c r="B78" s="177">
        <v>23004325</v>
      </c>
      <c r="C78" s="177">
        <v>23004325</v>
      </c>
      <c r="D78" s="179">
        <v>261.8</v>
      </c>
      <c r="E78" s="179">
        <v>0</v>
      </c>
      <c r="F78" s="185">
        <v>97.444623755546786</v>
      </c>
      <c r="G78" s="188">
        <v>31</v>
      </c>
      <c r="H78" s="188">
        <v>1</v>
      </c>
      <c r="I78" s="14">
        <f>(I127-I67)/60+I77</f>
        <v>28079.75</v>
      </c>
      <c r="J78" s="179">
        <v>336</v>
      </c>
      <c r="K78" s="179">
        <v>0</v>
      </c>
      <c r="L78" s="190">
        <f>'Regression Results'!$E$20+D78*'Regression Results'!$E$21+E78*'Regression Results'!$E$22+F78*'Regression Results'!$E$23+G78*'Regression Results'!$E$24+H78*'Regression Results'!$E$25+I78*'Regression Results'!$E$26+J78*'Regression Results'!$E$27+K78*'Regression Results'!$E$28</f>
        <v>23236425.783091795</v>
      </c>
      <c r="M78" s="7"/>
      <c r="N78" s="11"/>
      <c r="P78" s="196" t="s">
        <v>41</v>
      </c>
      <c r="Q78" s="196">
        <v>-27061054.917958703</v>
      </c>
      <c r="R78" s="196">
        <v>8699796.6727532968</v>
      </c>
      <c r="S78" s="196">
        <v>-3.1105387787637189</v>
      </c>
      <c r="T78" s="196">
        <v>2.2436417205788412E-3</v>
      </c>
      <c r="U78" s="196">
        <v>-44253882.601778492</v>
      </c>
      <c r="V78" s="196">
        <v>-9868227.2341389097</v>
      </c>
      <c r="W78" s="196">
        <v>-44253882.601778492</v>
      </c>
      <c r="X78" s="196">
        <v>-9868227.2341389097</v>
      </c>
    </row>
    <row r="79" spans="1:24">
      <c r="A79" s="173">
        <v>35582</v>
      </c>
      <c r="B79" s="177">
        <v>22048512</v>
      </c>
      <c r="C79" s="177">
        <v>22048512</v>
      </c>
      <c r="D79" s="179">
        <v>11.6</v>
      </c>
      <c r="E79" s="179">
        <v>54.9</v>
      </c>
      <c r="F79" s="185">
        <v>97.805640117179436</v>
      </c>
      <c r="G79" s="188">
        <v>30</v>
      </c>
      <c r="H79" s="188">
        <v>0</v>
      </c>
      <c r="I79" s="14">
        <f>(I127-I67)/60+I78</f>
        <v>28101</v>
      </c>
      <c r="J79" s="179">
        <v>336</v>
      </c>
      <c r="K79" s="179">
        <v>0</v>
      </c>
      <c r="L79" s="190">
        <f>'Regression Results'!$E$20+D79*'Regression Results'!$E$21+E79*'Regression Results'!$E$22+F79*'Regression Results'!$E$23+G79*'Regression Results'!$E$24+H79*'Regression Results'!$E$25+I79*'Regression Results'!$E$26+J79*'Regression Results'!$E$27+K79*'Regression Results'!$E$28</f>
        <v>22231034.320896178</v>
      </c>
      <c r="M79" s="7"/>
      <c r="N79" s="11"/>
      <c r="P79" s="196" t="s">
        <v>229</v>
      </c>
      <c r="Q79" s="196">
        <v>12930.673601919851</v>
      </c>
      <c r="R79" s="196">
        <v>282.72017079181558</v>
      </c>
      <c r="S79" s="196">
        <v>45.736650362458604</v>
      </c>
      <c r="T79" s="196">
        <v>8.0019891833912217E-89</v>
      </c>
      <c r="U79" s="196">
        <v>12371.952592452228</v>
      </c>
      <c r="V79" s="196">
        <v>13489.394611387474</v>
      </c>
      <c r="W79" s="196">
        <v>12371.952592452228</v>
      </c>
      <c r="X79" s="196">
        <v>13489.394611387474</v>
      </c>
    </row>
    <row r="80" spans="1:24">
      <c r="A80" s="173">
        <v>35612</v>
      </c>
      <c r="B80" s="177">
        <v>22949266</v>
      </c>
      <c r="C80" s="177">
        <v>22949266</v>
      </c>
      <c r="D80" s="179">
        <v>20.2</v>
      </c>
      <c r="E80" s="179">
        <v>82.7</v>
      </c>
      <c r="F80" s="185">
        <v>98.167993985267998</v>
      </c>
      <c r="G80" s="188">
        <v>31</v>
      </c>
      <c r="H80" s="188">
        <v>0</v>
      </c>
      <c r="I80" s="14">
        <f>(I127-I67)/60+I79</f>
        <v>28122.25</v>
      </c>
      <c r="J80" s="179">
        <v>352</v>
      </c>
      <c r="K80" s="179">
        <v>0</v>
      </c>
      <c r="L80" s="190">
        <f>'Regression Results'!$E$20+D80*'Regression Results'!$E$21+E80*'Regression Results'!$E$22+F80*'Regression Results'!$E$23+G80*'Regression Results'!$E$24+H80*'Regression Results'!$E$25+I80*'Regression Results'!$E$26+J80*'Regression Results'!$E$27+K80*'Regression Results'!$E$28</f>
        <v>24096689.019989088</v>
      </c>
      <c r="M80" s="7"/>
      <c r="N80" s="11"/>
      <c r="P80" s="196" t="s">
        <v>230</v>
      </c>
      <c r="Q80" s="196">
        <v>39068.911636868179</v>
      </c>
      <c r="R80" s="196">
        <v>2562.7957506486705</v>
      </c>
      <c r="S80" s="196">
        <v>15.24464508222297</v>
      </c>
      <c r="T80" s="196">
        <v>4.5330082458650826E-32</v>
      </c>
      <c r="U80" s="196">
        <v>34004.229393463102</v>
      </c>
      <c r="V80" s="196">
        <v>44133.593880273256</v>
      </c>
      <c r="W80" s="196">
        <v>34004.229393463102</v>
      </c>
      <c r="X80" s="196">
        <v>44133.593880273256</v>
      </c>
    </row>
    <row r="81" spans="1:24">
      <c r="A81" s="173">
        <v>35643</v>
      </c>
      <c r="B81" s="177">
        <v>21838602</v>
      </c>
      <c r="C81" s="177">
        <v>21838602</v>
      </c>
      <c r="D81" s="179">
        <v>21.8</v>
      </c>
      <c r="E81" s="179">
        <v>30.3</v>
      </c>
      <c r="F81" s="185">
        <v>98.531690315054689</v>
      </c>
      <c r="G81" s="188">
        <v>31</v>
      </c>
      <c r="H81" s="188">
        <v>0</v>
      </c>
      <c r="I81" s="14">
        <f>(I127-I67)/60+I80</f>
        <v>28143.5</v>
      </c>
      <c r="J81" s="179">
        <v>320</v>
      </c>
      <c r="K81" s="179">
        <v>0</v>
      </c>
      <c r="L81" s="190">
        <f>'Regression Results'!$E$20+D81*'Regression Results'!$E$21+E81*'Regression Results'!$E$22+F81*'Regression Results'!$E$23+G81*'Regression Results'!$E$24+H81*'Regression Results'!$E$25+I81*'Regression Results'!$E$26+J81*'Regression Results'!$E$27+K81*'Regression Results'!$E$28</f>
        <v>21868389.90228799</v>
      </c>
      <c r="M81" s="7"/>
      <c r="N81" s="11"/>
      <c r="P81" s="196" t="s">
        <v>231</v>
      </c>
      <c r="Q81" s="196">
        <v>27062.209321565286</v>
      </c>
      <c r="R81" s="196">
        <v>23112.899284204777</v>
      </c>
      <c r="S81" s="196">
        <v>1.1708703866528525</v>
      </c>
      <c r="T81" s="196">
        <v>0.24354541114645001</v>
      </c>
      <c r="U81" s="196">
        <v>-18614.271361178493</v>
      </c>
      <c r="V81" s="196">
        <v>72738.690004309057</v>
      </c>
      <c r="W81" s="196">
        <v>-18614.271361178493</v>
      </c>
      <c r="X81" s="196">
        <v>72738.690004309057</v>
      </c>
    </row>
    <row r="82" spans="1:24">
      <c r="A82" s="173">
        <v>35674</v>
      </c>
      <c r="B82" s="177">
        <v>21553663</v>
      </c>
      <c r="C82" s="177">
        <v>21553663</v>
      </c>
      <c r="D82" s="179">
        <v>88.6</v>
      </c>
      <c r="E82" s="179">
        <v>5.8</v>
      </c>
      <c r="F82" s="185">
        <v>98.896734080140092</v>
      </c>
      <c r="G82" s="188">
        <v>30</v>
      </c>
      <c r="H82" s="188">
        <v>1</v>
      </c>
      <c r="I82" s="14">
        <f>(I127-I67)/60+I81</f>
        <v>28164.75</v>
      </c>
      <c r="J82" s="179">
        <v>336</v>
      </c>
      <c r="K82" s="179">
        <v>0</v>
      </c>
      <c r="L82" s="190">
        <f>'Regression Results'!$E$20+D82*'Regression Results'!$E$21+E82*'Regression Results'!$E$22+F82*'Regression Results'!$E$23+G82*'Regression Results'!$E$24+H82*'Regression Results'!$E$25+I82*'Regression Results'!$E$26+J82*'Regression Results'!$E$27+K82*'Regression Results'!$E$28</f>
        <v>20819108.899401054</v>
      </c>
      <c r="M82" s="7"/>
      <c r="N82" s="11"/>
      <c r="P82" s="196" t="s">
        <v>232</v>
      </c>
      <c r="Q82" s="196">
        <v>522965.2340151883</v>
      </c>
      <c r="R82" s="196">
        <v>63087.500038028214</v>
      </c>
      <c r="S82" s="196">
        <v>8.2895222302350327</v>
      </c>
      <c r="T82" s="196">
        <v>6.5670464784553893E-14</v>
      </c>
      <c r="U82" s="196">
        <v>398289.61710637098</v>
      </c>
      <c r="V82" s="196">
        <v>647640.85092400562</v>
      </c>
      <c r="W82" s="196">
        <v>398289.61710637098</v>
      </c>
      <c r="X82" s="196">
        <v>647640.85092400562</v>
      </c>
    </row>
    <row r="83" spans="1:24">
      <c r="A83" s="173">
        <v>35704</v>
      </c>
      <c r="B83" s="177">
        <v>23692543</v>
      </c>
      <c r="C83" s="177">
        <v>23692543</v>
      </c>
      <c r="D83" s="179">
        <v>296.89999999999998</v>
      </c>
      <c r="E83" s="179">
        <v>0.8</v>
      </c>
      <c r="F83" s="185">
        <v>99.26313027255118</v>
      </c>
      <c r="G83" s="188">
        <v>31</v>
      </c>
      <c r="H83" s="188">
        <v>1</v>
      </c>
      <c r="I83" s="14">
        <f>(I127-I67)/60+I82</f>
        <v>28186</v>
      </c>
      <c r="J83" s="179">
        <v>352</v>
      </c>
      <c r="K83" s="179">
        <v>0</v>
      </c>
      <c r="L83" s="190">
        <f>'Regression Results'!$E$20+D83*'Regression Results'!$E$21+E83*'Regression Results'!$E$22+F83*'Regression Results'!$E$23+G83*'Regression Results'!$E$24+H83*'Regression Results'!$E$25+I83*'Regression Results'!$E$26+J83*'Regression Results'!$E$27+K83*'Regression Results'!$E$28</f>
        <v>23985668.209335044</v>
      </c>
      <c r="M83" s="7"/>
      <c r="N83" s="11"/>
      <c r="P83" s="196" t="s">
        <v>233</v>
      </c>
      <c r="Q83" s="196">
        <v>-578339.15352859243</v>
      </c>
      <c r="R83" s="196">
        <v>130837.39008113637</v>
      </c>
      <c r="S83" s="196">
        <v>-4.4202895913006683</v>
      </c>
      <c r="T83" s="196">
        <v>1.9035172424313928E-5</v>
      </c>
      <c r="U83" s="196">
        <v>-836904.35762246978</v>
      </c>
      <c r="V83" s="196">
        <v>-319773.94943471515</v>
      </c>
      <c r="W83" s="196">
        <v>-836904.35762246978</v>
      </c>
      <c r="X83" s="196">
        <v>-319773.94943471515</v>
      </c>
    </row>
    <row r="84" spans="1:24">
      <c r="A84" s="173">
        <v>35735</v>
      </c>
      <c r="B84" s="177">
        <v>25859942</v>
      </c>
      <c r="C84" s="177">
        <v>25859942</v>
      </c>
      <c r="D84" s="179">
        <v>487.5</v>
      </c>
      <c r="E84" s="179">
        <v>0</v>
      </c>
      <c r="F84" s="185">
        <v>99.630883902809558</v>
      </c>
      <c r="G84" s="188">
        <v>30</v>
      </c>
      <c r="H84" s="188">
        <v>1</v>
      </c>
      <c r="I84" s="14">
        <f>(I127-I67)/60+I83</f>
        <v>28207.25</v>
      </c>
      <c r="J84" s="179">
        <v>304</v>
      </c>
      <c r="K84" s="179">
        <v>0</v>
      </c>
      <c r="L84" s="190">
        <f>'Regression Results'!$E$20+D84*'Regression Results'!$E$21+E84*'Regression Results'!$E$22+F84*'Regression Results'!$E$23+G84*'Regression Results'!$E$24+H84*'Regression Results'!$E$25+I84*'Regression Results'!$E$26+J84*'Regression Results'!$E$27+K84*'Regression Results'!$E$28</f>
        <v>25578638.980269313</v>
      </c>
      <c r="M84" s="7"/>
      <c r="N84" s="11"/>
      <c r="P84" s="196" t="s">
        <v>234</v>
      </c>
      <c r="Q84" s="196">
        <v>933.45902495269979</v>
      </c>
      <c r="R84" s="196">
        <v>382.6646511960746</v>
      </c>
      <c r="S84" s="196">
        <v>2.439365700581531</v>
      </c>
      <c r="T84" s="196">
        <v>1.5903781382418856E-2</v>
      </c>
      <c r="U84" s="196">
        <v>177.2244075037637</v>
      </c>
      <c r="V84" s="196">
        <v>1689.6936424016358</v>
      </c>
      <c r="W84" s="196">
        <v>177.2244075037637</v>
      </c>
      <c r="X84" s="196">
        <v>1689.6936424016358</v>
      </c>
    </row>
    <row r="85" spans="1:24">
      <c r="A85" s="173">
        <v>35765</v>
      </c>
      <c r="B85" s="177">
        <v>28466507</v>
      </c>
      <c r="C85" s="177">
        <v>28466507</v>
      </c>
      <c r="D85" s="179">
        <v>635.9</v>
      </c>
      <c r="E85" s="179">
        <v>0</v>
      </c>
      <c r="F85" s="186">
        <v>100</v>
      </c>
      <c r="G85" s="188">
        <v>31</v>
      </c>
      <c r="H85" s="188">
        <v>0</v>
      </c>
      <c r="I85" s="14">
        <f>(I127-I67)/60+I84</f>
        <v>28228.5</v>
      </c>
      <c r="J85" s="179">
        <v>336</v>
      </c>
      <c r="K85" s="179">
        <v>0</v>
      </c>
      <c r="L85" s="190">
        <f>'Regression Results'!$E$20+D85*'Regression Results'!$E$21+E85*'Regression Results'!$E$22+F85*'Regression Results'!$E$23+G85*'Regression Results'!$E$24+H85*'Regression Results'!$E$25+I85*'Regression Results'!$E$26+J85*'Regression Results'!$E$27+K85*'Regression Results'!$E$28</f>
        <v>28860136.087883063</v>
      </c>
      <c r="M85" s="7"/>
      <c r="N85" s="11"/>
      <c r="P85" s="196" t="s">
        <v>235</v>
      </c>
      <c r="Q85" s="196">
        <v>7232.9892555841734</v>
      </c>
      <c r="R85" s="196">
        <v>3137.328496419665</v>
      </c>
      <c r="S85" s="196">
        <v>2.3054612431686694</v>
      </c>
      <c r="T85" s="196">
        <v>2.2539655578738025E-2</v>
      </c>
      <c r="U85" s="196">
        <v>1032.8962815250397</v>
      </c>
      <c r="V85" s="196">
        <v>13433.082229643307</v>
      </c>
      <c r="W85" s="196">
        <v>1032.8962815250397</v>
      </c>
      <c r="X85" s="196">
        <v>13433.082229643307</v>
      </c>
    </row>
    <row r="86" spans="1:24" ht="13.5" thickBot="1">
      <c r="A86" s="173">
        <v>35796</v>
      </c>
      <c r="B86" s="177">
        <v>29684937</v>
      </c>
      <c r="C86" s="177">
        <v>29684937</v>
      </c>
      <c r="D86" s="179">
        <v>726</v>
      </c>
      <c r="E86" s="179">
        <v>0</v>
      </c>
      <c r="F86" s="185">
        <v>100.39254461560812</v>
      </c>
      <c r="G86" s="188">
        <v>31</v>
      </c>
      <c r="H86" s="188">
        <v>0</v>
      </c>
      <c r="I86" s="14">
        <f>(I127-I67)/60+I85</f>
        <v>28249.75</v>
      </c>
      <c r="J86" s="179">
        <v>336.28800000000001</v>
      </c>
      <c r="K86" s="179">
        <v>0</v>
      </c>
      <c r="L86" s="190">
        <f>'Regression Results'!$E$20+D86*'Regression Results'!$E$21+E86*'Regression Results'!$E$22+F86*'Regression Results'!$E$23+G86*'Regression Results'!$E$24+H86*'Regression Results'!$E$25+I86*'Regression Results'!$E$26+J86*'Regression Results'!$E$27+K86*'Regression Results'!$E$28</f>
        <v>30057732.009157538</v>
      </c>
      <c r="M86" s="7"/>
      <c r="N86" s="11"/>
      <c r="P86" s="197" t="s">
        <v>236</v>
      </c>
      <c r="Q86" s="197">
        <v>-2341914.285050049</v>
      </c>
      <c r="R86" s="197">
        <v>612528.90216137911</v>
      </c>
      <c r="S86" s="197">
        <v>-3.8233531132756893</v>
      </c>
      <c r="T86" s="197">
        <v>1.9391858243559111E-4</v>
      </c>
      <c r="U86" s="197">
        <v>-3552414.2843433702</v>
      </c>
      <c r="V86" s="197">
        <v>-1131414.2857567277</v>
      </c>
      <c r="W86" s="197">
        <v>-3552414.2843433702</v>
      </c>
      <c r="X86" s="197">
        <v>-1131414.2857567277</v>
      </c>
    </row>
    <row r="87" spans="1:24">
      <c r="A87" s="173">
        <v>35827</v>
      </c>
      <c r="B87" s="177">
        <v>25970015</v>
      </c>
      <c r="C87" s="177">
        <v>25970015</v>
      </c>
      <c r="D87" s="179">
        <v>561.79999999999995</v>
      </c>
      <c r="E87" s="179">
        <v>0</v>
      </c>
      <c r="F87" s="185">
        <v>100.78663014396867</v>
      </c>
      <c r="G87" s="188">
        <v>28</v>
      </c>
      <c r="H87" s="188">
        <v>0</v>
      </c>
      <c r="I87" s="14">
        <f>(I127-I67)/60+I86</f>
        <v>28271</v>
      </c>
      <c r="J87" s="179">
        <v>319.87200000000001</v>
      </c>
      <c r="K87" s="179">
        <v>0</v>
      </c>
      <c r="L87" s="190">
        <f>'Regression Results'!$E$20+D87*'Regression Results'!$E$21+E87*'Regression Results'!$E$22+F87*'Regression Results'!$E$23+G87*'Regression Results'!$E$24+H87*'Regression Results'!$E$25+I87*'Regression Results'!$E$26+J87*'Regression Results'!$E$27+K87*'Regression Results'!$E$28</f>
        <v>26277383.7793964</v>
      </c>
      <c r="M87" s="7"/>
      <c r="N87" s="11"/>
    </row>
    <row r="88" spans="1:24">
      <c r="A88" s="173">
        <v>35855</v>
      </c>
      <c r="B88" s="177">
        <v>27611778</v>
      </c>
      <c r="C88" s="177">
        <v>27611778</v>
      </c>
      <c r="D88" s="179">
        <v>554</v>
      </c>
      <c r="E88" s="179">
        <v>0</v>
      </c>
      <c r="F88" s="185">
        <v>101.18226263385168</v>
      </c>
      <c r="G88" s="188">
        <v>31</v>
      </c>
      <c r="H88" s="188">
        <v>1</v>
      </c>
      <c r="I88" s="14">
        <f>(I127-I67)/60+I87</f>
        <v>28292.25</v>
      </c>
      <c r="J88" s="179">
        <v>351.91199999999998</v>
      </c>
      <c r="K88" s="179">
        <v>0</v>
      </c>
      <c r="L88" s="190">
        <f>'Regression Results'!$E$20+D88*'Regression Results'!$E$21+E88*'Regression Results'!$E$22+F88*'Regression Results'!$E$23+G88*'Regression Results'!$E$24+H88*'Regression Results'!$E$25+I88*'Regression Results'!$E$26+J88*'Regression Results'!$E$27+K88*'Regression Results'!$E$28</f>
        <v>27429368.743103184</v>
      </c>
      <c r="M88" s="7"/>
      <c r="N88" s="11"/>
    </row>
    <row r="89" spans="1:24">
      <c r="A89" s="173">
        <v>35886</v>
      </c>
      <c r="B89" s="177">
        <v>22836420</v>
      </c>
      <c r="C89" s="177">
        <v>22836420</v>
      </c>
      <c r="D89" s="179">
        <v>314.8</v>
      </c>
      <c r="E89" s="179">
        <v>0</v>
      </c>
      <c r="F89" s="185">
        <v>101.57944815777132</v>
      </c>
      <c r="G89" s="188">
        <v>30</v>
      </c>
      <c r="H89" s="188">
        <v>1</v>
      </c>
      <c r="I89" s="14">
        <f>(I127-I67)/60+I88</f>
        <v>28313.5</v>
      </c>
      <c r="J89" s="179">
        <v>336.24</v>
      </c>
      <c r="K89" s="179">
        <v>0</v>
      </c>
      <c r="L89" s="190">
        <f>'Regression Results'!$E$20+D89*'Regression Results'!$E$21+E89*'Regression Results'!$E$22+F89*'Regression Results'!$E$23+G89*'Regression Results'!$E$24+H89*'Regression Results'!$E$25+I89*'Regression Results'!$E$26+J89*'Regression Results'!$E$27+K89*'Regression Results'!$E$28</f>
        <v>23730615.697963305</v>
      </c>
      <c r="M89" s="7"/>
      <c r="N89" s="11"/>
    </row>
    <row r="90" spans="1:24">
      <c r="A90" s="173">
        <v>35916</v>
      </c>
      <c r="B90" s="177">
        <v>22137214.300000001</v>
      </c>
      <c r="C90" s="177">
        <v>22137214.300000001</v>
      </c>
      <c r="D90" s="179">
        <v>54.9</v>
      </c>
      <c r="E90" s="179">
        <v>19.2</v>
      </c>
      <c r="F90" s="185">
        <v>101.97819281207909</v>
      </c>
      <c r="G90" s="188">
        <v>31</v>
      </c>
      <c r="H90" s="188">
        <v>1</v>
      </c>
      <c r="I90" s="14">
        <f>(I127-I67)/60+I89</f>
        <v>28334.75</v>
      </c>
      <c r="J90" s="179">
        <v>319.92</v>
      </c>
      <c r="K90" s="179">
        <v>0</v>
      </c>
      <c r="L90" s="190">
        <f>'Regression Results'!$E$20+D90*'Regression Results'!$E$21+E90*'Regression Results'!$E$22+F90*'Regression Results'!$E$23+G90*'Regression Results'!$E$24+H90*'Regression Results'!$E$25+I90*'Regression Results'!$E$26+J90*'Regression Results'!$E$27+K90*'Regression Results'!$E$28</f>
        <v>21555606.497197237</v>
      </c>
      <c r="M90" s="7"/>
      <c r="N90" s="11"/>
    </row>
    <row r="91" spans="1:24">
      <c r="A91" s="173">
        <v>35947</v>
      </c>
      <c r="B91" s="177">
        <v>23047616</v>
      </c>
      <c r="C91" s="177">
        <v>23047616</v>
      </c>
      <c r="D91" s="179">
        <v>58.2</v>
      </c>
      <c r="E91" s="179">
        <v>66</v>
      </c>
      <c r="F91" s="185">
        <v>102.37850271705736</v>
      </c>
      <c r="G91" s="188">
        <v>30</v>
      </c>
      <c r="H91" s="188">
        <v>0</v>
      </c>
      <c r="I91" s="14">
        <f>(I127-I67)/60+I90</f>
        <v>28356</v>
      </c>
      <c r="J91" s="179">
        <v>352.08</v>
      </c>
      <c r="K91" s="179">
        <v>0</v>
      </c>
      <c r="L91" s="190">
        <f>'Regression Results'!$E$20+D91*'Regression Results'!$E$21+E91*'Regression Results'!$E$22+F91*'Regression Results'!$E$23+G91*'Regression Results'!$E$24+H91*'Regression Results'!$E$25+I91*'Regression Results'!$E$26+J91*'Regression Results'!$E$27+K91*'Regression Results'!$E$28</f>
        <v>23745358.913384259</v>
      </c>
      <c r="M91" s="7"/>
      <c r="N91" s="11"/>
    </row>
    <row r="92" spans="1:24">
      <c r="A92" s="173">
        <v>35977</v>
      </c>
      <c r="B92" s="177">
        <v>23767435.399999999</v>
      </c>
      <c r="C92" s="177">
        <v>23767435.399999999</v>
      </c>
      <c r="D92" s="179">
        <v>2.8</v>
      </c>
      <c r="E92" s="179">
        <v>82.5</v>
      </c>
      <c r="F92" s="185">
        <v>102.78038401701338</v>
      </c>
      <c r="G92" s="188">
        <v>31</v>
      </c>
      <c r="H92" s="188">
        <v>0</v>
      </c>
      <c r="I92" s="14">
        <f>(I127-I67)/60+I91</f>
        <v>28377.25</v>
      </c>
      <c r="J92" s="179">
        <v>351.91199999999998</v>
      </c>
      <c r="K92" s="179">
        <v>0</v>
      </c>
      <c r="L92" s="190">
        <f>'Regression Results'!$E$20+D92*'Regression Results'!$E$21+E92*'Regression Results'!$E$22+F92*'Regression Results'!$E$23+G92*'Regression Results'!$E$24+H92*'Regression Results'!$E$25+I92*'Regression Results'!$E$26+J92*'Regression Results'!$E$27+K92*'Regression Results'!$E$28</f>
        <v>24226098.529808551</v>
      </c>
      <c r="M92" s="7"/>
      <c r="N92" s="11"/>
    </row>
    <row r="93" spans="1:24">
      <c r="A93" s="173">
        <v>36008</v>
      </c>
      <c r="B93" s="177">
        <v>23918674.399999999</v>
      </c>
      <c r="C93" s="177">
        <v>23918674.399999999</v>
      </c>
      <c r="D93" s="179">
        <v>3.9</v>
      </c>
      <c r="E93" s="179">
        <v>81.599999999999994</v>
      </c>
      <c r="F93" s="185">
        <v>103.1838428803735</v>
      </c>
      <c r="G93" s="188">
        <v>31</v>
      </c>
      <c r="H93" s="188">
        <v>0</v>
      </c>
      <c r="I93" s="14">
        <f>(I127-I67)/60+I92</f>
        <v>28398.5</v>
      </c>
      <c r="J93" s="179">
        <v>319.92</v>
      </c>
      <c r="K93" s="179">
        <v>0</v>
      </c>
      <c r="L93" s="190">
        <f>'Regression Results'!$E$20+D93*'Regression Results'!$E$21+E93*'Regression Results'!$E$22+F93*'Regression Results'!$E$23+G93*'Regression Results'!$E$24+H93*'Regression Results'!$E$25+I93*'Regression Results'!$E$26+J93*'Regression Results'!$E$27+K93*'Regression Results'!$E$28</f>
        <v>24004516.950525966</v>
      </c>
      <c r="M93" s="7"/>
      <c r="N93" s="11"/>
    </row>
    <row r="94" spans="1:24">
      <c r="A94" s="173">
        <v>36039</v>
      </c>
      <c r="B94" s="177">
        <v>22386203.472850949</v>
      </c>
      <c r="C94" s="177">
        <v>22386203.472850949</v>
      </c>
      <c r="D94" s="179">
        <v>57.3</v>
      </c>
      <c r="E94" s="179">
        <v>21.4</v>
      </c>
      <c r="F94" s="185">
        <v>103.58888549977794</v>
      </c>
      <c r="G94" s="188">
        <v>30</v>
      </c>
      <c r="H94" s="188">
        <v>1</v>
      </c>
      <c r="I94" s="14">
        <f>(I127-I67)/60+I93</f>
        <v>28419.75</v>
      </c>
      <c r="J94" s="179">
        <v>336.24</v>
      </c>
      <c r="K94" s="179">
        <v>0</v>
      </c>
      <c r="L94" s="190">
        <f>'Regression Results'!$E$20+D94*'Regression Results'!$E$21+E94*'Regression Results'!$E$22+F94*'Regression Results'!$E$23+G94*'Regression Results'!$E$24+H94*'Regression Results'!$E$25+I94*'Regression Results'!$E$26+J94*'Regression Results'!$E$27+K94*'Regression Results'!$E$28</f>
        <v>21390601.789867099</v>
      </c>
      <c r="M94" s="7"/>
      <c r="N94" s="11"/>
    </row>
    <row r="95" spans="1:24">
      <c r="A95" s="173">
        <v>36069</v>
      </c>
      <c r="B95" s="177">
        <v>23450182.668193053</v>
      </c>
      <c r="C95" s="177">
        <v>23450182.668193053</v>
      </c>
      <c r="D95" s="179">
        <v>250.3</v>
      </c>
      <c r="E95" s="179">
        <v>0</v>
      </c>
      <c r="F95" s="185">
        <v>103.99551809217577</v>
      </c>
      <c r="G95" s="188">
        <v>31</v>
      </c>
      <c r="H95" s="188">
        <v>1</v>
      </c>
      <c r="I95" s="14">
        <f>(I127-I67)/60+I94</f>
        <v>28441</v>
      </c>
      <c r="J95" s="179">
        <v>336.28800000000001</v>
      </c>
      <c r="K95" s="179">
        <v>0</v>
      </c>
      <c r="L95" s="190">
        <f>'Regression Results'!$E$20+D95*'Regression Results'!$E$21+E95*'Regression Results'!$E$22+F95*'Regression Results'!$E$23+G95*'Regression Results'!$E$24+H95*'Regression Results'!$E$25+I95*'Regression Results'!$E$26+J95*'Regression Results'!$E$27+K95*'Regression Results'!$E$28</f>
        <v>23604299.884120796</v>
      </c>
      <c r="M95" s="7"/>
      <c r="N95" s="11"/>
    </row>
    <row r="96" spans="1:24">
      <c r="A96" s="173">
        <v>36100</v>
      </c>
      <c r="B96" s="177">
        <v>25892880.761625111</v>
      </c>
      <c r="C96" s="177">
        <v>25892880.761625111</v>
      </c>
      <c r="D96" s="179">
        <v>445.4</v>
      </c>
      <c r="E96" s="179">
        <v>0</v>
      </c>
      <c r="F96" s="185">
        <v>104.40374689892037</v>
      </c>
      <c r="G96" s="188">
        <v>30</v>
      </c>
      <c r="H96" s="188">
        <v>1</v>
      </c>
      <c r="I96" s="14">
        <f>(I127-I67)/60+I95</f>
        <v>28462.25</v>
      </c>
      <c r="J96" s="179">
        <v>336.24</v>
      </c>
      <c r="K96" s="179">
        <v>0</v>
      </c>
      <c r="L96" s="190">
        <f>'Regression Results'!$E$20+D96*'Regression Results'!$E$21+E96*'Regression Results'!$E$22+F96*'Regression Results'!$E$23+G96*'Regression Results'!$E$24+H96*'Regression Results'!$E$25+I96*'Regression Results'!$E$26+J96*'Regression Results'!$E$27+K96*'Regression Results'!$E$28</f>
        <v>25634645.464055363</v>
      </c>
      <c r="M96" s="7"/>
      <c r="N96" s="11"/>
    </row>
    <row r="97" spans="1:14">
      <c r="A97" s="173">
        <v>36130</v>
      </c>
      <c r="B97" s="177">
        <v>28191248.266711809</v>
      </c>
      <c r="C97" s="177">
        <v>28191248.266711809</v>
      </c>
      <c r="D97" s="179">
        <v>612.70000000000005</v>
      </c>
      <c r="E97" s="179">
        <v>0</v>
      </c>
      <c r="F97" s="186">
        <v>104.81357818586534</v>
      </c>
      <c r="G97" s="188">
        <v>31</v>
      </c>
      <c r="H97" s="188">
        <v>0</v>
      </c>
      <c r="I97" s="14">
        <f>(I127-I67)/60+I96</f>
        <v>28483.5</v>
      </c>
      <c r="J97" s="179">
        <v>336.28800000000001</v>
      </c>
      <c r="K97" s="179">
        <v>0</v>
      </c>
      <c r="L97" s="190">
        <f>'Regression Results'!$E$20+D97*'Regression Results'!$E$21+E97*'Regression Results'!$E$22+F97*'Regression Results'!$E$23+G97*'Regression Results'!$E$24+H97*'Regression Results'!$E$25+I97*'Regression Results'!$E$26+J97*'Regression Results'!$E$27+K97*'Regression Results'!$E$28</f>
        <v>28930525.67303868</v>
      </c>
      <c r="M97" s="7"/>
      <c r="N97" s="11"/>
    </row>
    <row r="98" spans="1:14">
      <c r="A98" s="173">
        <v>36161</v>
      </c>
      <c r="B98" s="177">
        <v>31666720.690910868</v>
      </c>
      <c r="C98" s="177">
        <v>31666720.690910868</v>
      </c>
      <c r="D98" s="179">
        <v>830.4</v>
      </c>
      <c r="E98" s="179">
        <v>0</v>
      </c>
      <c r="F98" s="185">
        <v>105.44819844915847</v>
      </c>
      <c r="G98" s="188">
        <v>31</v>
      </c>
      <c r="H98" s="188">
        <v>0</v>
      </c>
      <c r="I98" s="14">
        <f>(I127-I67)/60+I97</f>
        <v>28504.75</v>
      </c>
      <c r="J98" s="179">
        <v>319.92</v>
      </c>
      <c r="K98" s="179">
        <v>0</v>
      </c>
      <c r="L98" s="190">
        <f>'Regression Results'!$E$20+D98*'Regression Results'!$E$21+E98*'Regression Results'!$E$22+F98*'Regression Results'!$E$23+G98*'Regression Results'!$E$24+H98*'Regression Results'!$E$25+I98*'Regression Results'!$E$26+J98*'Regression Results'!$E$27+K98*'Regression Results'!$E$28</f>
        <v>31664153.978726421</v>
      </c>
      <c r="M98" s="7"/>
      <c r="N98" s="11"/>
    </row>
    <row r="99" spans="1:14">
      <c r="A99" s="173">
        <v>36192</v>
      </c>
      <c r="B99" s="177">
        <v>27090989.259999998</v>
      </c>
      <c r="C99" s="177">
        <v>27090989.259999998</v>
      </c>
      <c r="D99" s="179">
        <v>510.9</v>
      </c>
      <c r="E99" s="179">
        <v>0</v>
      </c>
      <c r="F99" s="185">
        <v>106.08666118100913</v>
      </c>
      <c r="G99" s="188">
        <v>28</v>
      </c>
      <c r="H99" s="188">
        <v>0</v>
      </c>
      <c r="I99" s="14">
        <f>(I127-I67)/60+I98</f>
        <v>28526</v>
      </c>
      <c r="J99" s="179">
        <v>319.87200000000001</v>
      </c>
      <c r="K99" s="179">
        <v>0</v>
      </c>
      <c r="L99" s="190">
        <f>'Regression Results'!$E$20+D99*'Regression Results'!$E$21+E99*'Regression Results'!$E$22+F99*'Regression Results'!$E$23+G99*'Regression Results'!$E$24+H99*'Regression Results'!$E$25+I99*'Regression Results'!$E$26+J99*'Regression Results'!$E$27+K99*'Regression Results'!$E$28</f>
        <v>26000675.093756802</v>
      </c>
      <c r="M99" s="7"/>
      <c r="N99" s="11"/>
    </row>
    <row r="100" spans="1:14">
      <c r="A100" s="173">
        <v>36220</v>
      </c>
      <c r="B100" s="177">
        <v>28482442.829999998</v>
      </c>
      <c r="C100" s="177">
        <v>28482442.829999998</v>
      </c>
      <c r="D100" s="179">
        <v>507.9</v>
      </c>
      <c r="E100" s="179">
        <v>0</v>
      </c>
      <c r="F100" s="185">
        <v>106.72898964661303</v>
      </c>
      <c r="G100" s="188">
        <v>31</v>
      </c>
      <c r="H100" s="188">
        <v>1</v>
      </c>
      <c r="I100" s="14">
        <f>(I127-I67)/60+I99</f>
        <v>28547.25</v>
      </c>
      <c r="J100" s="179">
        <v>368.28</v>
      </c>
      <c r="K100" s="179">
        <v>0</v>
      </c>
      <c r="L100" s="190">
        <f>'Regression Results'!$E$20+D100*'Regression Results'!$E$21+E100*'Regression Results'!$E$22+F100*'Regression Results'!$E$23+G100*'Regression Results'!$E$24+H100*'Regression Results'!$E$25+I100*'Regression Results'!$E$26+J100*'Regression Results'!$E$27+K100*'Regression Results'!$E$28</f>
        <v>27339792.997021947</v>
      </c>
      <c r="M100" s="7"/>
      <c r="N100" s="11"/>
    </row>
    <row r="101" spans="1:14">
      <c r="A101" s="173">
        <v>36251</v>
      </c>
      <c r="B101" s="177">
        <v>23331665.040000003</v>
      </c>
      <c r="C101" s="177">
        <v>23331665.040000003</v>
      </c>
      <c r="D101" s="179">
        <v>335.1</v>
      </c>
      <c r="E101" s="179">
        <v>0</v>
      </c>
      <c r="F101" s="185">
        <v>107.37520725203085</v>
      </c>
      <c r="G101" s="188">
        <v>30</v>
      </c>
      <c r="H101" s="188">
        <v>1</v>
      </c>
      <c r="I101" s="14">
        <f>(I127-I67)/60+I100</f>
        <v>28568.5</v>
      </c>
      <c r="J101" s="179">
        <v>336.24</v>
      </c>
      <c r="K101" s="179">
        <v>0</v>
      </c>
      <c r="L101" s="190">
        <f>'Regression Results'!$E$20+D101*'Regression Results'!$E$21+E101*'Regression Results'!$E$22+F101*'Regression Results'!$E$23+G101*'Regression Results'!$E$24+H101*'Regression Results'!$E$25+I101*'Regression Results'!$E$26+J101*'Regression Results'!$E$27+K101*'Regression Results'!$E$28</f>
        <v>24387986.469231434</v>
      </c>
      <c r="M101" s="7"/>
      <c r="N101" s="11"/>
    </row>
    <row r="102" spans="1:14">
      <c r="A102" s="173">
        <v>36281</v>
      </c>
      <c r="B102" s="177">
        <v>22378287.5</v>
      </c>
      <c r="C102" s="177">
        <v>22378287.5</v>
      </c>
      <c r="D102" s="179">
        <v>112.6</v>
      </c>
      <c r="E102" s="179">
        <v>8.6999999999999993</v>
      </c>
      <c r="F102" s="185">
        <v>108.02533754504118</v>
      </c>
      <c r="G102" s="188">
        <v>31</v>
      </c>
      <c r="H102" s="188">
        <v>1</v>
      </c>
      <c r="I102" s="14">
        <f>(I127-I67)/60+I101</f>
        <v>28589.75</v>
      </c>
      <c r="J102" s="179">
        <v>319.92</v>
      </c>
      <c r="K102" s="179">
        <v>0</v>
      </c>
      <c r="L102" s="190">
        <f>'Regression Results'!$E$20+D102*'Regression Results'!$E$21+E102*'Regression Results'!$E$22+F102*'Regression Results'!$E$23+G102*'Regression Results'!$E$24+H102*'Regression Results'!$E$25+I102*'Regression Results'!$E$26+J102*'Regression Results'!$E$27+K102*'Regression Results'!$E$28</f>
        <v>22293163.939765058</v>
      </c>
      <c r="M102" s="7"/>
      <c r="N102" s="11"/>
    </row>
    <row r="103" spans="1:14">
      <c r="A103" s="173">
        <v>36312</v>
      </c>
      <c r="B103" s="177">
        <v>24158736</v>
      </c>
      <c r="C103" s="177">
        <v>24158736</v>
      </c>
      <c r="D103" s="179">
        <v>29.6</v>
      </c>
      <c r="E103" s="179">
        <v>62.1</v>
      </c>
      <c r="F103" s="185">
        <v>108.6794042159986</v>
      </c>
      <c r="G103" s="188">
        <v>30</v>
      </c>
      <c r="H103" s="188">
        <v>0</v>
      </c>
      <c r="I103" s="14">
        <f>(I127-I67)/60+I102</f>
        <v>28611</v>
      </c>
      <c r="J103" s="179">
        <v>352.08</v>
      </c>
      <c r="K103" s="179">
        <v>0</v>
      </c>
      <c r="L103" s="190">
        <f>'Regression Results'!$E$20+D103*'Regression Results'!$E$21+E103*'Regression Results'!$E$22+F103*'Regression Results'!$E$23+G103*'Regression Results'!$E$24+H103*'Regression Results'!$E$25+I103*'Regression Results'!$E$26+J103*'Regression Results'!$E$27+K103*'Regression Results'!$E$28</f>
        <v>23631721.259627417</v>
      </c>
      <c r="M103" s="7"/>
      <c r="N103" s="11"/>
    </row>
    <row r="104" spans="1:14">
      <c r="A104" s="173">
        <v>36342</v>
      </c>
      <c r="B104" s="177">
        <v>24881873.919999998</v>
      </c>
      <c r="C104" s="177">
        <v>24881873.919999998</v>
      </c>
      <c r="D104" s="179">
        <v>3.9</v>
      </c>
      <c r="E104" s="179">
        <v>129</v>
      </c>
      <c r="F104" s="185">
        <v>109.33743109869688</v>
      </c>
      <c r="G104" s="188">
        <v>31</v>
      </c>
      <c r="H104" s="188">
        <v>0</v>
      </c>
      <c r="I104" s="14">
        <f>(I127-I67)/60+I103</f>
        <v>28632.25</v>
      </c>
      <c r="J104" s="179">
        <v>336.28800000000001</v>
      </c>
      <c r="K104" s="179">
        <v>0</v>
      </c>
      <c r="L104" s="190">
        <f>'Regression Results'!$E$20+D104*'Regression Results'!$E$21+E104*'Regression Results'!$E$22+F104*'Regression Results'!$E$23+G104*'Regression Results'!$E$24+H104*'Regression Results'!$E$25+I104*'Regression Results'!$E$26+J104*'Regression Results'!$E$27+K104*'Regression Results'!$E$28</f>
        <v>26359498.669774607</v>
      </c>
      <c r="M104" s="7"/>
      <c r="N104" s="11"/>
    </row>
    <row r="105" spans="1:14">
      <c r="A105" s="173">
        <v>36373</v>
      </c>
      <c r="B105" s="177">
        <v>23615876.52</v>
      </c>
      <c r="C105" s="177">
        <v>23615876.52</v>
      </c>
      <c r="D105" s="179">
        <v>19.2</v>
      </c>
      <c r="E105" s="179">
        <v>41.9</v>
      </c>
      <c r="F105" s="185">
        <v>109.99944217123755</v>
      </c>
      <c r="G105" s="188">
        <v>31</v>
      </c>
      <c r="H105" s="188">
        <v>0</v>
      </c>
      <c r="I105" s="14">
        <f>(I127-I67)/60+I104</f>
        <v>28653.5</v>
      </c>
      <c r="J105" s="179">
        <v>336.28800000000001</v>
      </c>
      <c r="K105" s="179">
        <v>0</v>
      </c>
      <c r="L105" s="190">
        <f>'Regression Results'!$E$20+D105*'Regression Results'!$E$21+E105*'Regression Results'!$E$22+F105*'Regression Results'!$E$23+G105*'Regression Results'!$E$24+H105*'Regression Results'!$E$25+I105*'Regression Results'!$E$26+J105*'Regression Results'!$E$27+K105*'Regression Results'!$E$28</f>
        <v>23192187.258811295</v>
      </c>
      <c r="M105" s="7"/>
      <c r="N105" s="11"/>
    </row>
    <row r="106" spans="1:14">
      <c r="A106" s="173">
        <v>36404</v>
      </c>
      <c r="B106" s="177">
        <v>23109297.579999998</v>
      </c>
      <c r="C106" s="177">
        <v>23109297.579999998</v>
      </c>
      <c r="D106" s="179">
        <v>76.400000000000006</v>
      </c>
      <c r="E106" s="179">
        <v>38.200000000000003</v>
      </c>
      <c r="F106" s="185">
        <v>110.66546155690358</v>
      </c>
      <c r="G106" s="188">
        <v>30</v>
      </c>
      <c r="H106" s="188">
        <v>1</v>
      </c>
      <c r="I106" s="14">
        <f>(I127-I67)/60+I105</f>
        <v>28674.75</v>
      </c>
      <c r="J106" s="179">
        <v>336.24</v>
      </c>
      <c r="K106" s="179">
        <v>0</v>
      </c>
      <c r="L106" s="190">
        <f>'Regression Results'!$E$20+D106*'Regression Results'!$E$21+E106*'Regression Results'!$E$22+F106*'Regression Results'!$E$23+G106*'Regression Results'!$E$24+H106*'Regression Results'!$E$25+I106*'Regression Results'!$E$26+J106*'Regression Results'!$E$27+K106*'Regression Results'!$E$28</f>
        <v>22723475.20506401</v>
      </c>
      <c r="M106" s="7"/>
      <c r="N106" s="11"/>
    </row>
    <row r="107" spans="1:14">
      <c r="A107" s="173">
        <v>36434</v>
      </c>
      <c r="B107" s="177">
        <v>24336330.18</v>
      </c>
      <c r="C107" s="177">
        <v>24336330.18</v>
      </c>
      <c r="D107" s="179">
        <v>306.10000000000002</v>
      </c>
      <c r="E107" s="179">
        <v>0</v>
      </c>
      <c r="F107" s="185">
        <v>111.33551352503846</v>
      </c>
      <c r="G107" s="188">
        <v>31</v>
      </c>
      <c r="H107" s="188">
        <v>1</v>
      </c>
      <c r="I107" s="14">
        <f>(I127-I67)/60+I106</f>
        <v>28696</v>
      </c>
      <c r="J107" s="179">
        <v>319.92</v>
      </c>
      <c r="K107" s="179">
        <v>0</v>
      </c>
      <c r="L107" s="190">
        <f>'Regression Results'!$E$20+D107*'Regression Results'!$E$21+E107*'Regression Results'!$E$22+F107*'Regression Results'!$E$23+G107*'Regression Results'!$E$24+H107*'Regression Results'!$E$25+I107*'Regression Results'!$E$26+J107*'Regression Results'!$E$27+K107*'Regression Results'!$E$28</f>
        <v>24644110.447158922</v>
      </c>
      <c r="M107" s="7"/>
      <c r="N107" s="11"/>
    </row>
    <row r="108" spans="1:14">
      <c r="A108" s="173">
        <v>36465</v>
      </c>
      <c r="B108" s="177">
        <v>26161316.579999998</v>
      </c>
      <c r="C108" s="177">
        <v>26161316.579999998</v>
      </c>
      <c r="D108" s="179">
        <v>412.8</v>
      </c>
      <c r="E108" s="179">
        <v>0</v>
      </c>
      <c r="F108" s="185">
        <v>112.00962249193054</v>
      </c>
      <c r="G108" s="188">
        <v>30</v>
      </c>
      <c r="H108" s="188">
        <v>1</v>
      </c>
      <c r="I108" s="14">
        <f>(I127-I67)/60+I107</f>
        <v>28717.25</v>
      </c>
      <c r="J108" s="179">
        <v>352.08</v>
      </c>
      <c r="K108" s="179">
        <v>0</v>
      </c>
      <c r="L108" s="190">
        <f>'Regression Results'!$E$20+D108*'Regression Results'!$E$21+E108*'Regression Results'!$E$22+F108*'Regression Results'!$E$23+G108*'Regression Results'!$E$24+H108*'Regression Results'!$E$25+I108*'Regression Results'!$E$26+J108*'Regression Results'!$E$27+K108*'Regression Results'!$E$28</f>
        <v>25771539.903175995</v>
      </c>
      <c r="M108" s="7"/>
      <c r="N108" s="11"/>
    </row>
    <row r="109" spans="1:14">
      <c r="A109" s="173">
        <v>36495</v>
      </c>
      <c r="B109" s="177">
        <v>30460432.68</v>
      </c>
      <c r="C109" s="177">
        <v>30460432.68</v>
      </c>
      <c r="D109" s="179">
        <v>647</v>
      </c>
      <c r="E109" s="179">
        <v>0</v>
      </c>
      <c r="F109" s="186">
        <v>112.68781302170287</v>
      </c>
      <c r="G109" s="188">
        <v>31</v>
      </c>
      <c r="H109" s="188">
        <v>0</v>
      </c>
      <c r="I109" s="14">
        <f>(I127-I67)/60+I108</f>
        <v>28738.5</v>
      </c>
      <c r="J109" s="179">
        <v>336.28800000000001</v>
      </c>
      <c r="K109" s="179">
        <v>0</v>
      </c>
      <c r="L109" s="190">
        <f>'Regression Results'!$E$20+D109*'Regression Results'!$E$21+E109*'Regression Results'!$E$22+F109*'Regression Results'!$E$23+G109*'Regression Results'!$E$24+H109*'Regression Results'!$E$25+I109*'Regression Results'!$E$26+J109*'Regression Results'!$E$27+K109*'Regression Results'!$E$28</f>
        <v>29825174.020322066</v>
      </c>
      <c r="M109" s="7"/>
      <c r="N109" s="11"/>
    </row>
    <row r="110" spans="1:14">
      <c r="A110" s="173">
        <v>36526</v>
      </c>
      <c r="B110" s="177">
        <v>32297791.440000005</v>
      </c>
      <c r="C110" s="177">
        <v>32297791.440000005</v>
      </c>
      <c r="D110" s="179">
        <v>812.5</v>
      </c>
      <c r="E110" s="179">
        <v>0</v>
      </c>
      <c r="F110" s="185">
        <v>113.20550742744629</v>
      </c>
      <c r="G110" s="188">
        <v>31</v>
      </c>
      <c r="H110" s="188">
        <v>0</v>
      </c>
      <c r="I110" s="14">
        <f>(I127-I67)/60+I109</f>
        <v>28759.75</v>
      </c>
      <c r="J110" s="179">
        <v>319.92</v>
      </c>
      <c r="K110" s="179">
        <v>0</v>
      </c>
      <c r="L110" s="190">
        <f>'Regression Results'!$E$20+D110*'Regression Results'!$E$21+E110*'Regression Results'!$E$22+F110*'Regression Results'!$E$23+G110*'Regression Results'!$E$24+H110*'Regression Results'!$E$25+I110*'Regression Results'!$E$26+J110*'Regression Results'!$E$27+K110*'Regression Results'!$E$28</f>
        <v>31880656.891957477</v>
      </c>
      <c r="M110" s="7"/>
      <c r="N110" s="11"/>
    </row>
    <row r="111" spans="1:14">
      <c r="A111" s="173">
        <v>36557</v>
      </c>
      <c r="B111" s="177">
        <v>28962541.719999999</v>
      </c>
      <c r="C111" s="177">
        <v>28962541.719999999</v>
      </c>
      <c r="D111" s="179">
        <v>643.9</v>
      </c>
      <c r="E111" s="179">
        <v>0</v>
      </c>
      <c r="F111" s="185">
        <v>113.72558015157706</v>
      </c>
      <c r="G111" s="188">
        <v>29</v>
      </c>
      <c r="H111" s="188">
        <v>0</v>
      </c>
      <c r="I111" s="14">
        <f>(I127-I67)/60+I110</f>
        <v>28781</v>
      </c>
      <c r="J111" s="179">
        <v>336.16799999999995</v>
      </c>
      <c r="K111" s="179">
        <v>0</v>
      </c>
      <c r="L111" s="190">
        <f>'Regression Results'!$E$20+D111*'Regression Results'!$E$21+E111*'Regression Results'!$E$22+F111*'Regression Results'!$E$23+G111*'Regression Results'!$E$24+H111*'Regression Results'!$E$25+I111*'Regression Results'!$E$26+J111*'Regression Results'!$E$27+K111*'Regression Results'!$E$28</f>
        <v>28806046.78527125</v>
      </c>
      <c r="M111" s="7"/>
      <c r="N111" s="11"/>
    </row>
    <row r="112" spans="1:14">
      <c r="A112" s="173">
        <v>36586</v>
      </c>
      <c r="B112" s="177">
        <v>27326994.220000003</v>
      </c>
      <c r="C112" s="177">
        <v>27326994.220000003</v>
      </c>
      <c r="D112" s="179">
        <v>480.8</v>
      </c>
      <c r="E112" s="179">
        <v>0</v>
      </c>
      <c r="F112" s="185">
        <v>114.24804212022897</v>
      </c>
      <c r="G112" s="188">
        <v>31</v>
      </c>
      <c r="H112" s="188">
        <v>1</v>
      </c>
      <c r="I112" s="14">
        <f>(I127-I67)/60+I111</f>
        <v>28802.25</v>
      </c>
      <c r="J112" s="179">
        <v>368.28</v>
      </c>
      <c r="K112" s="179">
        <v>0</v>
      </c>
      <c r="L112" s="190">
        <f>'Regression Results'!$E$20+D112*'Regression Results'!$E$21+E112*'Regression Results'!$E$22+F112*'Regression Results'!$E$23+G112*'Regression Results'!$E$24+H112*'Regression Results'!$E$25+I112*'Regression Results'!$E$26+J112*'Regression Results'!$E$27+K112*'Regression Results'!$E$28</f>
        <v>27430885.965713687</v>
      </c>
      <c r="M112" s="7"/>
      <c r="N112" s="11"/>
    </row>
    <row r="113" spans="1:14">
      <c r="A113" s="173">
        <v>36617</v>
      </c>
      <c r="B113" s="177">
        <v>24385732.300000001</v>
      </c>
      <c r="C113" s="177">
        <v>24385732.300000001</v>
      </c>
      <c r="D113" s="179">
        <v>375</v>
      </c>
      <c r="E113" s="179">
        <v>0</v>
      </c>
      <c r="F113" s="185">
        <v>114.77290430973115</v>
      </c>
      <c r="G113" s="188">
        <v>30</v>
      </c>
      <c r="H113" s="188">
        <v>1</v>
      </c>
      <c r="I113" s="14">
        <f>(I127-I67)/60+I112</f>
        <v>28823.5</v>
      </c>
      <c r="J113" s="179">
        <v>303.83999999999997</v>
      </c>
      <c r="K113" s="179">
        <v>0</v>
      </c>
      <c r="L113" s="190">
        <f>'Regression Results'!$E$20+D113*'Regression Results'!$E$21+E113*'Regression Results'!$E$22+F113*'Regression Results'!$E$23+G113*'Regression Results'!$E$24+H113*'Regression Results'!$E$25+I113*'Regression Results'!$E$26+J113*'Regression Results'!$E$27+K113*'Regression Results'!$E$28</f>
        <v>25107801.571703061</v>
      </c>
      <c r="M113" s="7"/>
      <c r="N113" s="11"/>
    </row>
    <row r="114" spans="1:14">
      <c r="A114" s="173">
        <v>36647</v>
      </c>
      <c r="B114" s="177">
        <v>23452596.599999998</v>
      </c>
      <c r="C114" s="177">
        <v>23452596.599999998</v>
      </c>
      <c r="D114" s="179">
        <v>163.30000000000001</v>
      </c>
      <c r="E114" s="179">
        <v>15.6</v>
      </c>
      <c r="F114" s="185">
        <v>115.30017774683859</v>
      </c>
      <c r="G114" s="188">
        <v>31</v>
      </c>
      <c r="H114" s="188">
        <v>1</v>
      </c>
      <c r="I114" s="14">
        <f>(I127-I67)/60+I113</f>
        <v>28844.75</v>
      </c>
      <c r="J114" s="179">
        <v>351.91199999999998</v>
      </c>
      <c r="K114" s="179">
        <v>0</v>
      </c>
      <c r="L114" s="190">
        <f>'Regression Results'!$E$20+D114*'Regression Results'!$E$21+E114*'Regression Results'!$E$22+F114*'Regression Results'!$E$23+G114*'Regression Results'!$E$24+H114*'Regression Results'!$E$25+I114*'Regression Results'!$E$26+J114*'Regression Results'!$E$27+K114*'Regression Results'!$E$28</f>
        <v>23884627.673626348</v>
      </c>
      <c r="M114" s="7"/>
      <c r="N114" s="11"/>
    </row>
    <row r="115" spans="1:14">
      <c r="A115" s="173">
        <v>36678</v>
      </c>
      <c r="B115" s="177">
        <v>23125354.600000001</v>
      </c>
      <c r="C115" s="177">
        <v>23125354.600000001</v>
      </c>
      <c r="D115" s="179">
        <v>62</v>
      </c>
      <c r="E115" s="179">
        <v>25.1</v>
      </c>
      <c r="F115" s="185">
        <v>115.82987350896386</v>
      </c>
      <c r="G115" s="188">
        <v>30</v>
      </c>
      <c r="H115" s="188">
        <v>0</v>
      </c>
      <c r="I115" s="14">
        <f>(I127-I67)/60+I114</f>
        <v>28866</v>
      </c>
      <c r="J115" s="179">
        <v>352.08</v>
      </c>
      <c r="K115" s="179">
        <v>0</v>
      </c>
      <c r="L115" s="190">
        <f>'Regression Results'!$E$20+D115*'Regression Results'!$E$21+E115*'Regression Results'!$E$22+F115*'Regression Results'!$E$23+G115*'Regression Results'!$E$24+H115*'Regression Results'!$E$25+I115*'Regression Results'!$E$26+J115*'Regression Results'!$E$27+K115*'Regression Results'!$E$28</f>
        <v>23036664.901882082</v>
      </c>
      <c r="M115" s="7"/>
      <c r="N115" s="11"/>
    </row>
    <row r="116" spans="1:14">
      <c r="A116" s="173">
        <v>36708</v>
      </c>
      <c r="B116" s="177">
        <v>23401607.700000003</v>
      </c>
      <c r="C116" s="177">
        <v>23401607.700000003</v>
      </c>
      <c r="D116" s="179">
        <v>21.9</v>
      </c>
      <c r="E116" s="179">
        <v>44.6</v>
      </c>
      <c r="F116" s="185">
        <v>116.36200272440982</v>
      </c>
      <c r="G116" s="188">
        <v>31</v>
      </c>
      <c r="H116" s="188">
        <v>0</v>
      </c>
      <c r="I116" s="14">
        <f>(I127-I67)/60+I115</f>
        <v>28887.25</v>
      </c>
      <c r="J116" s="179">
        <v>319.92</v>
      </c>
      <c r="K116" s="179">
        <v>0</v>
      </c>
      <c r="L116" s="190">
        <f>'Regression Results'!$E$20+D116*'Regression Results'!$E$21+E116*'Regression Results'!$E$22+F116*'Regression Results'!$E$23+G116*'Regression Results'!$E$24+H116*'Regression Results'!$E$25+I116*'Regression Results'!$E$26+J116*'Regression Results'!$E$27+K116*'Regression Results'!$E$28</f>
        <v>23604577.563414395</v>
      </c>
      <c r="M116" s="7"/>
      <c r="N116" s="11"/>
    </row>
    <row r="117" spans="1:14">
      <c r="A117" s="173">
        <v>36739</v>
      </c>
      <c r="B117" s="177">
        <v>24662260.099999998</v>
      </c>
      <c r="C117" s="177">
        <v>24662260.099999998</v>
      </c>
      <c r="D117" s="179">
        <v>33.299999999999997</v>
      </c>
      <c r="E117" s="179">
        <v>49.2</v>
      </c>
      <c r="F117" s="185">
        <v>116.89657657260338</v>
      </c>
      <c r="G117" s="188">
        <v>31</v>
      </c>
      <c r="H117" s="188">
        <v>0</v>
      </c>
      <c r="I117" s="14">
        <f>(I127-I67)/60+I116</f>
        <v>28908.5</v>
      </c>
      <c r="J117" s="179">
        <v>351.91199999999998</v>
      </c>
      <c r="K117" s="179">
        <v>0</v>
      </c>
      <c r="L117" s="190">
        <f>'Regression Results'!$E$20+D117*'Regression Results'!$E$21+E117*'Regression Results'!$E$22+F117*'Regression Results'!$E$23+G117*'Regression Results'!$E$24+H117*'Regression Results'!$E$25+I117*'Regression Results'!$E$26+J117*'Regression Results'!$E$27+K117*'Regression Results'!$E$28</f>
        <v>24197404.781928416</v>
      </c>
      <c r="M117" s="7"/>
      <c r="N117" s="11"/>
    </row>
    <row r="118" spans="1:14">
      <c r="A118" s="173">
        <v>36770</v>
      </c>
      <c r="B118" s="177">
        <v>23497839.900000006</v>
      </c>
      <c r="C118" s="177">
        <v>23497839.900000006</v>
      </c>
      <c r="D118" s="179">
        <v>131.4</v>
      </c>
      <c r="E118" s="179">
        <v>20</v>
      </c>
      <c r="F118" s="185">
        <v>117.43360628433041</v>
      </c>
      <c r="G118" s="188">
        <v>30</v>
      </c>
      <c r="H118" s="188">
        <v>1</v>
      </c>
      <c r="I118" s="14">
        <f>(I127-I67)/60+I117</f>
        <v>28929.75</v>
      </c>
      <c r="J118" s="179">
        <v>319.68</v>
      </c>
      <c r="K118" s="179">
        <v>0</v>
      </c>
      <c r="L118" s="190">
        <f>'Regression Results'!$E$20+D118*'Regression Results'!$E$21+E118*'Regression Results'!$E$22+F118*'Regression Results'!$E$23+G118*'Regression Results'!$E$24+H118*'Regression Results'!$E$25+I118*'Regression Results'!$E$26+J118*'Regression Results'!$E$27+K118*'Regression Results'!$E$28</f>
        <v>23025022.760001332</v>
      </c>
      <c r="M118" s="7"/>
      <c r="N118" s="11"/>
    </row>
    <row r="119" spans="1:14">
      <c r="A119" s="173">
        <v>36800</v>
      </c>
      <c r="B119" s="177">
        <v>24588139.899999999</v>
      </c>
      <c r="C119" s="177">
        <v>24588139.899999999</v>
      </c>
      <c r="D119" s="179">
        <v>261.5</v>
      </c>
      <c r="E119" s="179">
        <v>0</v>
      </c>
      <c r="F119" s="185">
        <v>117.97310314197166</v>
      </c>
      <c r="G119" s="188">
        <v>31</v>
      </c>
      <c r="H119" s="188">
        <v>1</v>
      </c>
      <c r="I119" s="14">
        <f>(I127-I67)/60+I118</f>
        <v>28951</v>
      </c>
      <c r="J119" s="179">
        <v>336.28800000000001</v>
      </c>
      <c r="K119" s="179">
        <v>0</v>
      </c>
      <c r="L119" s="190">
        <f>'Regression Results'!$E$20+D119*'Regression Results'!$E$21+E119*'Regression Results'!$E$22+F119*'Regression Results'!$E$23+G119*'Regression Results'!$E$24+H119*'Regression Results'!$E$25+I119*'Regression Results'!$E$26+J119*'Regression Results'!$E$27+K119*'Regression Results'!$E$28</f>
        <v>24603451.863615733</v>
      </c>
      <c r="M119" s="7"/>
      <c r="N119" s="11"/>
    </row>
    <row r="120" spans="1:14">
      <c r="A120" s="173">
        <v>36831</v>
      </c>
      <c r="B120" s="177">
        <v>27069884.600000001</v>
      </c>
      <c r="C120" s="177">
        <v>27069884.600000001</v>
      </c>
      <c r="D120" s="179">
        <v>485.6</v>
      </c>
      <c r="E120" s="179">
        <v>0</v>
      </c>
      <c r="F120" s="185">
        <v>118.51507847973981</v>
      </c>
      <c r="G120" s="188">
        <v>30</v>
      </c>
      <c r="H120" s="188">
        <v>1</v>
      </c>
      <c r="I120" s="14">
        <f>(I127-I67)/60+I119</f>
        <v>28972.25</v>
      </c>
      <c r="J120" s="179">
        <v>352.08</v>
      </c>
      <c r="K120" s="179">
        <v>0</v>
      </c>
      <c r="L120" s="190">
        <f>'Regression Results'!$E$20+D120*'Regression Results'!$E$21+E120*'Regression Results'!$E$22+F120*'Regression Results'!$E$23+G120*'Regression Results'!$E$24+H120*'Regression Results'!$E$25+I120*'Regression Results'!$E$26+J120*'Regression Results'!$E$27+K120*'Regression Results'!$E$28</f>
        <v>27126977.004433021</v>
      </c>
      <c r="M120" s="7"/>
      <c r="N120" s="11"/>
    </row>
    <row r="121" spans="1:14">
      <c r="A121" s="173">
        <v>36861</v>
      </c>
      <c r="B121" s="177">
        <v>32354228.300000001</v>
      </c>
      <c r="C121" s="177">
        <v>32354228.300000001</v>
      </c>
      <c r="D121" s="179">
        <v>845.7</v>
      </c>
      <c r="E121" s="179">
        <v>0</v>
      </c>
      <c r="F121" s="186">
        <v>119.05954368391765</v>
      </c>
      <c r="G121" s="188">
        <v>31</v>
      </c>
      <c r="H121" s="188">
        <v>0</v>
      </c>
      <c r="I121" s="14">
        <f>(I127-I67)/60+I120</f>
        <v>28993.5</v>
      </c>
      <c r="J121" s="179">
        <v>304.29599999999999</v>
      </c>
      <c r="K121" s="179">
        <v>0</v>
      </c>
      <c r="L121" s="190">
        <f>'Regression Results'!$E$20+D121*'Regression Results'!$E$21+E121*'Regression Results'!$E$22+F121*'Regression Results'!$E$23+G121*'Regression Results'!$E$24+H121*'Regression Results'!$E$25+I121*'Regression Results'!$E$26+J121*'Regression Results'!$E$27+K121*'Regression Results'!$E$28</f>
        <v>32573566.23304332</v>
      </c>
      <c r="M121" s="7"/>
      <c r="N121" s="11"/>
    </row>
    <row r="122" spans="1:14">
      <c r="A122" s="173">
        <v>36892</v>
      </c>
      <c r="B122" s="177">
        <v>32002035.700000003</v>
      </c>
      <c r="C122" s="177">
        <v>32002035.700000003</v>
      </c>
      <c r="D122" s="179">
        <v>757.4</v>
      </c>
      <c r="E122" s="179">
        <v>0</v>
      </c>
      <c r="F122" s="185">
        <v>119.23206305749976</v>
      </c>
      <c r="G122" s="188">
        <v>31</v>
      </c>
      <c r="H122" s="188">
        <v>0</v>
      </c>
      <c r="I122" s="14">
        <f>(I127-I67)/60+I121</f>
        <v>29014.75</v>
      </c>
      <c r="J122" s="179">
        <v>351.91199999999998</v>
      </c>
      <c r="K122" s="179">
        <v>0</v>
      </c>
      <c r="L122" s="190">
        <f>'Regression Results'!$E$20+D122*'Regression Results'!$E$21+E122*'Regression Results'!$E$22+F122*'Regression Results'!$E$23+G122*'Regression Results'!$E$24+H122*'Regression Results'!$E$25+I122*'Regression Results'!$E$26+J122*'Regression Results'!$E$27+K122*'Regression Results'!$E$28</f>
        <v>31800698.530067839</v>
      </c>
      <c r="M122" s="7"/>
      <c r="N122" s="11"/>
    </row>
    <row r="123" spans="1:14">
      <c r="A123" s="173">
        <v>36925</v>
      </c>
      <c r="B123" s="177">
        <v>28987688.210000001</v>
      </c>
      <c r="C123" s="177">
        <v>28987688.210000001</v>
      </c>
      <c r="D123" s="179">
        <v>682.2</v>
      </c>
      <c r="E123" s="179">
        <v>0</v>
      </c>
      <c r="F123" s="185">
        <v>119.40483241468957</v>
      </c>
      <c r="G123" s="188">
        <v>28</v>
      </c>
      <c r="H123" s="188">
        <v>0</v>
      </c>
      <c r="I123" s="14">
        <f>(I127-I67)/60+I122</f>
        <v>29036</v>
      </c>
      <c r="J123" s="179">
        <v>319.87200000000001</v>
      </c>
      <c r="K123" s="179">
        <v>0</v>
      </c>
      <c r="L123" s="190">
        <f>'Regression Results'!$E$20+D123*'Regression Results'!$E$21+E123*'Regression Results'!$E$22+F123*'Regression Results'!$E$23+G123*'Regression Results'!$E$24+H123*'Regression Results'!$E$25+I123*'Regression Results'!$E$26+J123*'Regression Results'!$E$27+K123*'Regression Results'!$E$28</f>
        <v>29052182.72219786</v>
      </c>
      <c r="M123" s="7"/>
      <c r="N123" s="11"/>
    </row>
    <row r="124" spans="1:14">
      <c r="A124" s="173">
        <v>36958</v>
      </c>
      <c r="B124" s="177">
        <v>29723465.979999997</v>
      </c>
      <c r="C124" s="177">
        <v>29723465.979999997</v>
      </c>
      <c r="D124" s="179">
        <v>630.9</v>
      </c>
      <c r="E124" s="179">
        <v>0</v>
      </c>
      <c r="F124" s="185">
        <v>119.57785211771773</v>
      </c>
      <c r="G124" s="188">
        <v>31</v>
      </c>
      <c r="H124" s="188">
        <v>1</v>
      </c>
      <c r="I124" s="14">
        <f>(I127-I67)/60+I123</f>
        <v>29057.25</v>
      </c>
      <c r="J124" s="179">
        <v>351.91199999999998</v>
      </c>
      <c r="K124" s="179">
        <v>0</v>
      </c>
      <c r="L124" s="190">
        <f>'Regression Results'!$E$20+D124*'Regression Results'!$E$21+E124*'Regression Results'!$E$22+F124*'Regression Results'!$E$23+G124*'Regression Results'!$E$24+H124*'Regression Results'!$E$25+I124*'Regression Results'!$E$26+J124*'Regression Results'!$E$27+K124*'Regression Results'!$E$28</f>
        <v>29635658.990385603</v>
      </c>
      <c r="M124" s="7"/>
      <c r="N124" s="11"/>
    </row>
    <row r="125" spans="1:14">
      <c r="A125" s="173">
        <v>36991</v>
      </c>
      <c r="B125" s="177">
        <v>24792867.800000001</v>
      </c>
      <c r="C125" s="177">
        <v>24792867.800000001</v>
      </c>
      <c r="D125" s="179">
        <v>342.4</v>
      </c>
      <c r="E125" s="179">
        <v>0</v>
      </c>
      <c r="F125" s="185">
        <v>119.75112252933975</v>
      </c>
      <c r="G125" s="188">
        <v>30</v>
      </c>
      <c r="H125" s="188">
        <v>1</v>
      </c>
      <c r="I125" s="14">
        <f>(I127-I67)/60+I124</f>
        <v>29078.5</v>
      </c>
      <c r="J125" s="179">
        <v>319.68</v>
      </c>
      <c r="K125" s="179">
        <v>0</v>
      </c>
      <c r="L125" s="190">
        <f>'Regression Results'!$E$20+D125*'Regression Results'!$E$21+E125*'Regression Results'!$E$22+F125*'Regression Results'!$E$23+G125*'Regression Results'!$E$24+H125*'Regression Results'!$E$25+I125*'Regression Results'!$E$26+J125*'Regression Results'!$E$27+K125*'Regression Results'!$E$28</f>
        <v>25173585.796959344</v>
      </c>
      <c r="M125" s="7"/>
      <c r="N125" s="11"/>
    </row>
    <row r="126" spans="1:14">
      <c r="A126" s="173">
        <v>37024</v>
      </c>
      <c r="B126" s="177">
        <v>23532606.100000001</v>
      </c>
      <c r="C126" s="177">
        <v>23532606.100000001</v>
      </c>
      <c r="D126" s="179">
        <v>132.4</v>
      </c>
      <c r="E126" s="179">
        <v>8.3000000000000007</v>
      </c>
      <c r="F126" s="185">
        <v>119.92464401283681</v>
      </c>
      <c r="G126" s="188">
        <v>31</v>
      </c>
      <c r="H126" s="188">
        <v>1</v>
      </c>
      <c r="I126" s="14">
        <f>(I127-I67)/60+I125</f>
        <v>29099.75</v>
      </c>
      <c r="J126" s="179">
        <v>351.91199999999998</v>
      </c>
      <c r="K126" s="179">
        <v>0</v>
      </c>
      <c r="L126" s="190">
        <f>'Regression Results'!$E$20+D126*'Regression Results'!$E$21+E126*'Regression Results'!$E$22+F126*'Regression Results'!$E$23+G126*'Regression Results'!$E$24+H126*'Regression Results'!$E$25+I126*'Regression Results'!$E$26+J126*'Regression Results'!$E$27+K126*'Regression Results'!$E$28</f>
        <v>23563047.129831787</v>
      </c>
      <c r="M126" s="7"/>
      <c r="N126" s="11"/>
    </row>
    <row r="127" spans="1:14">
      <c r="A127" s="173">
        <v>37057</v>
      </c>
      <c r="B127" s="177">
        <v>24436311.200000003</v>
      </c>
      <c r="C127" s="177">
        <v>24436311.200000003</v>
      </c>
      <c r="D127" s="179">
        <v>43.3</v>
      </c>
      <c r="E127" s="179">
        <v>56.6</v>
      </c>
      <c r="F127" s="185">
        <v>120.09841693201646</v>
      </c>
      <c r="G127" s="188">
        <v>30</v>
      </c>
      <c r="H127" s="188">
        <v>0</v>
      </c>
      <c r="I127" s="189">
        <v>29121</v>
      </c>
      <c r="J127" s="179">
        <v>336.24</v>
      </c>
      <c r="K127" s="179">
        <v>0</v>
      </c>
      <c r="L127" s="190">
        <f>'Regression Results'!$E$20+D127*'Regression Results'!$E$21+E127*'Regression Results'!$E$22+F127*'Regression Results'!$E$23+G127*'Regression Results'!$E$24+H127*'Regression Results'!$E$25+I127*'Regression Results'!$E$26+J127*'Regression Results'!$E$27+K127*'Regression Results'!$E$28</f>
        <v>24264509.739254858</v>
      </c>
      <c r="M127" s="7"/>
      <c r="N127" s="11"/>
    </row>
    <row r="128" spans="1:14">
      <c r="A128" s="173">
        <v>37090</v>
      </c>
      <c r="B128" s="177">
        <v>24327147.600000001</v>
      </c>
      <c r="C128" s="177">
        <v>24327147.600000001</v>
      </c>
      <c r="D128" s="179">
        <v>27</v>
      </c>
      <c r="E128" s="179">
        <v>73.2</v>
      </c>
      <c r="F128" s="185">
        <v>120.27244165121344</v>
      </c>
      <c r="G128" s="188">
        <v>31</v>
      </c>
      <c r="H128" s="188">
        <v>0</v>
      </c>
      <c r="I128" s="14">
        <f>(I187-I127)/60+I127</f>
        <v>29139.966666666667</v>
      </c>
      <c r="J128" s="179">
        <v>336.28800000000001</v>
      </c>
      <c r="K128" s="179">
        <v>0</v>
      </c>
      <c r="L128" s="190">
        <f>'Regression Results'!$E$20+D128*'Regression Results'!$E$21+E128*'Regression Results'!$E$22+F128*'Regression Results'!$E$23+G128*'Regression Results'!$E$24+H128*'Regression Results'!$E$25+I128*'Regression Results'!$E$26+J128*'Regression Results'!$E$27+K128*'Regression Results'!$E$28</f>
        <v>25248010.20976634</v>
      </c>
      <c r="M128" s="7"/>
      <c r="N128" s="11"/>
    </row>
    <row r="129" spans="1:35">
      <c r="A129" s="173">
        <v>37123</v>
      </c>
      <c r="B129" s="177">
        <v>26276826.399999999</v>
      </c>
      <c r="C129" s="177">
        <v>26276826.399999999</v>
      </c>
      <c r="D129" s="179">
        <v>1.9</v>
      </c>
      <c r="E129" s="179">
        <v>119.6</v>
      </c>
      <c r="F129" s="185">
        <v>120.4467185352904</v>
      </c>
      <c r="G129" s="188">
        <v>31</v>
      </c>
      <c r="H129" s="188">
        <v>0</v>
      </c>
      <c r="I129" s="14">
        <f>(I187-I127)/60+I128</f>
        <v>29158.933333333334</v>
      </c>
      <c r="J129" s="179">
        <v>351.91199999999998</v>
      </c>
      <c r="K129" s="179">
        <v>0</v>
      </c>
      <c r="L129" s="190">
        <f>'Regression Results'!$E$20+D129*'Regression Results'!$E$21+E129*'Regression Results'!$E$22+F129*'Regression Results'!$E$23+G129*'Regression Results'!$E$24+H129*'Regression Results'!$E$25+I129*'Regression Results'!$E$26+J129*'Regression Results'!$E$27+K129*'Regression Results'!$E$28</f>
        <v>26871676.950128146</v>
      </c>
      <c r="M129" s="7"/>
      <c r="N129" s="11"/>
    </row>
    <row r="130" spans="1:35">
      <c r="A130" s="173">
        <v>37156</v>
      </c>
      <c r="B130" s="177">
        <v>23127171.699999999</v>
      </c>
      <c r="C130" s="177">
        <v>23127171.699999999</v>
      </c>
      <c r="D130" s="179">
        <v>112.3</v>
      </c>
      <c r="E130" s="179">
        <v>19.399999999999999</v>
      </c>
      <c r="F130" s="185">
        <v>120.62124794963869</v>
      </c>
      <c r="G130" s="188">
        <v>30</v>
      </c>
      <c r="H130" s="188">
        <v>1</v>
      </c>
      <c r="I130" s="14">
        <f>(I187-I127)/60+I129</f>
        <v>29177.9</v>
      </c>
      <c r="J130" s="179">
        <v>303.83999999999997</v>
      </c>
      <c r="K130" s="179">
        <v>0</v>
      </c>
      <c r="L130" s="190">
        <f>'Regression Results'!$E$20+D130*'Regression Results'!$E$21+E130*'Regression Results'!$E$22+F130*'Regression Results'!$E$23+G130*'Regression Results'!$E$24+H130*'Regression Results'!$E$25+I130*'Regression Results'!$E$26+J130*'Regression Results'!$E$27+K130*'Regression Results'!$E$28</f>
        <v>22957937.480444815</v>
      </c>
      <c r="M130" s="7"/>
      <c r="N130" s="11"/>
    </row>
    <row r="131" spans="1:35">
      <c r="A131" s="173">
        <v>37189</v>
      </c>
      <c r="B131" s="177">
        <v>24927263.900000002</v>
      </c>
      <c r="C131" s="177">
        <v>24927263.900000002</v>
      </c>
      <c r="D131" s="179">
        <v>272.10000000000002</v>
      </c>
      <c r="E131" s="179">
        <v>0</v>
      </c>
      <c r="F131" s="185">
        <v>120.79603026017911</v>
      </c>
      <c r="G131" s="188">
        <v>31</v>
      </c>
      <c r="H131" s="188">
        <v>1</v>
      </c>
      <c r="I131" s="14">
        <f>(I187-I127)/60+I130</f>
        <v>29196.866666666669</v>
      </c>
      <c r="J131" s="179">
        <v>351.91199999999998</v>
      </c>
      <c r="K131" s="179">
        <v>0</v>
      </c>
      <c r="L131" s="190">
        <f>'Regression Results'!$E$20+D131*'Regression Results'!$E$21+E131*'Regression Results'!$E$22+F131*'Regression Results'!$E$23+G131*'Regression Results'!$E$24+H131*'Regression Results'!$E$25+I131*'Regression Results'!$E$26+J131*'Regression Results'!$E$27+K131*'Regression Results'!$E$28</f>
        <v>25159426.331432819</v>
      </c>
      <c r="M131" s="7"/>
      <c r="N131" s="11"/>
    </row>
    <row r="132" spans="1:35">
      <c r="A132" s="173">
        <v>37222</v>
      </c>
      <c r="B132" s="177">
        <v>25697582.200000003</v>
      </c>
      <c r="C132" s="177">
        <v>25697582.200000003</v>
      </c>
      <c r="D132" s="179">
        <v>365.8</v>
      </c>
      <c r="E132" s="179">
        <v>0</v>
      </c>
      <c r="F132" s="185">
        <v>120.9710658333627</v>
      </c>
      <c r="G132" s="188">
        <v>30</v>
      </c>
      <c r="H132" s="188">
        <v>1</v>
      </c>
      <c r="I132" s="14">
        <f>(I187-I127)/60+I131</f>
        <v>29215.833333333336</v>
      </c>
      <c r="J132" s="179">
        <v>352.08</v>
      </c>
      <c r="K132" s="179">
        <v>0</v>
      </c>
      <c r="L132" s="190">
        <f>'Regression Results'!$E$20+D132*'Regression Results'!$E$21+E132*'Regression Results'!$E$22+F132*'Regression Results'!$E$23+G132*'Regression Results'!$E$24+H132*'Regression Results'!$E$25+I132*'Regression Results'!$E$26+J132*'Regression Results'!$E$27+K132*'Regression Results'!$E$28</f>
        <v>25871721.811605945</v>
      </c>
      <c r="M132" s="7"/>
      <c r="N132" s="11"/>
    </row>
    <row r="133" spans="1:35">
      <c r="A133" s="173">
        <v>37255</v>
      </c>
      <c r="B133" s="177">
        <v>28565689.700000003</v>
      </c>
      <c r="C133" s="177">
        <v>28565689.700000003</v>
      </c>
      <c r="D133" s="179">
        <v>554.29999999999995</v>
      </c>
      <c r="E133" s="179">
        <v>0</v>
      </c>
      <c r="F133" s="186">
        <v>121.1463550361714</v>
      </c>
      <c r="G133" s="188">
        <v>31</v>
      </c>
      <c r="H133" s="188">
        <v>0</v>
      </c>
      <c r="I133" s="14">
        <f>(I187-I127)/60+I132</f>
        <v>29234.800000000003</v>
      </c>
      <c r="J133" s="179">
        <v>304.29599999999999</v>
      </c>
      <c r="K133" s="179">
        <v>0</v>
      </c>
      <c r="L133" s="190">
        <f>'Regression Results'!$E$20+D133*'Regression Results'!$E$21+E133*'Regression Results'!$E$22+F133*'Regression Results'!$E$23+G133*'Regression Results'!$E$24+H133*'Regression Results'!$E$25+I133*'Regression Results'!$E$26+J133*'Regression Results'!$E$27+K133*'Regression Results'!$E$28</f>
        <v>29087285.333794273</v>
      </c>
      <c r="M133" s="7"/>
      <c r="N133" s="11"/>
    </row>
    <row r="134" spans="1:35" s="12" customFormat="1">
      <c r="A134" s="173">
        <v>37275</v>
      </c>
      <c r="B134" s="177">
        <v>30477490.039999999</v>
      </c>
      <c r="C134" s="177">
        <v>30477490.039999999</v>
      </c>
      <c r="D134" s="179">
        <v>644.79999999999995</v>
      </c>
      <c r="E134" s="179">
        <v>0</v>
      </c>
      <c r="F134" s="185">
        <v>121.50450639216388</v>
      </c>
      <c r="G134" s="188">
        <v>31</v>
      </c>
      <c r="H134" s="188">
        <v>0</v>
      </c>
      <c r="I134" s="14">
        <f>(I187-I127)/60+I133</f>
        <v>29253.76666666667</v>
      </c>
      <c r="J134" s="179">
        <v>351.91199999999998</v>
      </c>
      <c r="K134" s="179">
        <v>0</v>
      </c>
      <c r="L134" s="190">
        <f>'Regression Results'!$E$20+D134*'Regression Results'!$E$21+E134*'Regression Results'!$E$22+F134*'Regression Results'!$E$23+G134*'Regression Results'!$E$24+H134*'Regression Results'!$E$25+I134*'Regression Results'!$E$26+J134*'Regression Results'!$E$27+K134*'Regression Results'!$E$28</f>
        <v>30629314.284299858</v>
      </c>
      <c r="M134" s="7"/>
      <c r="N134" s="11"/>
      <c r="O134"/>
      <c r="P134"/>
      <c r="Q134"/>
      <c r="R134"/>
      <c r="S134"/>
      <c r="T134"/>
      <c r="U134"/>
      <c r="V134"/>
      <c r="W134"/>
      <c r="X134"/>
      <c r="Y134"/>
      <c r="Z134"/>
      <c r="AA134"/>
      <c r="AB134"/>
      <c r="AC134"/>
      <c r="AD134"/>
      <c r="AE134"/>
      <c r="AF134"/>
      <c r="AG134" s="8"/>
      <c r="AH134" s="8"/>
      <c r="AI134" s="8"/>
    </row>
    <row r="135" spans="1:35">
      <c r="A135" s="173">
        <v>37308</v>
      </c>
      <c r="B135" s="177">
        <v>28041532.130000003</v>
      </c>
      <c r="C135" s="177">
        <v>28041532.130000003</v>
      </c>
      <c r="D135" s="179">
        <v>623.20000000000005</v>
      </c>
      <c r="E135" s="179">
        <v>0</v>
      </c>
      <c r="F135" s="185">
        <v>121.86371656989111</v>
      </c>
      <c r="G135" s="188">
        <v>28</v>
      </c>
      <c r="H135" s="188">
        <v>0</v>
      </c>
      <c r="I135" s="14">
        <f>(I187-I127)/60+I134</f>
        <v>29272.733333333337</v>
      </c>
      <c r="J135" s="179">
        <v>319.87200000000001</v>
      </c>
      <c r="K135" s="179">
        <v>0</v>
      </c>
      <c r="L135" s="190">
        <f>'Regression Results'!$E$20+D135*'Regression Results'!$E$21+E135*'Regression Results'!$E$22+F135*'Regression Results'!$E$23+G135*'Regression Results'!$E$24+H135*'Regression Results'!$E$25+I135*'Regression Results'!$E$26+J135*'Regression Results'!$E$27+K135*'Regression Results'!$E$28</f>
        <v>28576796.683897272</v>
      </c>
      <c r="M135" s="7"/>
      <c r="N135" s="11"/>
    </row>
    <row r="136" spans="1:35">
      <c r="A136" s="173">
        <v>37341</v>
      </c>
      <c r="B136" s="177">
        <v>29565474</v>
      </c>
      <c r="C136" s="177">
        <v>29565474</v>
      </c>
      <c r="D136" s="179">
        <v>611.1</v>
      </c>
      <c r="E136" s="179">
        <v>0</v>
      </c>
      <c r="F136" s="185">
        <v>122.22398869960362</v>
      </c>
      <c r="G136" s="188">
        <v>31</v>
      </c>
      <c r="H136" s="188">
        <v>1</v>
      </c>
      <c r="I136" s="14">
        <f>(I187-I127)/60+I135</f>
        <v>29291.700000000004</v>
      </c>
      <c r="J136" s="179">
        <v>319.92</v>
      </c>
      <c r="K136" s="179">
        <v>0</v>
      </c>
      <c r="L136" s="190">
        <f>'Regression Results'!$E$20+D136*'Regression Results'!$E$21+E136*'Regression Results'!$E$22+F136*'Regression Results'!$E$23+G136*'Regression Results'!$E$24+H136*'Regression Results'!$E$25+I136*'Regression Results'!$E$26+J136*'Regression Results'!$E$27+K136*'Regression Results'!$E$28</f>
        <v>29438693.631275553</v>
      </c>
      <c r="M136" s="7"/>
      <c r="N136" s="11"/>
    </row>
    <row r="137" spans="1:35">
      <c r="A137" s="173">
        <v>37374</v>
      </c>
      <c r="B137" s="177">
        <v>25723552.199999999</v>
      </c>
      <c r="C137" s="177">
        <v>25723552.199999999</v>
      </c>
      <c r="D137" s="179">
        <v>369.2</v>
      </c>
      <c r="E137" s="179">
        <v>6.8</v>
      </c>
      <c r="F137" s="185">
        <v>122.58532592080604</v>
      </c>
      <c r="G137" s="188">
        <v>30</v>
      </c>
      <c r="H137" s="188">
        <v>1</v>
      </c>
      <c r="I137" s="14">
        <f>(I187-I127)/60+I136</f>
        <v>29310.666666666672</v>
      </c>
      <c r="J137" s="179">
        <v>352.08</v>
      </c>
      <c r="K137" s="179">
        <v>0</v>
      </c>
      <c r="L137" s="190">
        <f>'Regression Results'!$E$20+D137*'Regression Results'!$E$21+E137*'Regression Results'!$E$22+F137*'Regression Results'!$E$23+G137*'Regression Results'!$E$24+H137*'Regression Results'!$E$25+I137*'Regression Results'!$E$26+J137*'Regression Results'!$E$27+K137*'Regression Results'!$E$28</f>
        <v>26313563.17623537</v>
      </c>
      <c r="M137" s="7"/>
      <c r="N137" s="11"/>
    </row>
    <row r="138" spans="1:35">
      <c r="A138" s="173">
        <v>37407</v>
      </c>
      <c r="B138" s="177">
        <v>24773581.800000001</v>
      </c>
      <c r="C138" s="177">
        <v>24784388.399999999</v>
      </c>
      <c r="D138" s="179">
        <v>241.7</v>
      </c>
      <c r="E138" s="179">
        <v>4.8</v>
      </c>
      <c r="F138" s="185">
        <v>122.9477313822845</v>
      </c>
      <c r="G138" s="188">
        <v>31</v>
      </c>
      <c r="H138" s="188">
        <v>1</v>
      </c>
      <c r="I138" s="14">
        <f>(I187-I127)/60+I137</f>
        <v>29329.633333333339</v>
      </c>
      <c r="J138" s="179">
        <v>351.91199999999998</v>
      </c>
      <c r="K138" s="179">
        <v>0</v>
      </c>
      <c r="L138" s="190">
        <f>'Regression Results'!$E$20+D138*'Regression Results'!$E$21+E138*'Regression Results'!$E$22+F138*'Regression Results'!$E$23+G138*'Regression Results'!$E$24+H138*'Regression Results'!$E$25+I138*'Regression Results'!$E$26+J138*'Regression Results'!$E$27+K138*'Regression Results'!$E$28</f>
        <v>25136026.659168176</v>
      </c>
      <c r="M138" s="7"/>
      <c r="N138" s="11"/>
    </row>
    <row r="139" spans="1:35">
      <c r="A139" s="173">
        <v>37408</v>
      </c>
      <c r="B139" s="177">
        <v>24555358.729999997</v>
      </c>
      <c r="C139" s="177">
        <v>24555647.029999997</v>
      </c>
      <c r="D139" s="179">
        <v>51.7</v>
      </c>
      <c r="E139" s="179">
        <v>55.4</v>
      </c>
      <c r="F139" s="185">
        <v>123.31120824213403</v>
      </c>
      <c r="G139" s="188">
        <v>30</v>
      </c>
      <c r="H139" s="188">
        <v>0</v>
      </c>
      <c r="I139" s="14">
        <f>(I187-I127)/60+I138</f>
        <v>29348.600000000006</v>
      </c>
      <c r="J139" s="179">
        <v>319.68</v>
      </c>
      <c r="K139" s="179">
        <v>0</v>
      </c>
      <c r="L139" s="190">
        <f>'Regression Results'!$E$20+D139*'Regression Results'!$E$21+E139*'Regression Results'!$E$22+F139*'Regression Results'!$E$23+G139*'Regression Results'!$E$24+H139*'Regression Results'!$E$25+I139*'Regression Results'!$E$26+J139*'Regression Results'!$E$27+K139*'Regression Results'!$E$28</f>
        <v>24505866.906494413</v>
      </c>
      <c r="M139" s="7"/>
      <c r="N139" s="11"/>
    </row>
    <row r="140" spans="1:35">
      <c r="A140" s="173">
        <v>37440</v>
      </c>
      <c r="B140" s="177">
        <v>27860769.610000003</v>
      </c>
      <c r="C140" s="177">
        <v>27860888.410000004</v>
      </c>
      <c r="D140" s="179">
        <v>3.1</v>
      </c>
      <c r="E140" s="179">
        <v>144</v>
      </c>
      <c r="F140" s="185">
        <v>123.67575966778612</v>
      </c>
      <c r="G140" s="188">
        <v>31</v>
      </c>
      <c r="H140" s="188">
        <v>0</v>
      </c>
      <c r="I140" s="14">
        <f>(I187-I127)/60+I139</f>
        <v>29367.566666666673</v>
      </c>
      <c r="J140" s="179">
        <v>351.91199999999998</v>
      </c>
      <c r="K140" s="179">
        <v>0</v>
      </c>
      <c r="L140" s="190">
        <f>'Regression Results'!$E$20+D140*'Regression Results'!$E$21+E140*'Regression Results'!$E$22+F140*'Regression Results'!$E$23+G140*'Regression Results'!$E$24+H140*'Regression Results'!$E$25+I140*'Regression Results'!$E$26+J140*'Regression Results'!$E$27+K140*'Regression Results'!$E$28</f>
        <v>28122610.857331548</v>
      </c>
      <c r="M140" s="7"/>
      <c r="N140" s="11"/>
    </row>
    <row r="141" spans="1:35">
      <c r="A141" s="173">
        <v>37473</v>
      </c>
      <c r="B141" s="177">
        <v>26777815</v>
      </c>
      <c r="C141" s="177">
        <v>26778294.399999999</v>
      </c>
      <c r="D141" s="179">
        <v>9.1</v>
      </c>
      <c r="E141" s="179">
        <v>86.2</v>
      </c>
      <c r="F141" s="185">
        <v>124.04138883603632</v>
      </c>
      <c r="G141" s="188">
        <v>31</v>
      </c>
      <c r="H141" s="188">
        <v>0</v>
      </c>
      <c r="I141" s="14">
        <f>(I187-I127)/60+I140</f>
        <v>29386.53333333334</v>
      </c>
      <c r="J141" s="179">
        <v>336.28800000000001</v>
      </c>
      <c r="K141" s="179">
        <v>0</v>
      </c>
      <c r="L141" s="190">
        <f>'Regression Results'!$E$20+D141*'Regression Results'!$E$21+E141*'Regression Results'!$E$22+F141*'Regression Results'!$E$23+G141*'Regression Results'!$E$24+H141*'Regression Results'!$E$25+I141*'Regression Results'!$E$26+J141*'Regression Results'!$E$27+K141*'Regression Results'!$E$28</f>
        <v>25856602.921461374</v>
      </c>
      <c r="M141" s="7"/>
      <c r="N141" s="11"/>
    </row>
    <row r="142" spans="1:35">
      <c r="A142" s="173">
        <v>37506</v>
      </c>
      <c r="B142" s="177">
        <v>24912435.399999999</v>
      </c>
      <c r="C142" s="177">
        <v>24912965.800000001</v>
      </c>
      <c r="D142" s="179">
        <v>40.200000000000003</v>
      </c>
      <c r="E142" s="179">
        <v>58.4</v>
      </c>
      <c r="F142" s="185">
        <v>124.40809893307186</v>
      </c>
      <c r="G142" s="188">
        <v>30</v>
      </c>
      <c r="H142" s="188">
        <v>1</v>
      </c>
      <c r="I142" s="14">
        <f>(I187-I127)/60+I141</f>
        <v>29405.500000000007</v>
      </c>
      <c r="J142" s="179">
        <v>319.68</v>
      </c>
      <c r="K142" s="179">
        <v>0</v>
      </c>
      <c r="L142" s="190">
        <f>'Regression Results'!$E$20+D142*'Regression Results'!$E$21+E142*'Regression Results'!$E$22+F142*'Regression Results'!$E$23+G142*'Regression Results'!$E$24+H142*'Regression Results'!$E$25+I142*'Regression Results'!$E$26+J142*'Regression Results'!$E$27+K142*'Regression Results'!$E$28</f>
        <v>23978829.845455196</v>
      </c>
      <c r="M142" s="7"/>
      <c r="N142" s="11"/>
    </row>
    <row r="143" spans="1:35">
      <c r="A143" s="173">
        <v>37539</v>
      </c>
      <c r="B143" s="177">
        <v>26099824</v>
      </c>
      <c r="C143" s="177">
        <v>26115846</v>
      </c>
      <c r="D143" s="179">
        <v>335.7</v>
      </c>
      <c r="E143" s="179">
        <v>6.8</v>
      </c>
      <c r="F143" s="185">
        <v>124.7758931544995</v>
      </c>
      <c r="G143" s="188">
        <v>31</v>
      </c>
      <c r="H143" s="188">
        <v>1</v>
      </c>
      <c r="I143" s="14">
        <f>(I187-I127)/60+I142</f>
        <v>29424.466666666674</v>
      </c>
      <c r="J143" s="179">
        <v>351.91199999999998</v>
      </c>
      <c r="K143" s="179">
        <v>0</v>
      </c>
      <c r="L143" s="190">
        <f>'Regression Results'!$E$20+D143*'Regression Results'!$E$21+E143*'Regression Results'!$E$22+F143*'Regression Results'!$E$23+G143*'Regression Results'!$E$24+H143*'Regression Results'!$E$25+I143*'Regression Results'!$E$26+J143*'Regression Results'!$E$27+K143*'Regression Results'!$E$28</f>
        <v>26567644.928442094</v>
      </c>
      <c r="M143" s="7"/>
      <c r="N143" s="11"/>
    </row>
    <row r="144" spans="1:35">
      <c r="A144" s="173">
        <v>37572</v>
      </c>
      <c r="B144" s="177">
        <v>27893629.300000001</v>
      </c>
      <c r="C144" s="177">
        <v>27928531.600000001</v>
      </c>
      <c r="D144" s="179">
        <v>501.1</v>
      </c>
      <c r="E144" s="179">
        <v>0</v>
      </c>
      <c r="F144" s="185">
        <v>125.14477470537335</v>
      </c>
      <c r="G144" s="188">
        <v>30</v>
      </c>
      <c r="H144" s="188">
        <v>1</v>
      </c>
      <c r="I144" s="14">
        <f>(I187-I127)/60+I143</f>
        <v>29443.433333333342</v>
      </c>
      <c r="J144" s="179">
        <v>336.24</v>
      </c>
      <c r="K144" s="179">
        <v>0</v>
      </c>
      <c r="L144" s="190">
        <f>'Regression Results'!$E$20+D144*'Regression Results'!$E$21+E144*'Regression Results'!$E$22+F144*'Regression Results'!$E$23+G144*'Regression Results'!$E$24+H144*'Regression Results'!$E$25+I144*'Regression Results'!$E$26+J144*'Regression Results'!$E$27+K144*'Regression Results'!$E$28</f>
        <v>27832076.457358114</v>
      </c>
      <c r="M144" s="7"/>
      <c r="N144" s="11"/>
    </row>
    <row r="145" spans="1:35" s="22" customFormat="1">
      <c r="A145" s="174">
        <v>37605</v>
      </c>
      <c r="B145" s="177">
        <v>31076200.5</v>
      </c>
      <c r="C145" s="177">
        <v>31114245</v>
      </c>
      <c r="D145" s="179">
        <v>680.5</v>
      </c>
      <c r="E145" s="179">
        <v>0</v>
      </c>
      <c r="F145" s="186">
        <v>125.51474680022261</v>
      </c>
      <c r="G145" s="188">
        <v>31</v>
      </c>
      <c r="H145" s="188">
        <v>0</v>
      </c>
      <c r="I145" s="14">
        <f>(I187-I127)/60+I144</f>
        <v>29462.400000000009</v>
      </c>
      <c r="J145" s="179">
        <v>319.92</v>
      </c>
      <c r="K145" s="179">
        <v>0</v>
      </c>
      <c r="L145" s="190">
        <f>'Regression Results'!$E$20+D145*'Regression Results'!$E$21+E145*'Regression Results'!$E$22+F145*'Regression Results'!$E$23+G145*'Regression Results'!$E$24+H145*'Regression Results'!$E$25+I145*'Regression Results'!$E$26+J145*'Regression Results'!$E$27+K145*'Regression Results'!$E$28</f>
        <v>31162818.1728824</v>
      </c>
      <c r="M145" s="14"/>
      <c r="N145" s="21"/>
      <c r="O145"/>
      <c r="P145"/>
      <c r="Q145"/>
      <c r="R145"/>
      <c r="S145"/>
      <c r="T145"/>
      <c r="U145"/>
      <c r="V145"/>
      <c r="W145"/>
      <c r="X145"/>
      <c r="Y145"/>
      <c r="Z145"/>
      <c r="AA145"/>
      <c r="AB145"/>
      <c r="AC145"/>
      <c r="AD145"/>
      <c r="AE145"/>
      <c r="AF145"/>
      <c r="AG145" s="19"/>
      <c r="AH145" s="19"/>
      <c r="AI145" s="19"/>
    </row>
    <row r="146" spans="1:35">
      <c r="A146" s="173">
        <v>37622</v>
      </c>
      <c r="B146" s="180">
        <v>34037554.049999997</v>
      </c>
      <c r="C146" s="180">
        <v>34073030.100000001</v>
      </c>
      <c r="D146" s="181">
        <v>898.2</v>
      </c>
      <c r="E146" s="181">
        <v>0</v>
      </c>
      <c r="F146" s="185">
        <v>125.66024937363977</v>
      </c>
      <c r="G146" s="188">
        <v>31</v>
      </c>
      <c r="H146" s="188">
        <v>0</v>
      </c>
      <c r="I146" s="14">
        <f>(I187-I127)/60+I145</f>
        <v>29481.366666666676</v>
      </c>
      <c r="J146" s="179">
        <v>351.91199999999998</v>
      </c>
      <c r="K146" s="179">
        <v>0</v>
      </c>
      <c r="L146" s="190">
        <f>'Regression Results'!$E$20+D146*'Regression Results'!$E$21+E146*'Regression Results'!$E$22+F146*'Regression Results'!$E$23+G146*'Regression Results'!$E$24+H146*'Regression Results'!$E$25+I146*'Regression Results'!$E$26+J146*'Regression Results'!$E$27+K146*'Regression Results'!$E$28</f>
        <v>34230865.835556917</v>
      </c>
      <c r="M146" s="7"/>
      <c r="N146" s="11"/>
    </row>
    <row r="147" spans="1:35">
      <c r="A147" s="173">
        <v>37653</v>
      </c>
      <c r="B147" s="180">
        <v>30644281.48</v>
      </c>
      <c r="C147" s="180">
        <v>30698615.260000002</v>
      </c>
      <c r="D147" s="181">
        <v>781.4</v>
      </c>
      <c r="E147" s="181">
        <v>0</v>
      </c>
      <c r="F147" s="185">
        <v>125.80592062045517</v>
      </c>
      <c r="G147" s="188">
        <v>28</v>
      </c>
      <c r="H147" s="188">
        <v>0</v>
      </c>
      <c r="I147" s="14">
        <f>(I187-I127)/60+I146</f>
        <v>29500.333333333343</v>
      </c>
      <c r="J147" s="179">
        <v>319.87200000000001</v>
      </c>
      <c r="K147" s="179">
        <v>0</v>
      </c>
      <c r="L147" s="190">
        <f>'Regression Results'!$E$20+D147*'Regression Results'!$E$21+E147*'Regression Results'!$E$22+F147*'Regression Results'!$E$23+G147*'Regression Results'!$E$24+H147*'Regression Results'!$E$25+I147*'Regression Results'!$E$26+J147*'Regression Results'!$E$27+K147*'Regression Results'!$E$28</f>
        <v>30941569.273004916</v>
      </c>
      <c r="M147" s="7"/>
      <c r="N147" s="11"/>
    </row>
    <row r="148" spans="1:35">
      <c r="A148" s="173">
        <v>37681</v>
      </c>
      <c r="B148" s="180">
        <v>30210538.810000002</v>
      </c>
      <c r="C148" s="180">
        <v>30269472.52</v>
      </c>
      <c r="D148" s="181">
        <v>633.1</v>
      </c>
      <c r="E148" s="181">
        <v>0</v>
      </c>
      <c r="F148" s="185">
        <v>125.9517607362029</v>
      </c>
      <c r="G148" s="188">
        <v>31</v>
      </c>
      <c r="H148" s="188">
        <v>1</v>
      </c>
      <c r="I148" s="14">
        <f>(I187-I127)/60+I147</f>
        <v>29519.30000000001</v>
      </c>
      <c r="J148" s="179">
        <v>336.28800000000001</v>
      </c>
      <c r="K148" s="179">
        <v>0</v>
      </c>
      <c r="L148" s="190">
        <f>'Regression Results'!$E$20+D148*'Regression Results'!$E$21+E148*'Regression Results'!$E$22+F148*'Regression Results'!$E$23+G148*'Regression Results'!$E$24+H148*'Regression Results'!$E$25+I148*'Regression Results'!$E$26+J148*'Regression Results'!$E$27+K148*'Regression Results'!$E$28</f>
        <v>30154895.039889961</v>
      </c>
      <c r="M148" s="7"/>
      <c r="N148" s="11"/>
    </row>
    <row r="149" spans="1:35">
      <c r="A149" s="173">
        <v>37712</v>
      </c>
      <c r="B149" s="180">
        <v>26545801.029999997</v>
      </c>
      <c r="C149" s="180">
        <v>26583793.859999999</v>
      </c>
      <c r="D149" s="181">
        <v>419</v>
      </c>
      <c r="E149" s="181">
        <v>0.3</v>
      </c>
      <c r="F149" s="185">
        <v>126.09776991664374</v>
      </c>
      <c r="G149" s="188">
        <v>30</v>
      </c>
      <c r="H149" s="188">
        <v>1</v>
      </c>
      <c r="I149" s="14">
        <f>(I187-I127)/60+I148</f>
        <v>29538.266666666677</v>
      </c>
      <c r="J149" s="179">
        <v>336.24</v>
      </c>
      <c r="K149" s="179">
        <v>0</v>
      </c>
      <c r="L149" s="190">
        <f>'Regression Results'!$E$20+D149*'Regression Results'!$E$21+E149*'Regression Results'!$E$22+F149*'Regression Results'!$E$23+G149*'Regression Results'!$E$24+H149*'Regression Results'!$E$25+I149*'Regression Results'!$E$26+J149*'Regression Results'!$E$27+K149*'Regression Results'!$E$28</f>
        <v>26896502.014887754</v>
      </c>
      <c r="M149" s="7"/>
      <c r="N149" s="11"/>
    </row>
    <row r="150" spans="1:35">
      <c r="A150" s="173">
        <v>37742</v>
      </c>
      <c r="B150" s="180">
        <v>23990387</v>
      </c>
      <c r="C150" s="180">
        <v>23994002</v>
      </c>
      <c r="D150" s="181">
        <v>187.7</v>
      </c>
      <c r="E150" s="181">
        <v>0</v>
      </c>
      <c r="F150" s="185">
        <v>126.2439483577654</v>
      </c>
      <c r="G150" s="188">
        <v>31</v>
      </c>
      <c r="H150" s="188">
        <v>1</v>
      </c>
      <c r="I150" s="14">
        <f>(I187-I127)/60+I149</f>
        <v>29557.233333333344</v>
      </c>
      <c r="J150" s="179">
        <v>336.28800000000001</v>
      </c>
      <c r="K150" s="179">
        <v>0</v>
      </c>
      <c r="L150" s="190">
        <f>'Regression Results'!$E$20+D150*'Regression Results'!$E$21+E150*'Regression Results'!$E$22+F150*'Regression Results'!$E$23+G150*'Regression Results'!$E$24+H150*'Regression Results'!$E$25+I150*'Regression Results'!$E$26+J150*'Regression Results'!$E$27+K150*'Regression Results'!$E$28</f>
        <v>24438889.472517293</v>
      </c>
      <c r="M150" s="7"/>
      <c r="N150" s="11"/>
    </row>
    <row r="151" spans="1:35">
      <c r="A151" s="173">
        <v>37773</v>
      </c>
      <c r="B151" s="180">
        <v>24221936.5</v>
      </c>
      <c r="C151" s="180">
        <v>24222171.100000001</v>
      </c>
      <c r="D151" s="181">
        <v>46.2</v>
      </c>
      <c r="E151" s="181">
        <v>42</v>
      </c>
      <c r="F151" s="185">
        <v>126.3902962557828</v>
      </c>
      <c r="G151" s="188">
        <v>30</v>
      </c>
      <c r="H151" s="188">
        <v>0</v>
      </c>
      <c r="I151" s="14">
        <f>(I187-I127)/60+I150</f>
        <v>29576.200000000012</v>
      </c>
      <c r="J151" s="179">
        <v>336.24</v>
      </c>
      <c r="K151" s="179">
        <v>0</v>
      </c>
      <c r="L151" s="190">
        <f>'Regression Results'!$E$20+D151*'Regression Results'!$E$21+E151*'Regression Results'!$E$22+F151*'Regression Results'!$E$23+G151*'Regression Results'!$E$24+H151*'Regression Results'!$E$25+I151*'Regression Results'!$E$26+J151*'Regression Results'!$E$27+K151*'Regression Results'!$E$28</f>
        <v>24326785.286246423</v>
      </c>
      <c r="M151" s="7"/>
      <c r="N151" s="11"/>
    </row>
    <row r="152" spans="1:35">
      <c r="A152" s="173">
        <v>37803</v>
      </c>
      <c r="B152" s="180">
        <v>25872222.600000001</v>
      </c>
      <c r="C152" s="180">
        <v>25872222.600000001</v>
      </c>
      <c r="D152" s="181">
        <v>5.0999999999999996</v>
      </c>
      <c r="E152" s="181">
        <v>76.5</v>
      </c>
      <c r="F152" s="185">
        <v>126.5368138071383</v>
      </c>
      <c r="G152" s="188">
        <v>31</v>
      </c>
      <c r="H152" s="188">
        <v>0</v>
      </c>
      <c r="I152" s="14">
        <f>(I187-I127)/60+I151</f>
        <v>29595.166666666679</v>
      </c>
      <c r="J152" s="179">
        <v>351.91199999999998</v>
      </c>
      <c r="K152" s="179">
        <v>0</v>
      </c>
      <c r="L152" s="190">
        <f>'Regression Results'!$E$20+D152*'Regression Results'!$E$21+E152*'Regression Results'!$E$22+F152*'Regression Results'!$E$23+G152*'Regression Results'!$E$24+H152*'Regression Results'!$E$25+I152*'Regression Results'!$E$26+J152*'Regression Results'!$E$27+K152*'Regression Results'!$E$28</f>
        <v>25801202.389125504</v>
      </c>
      <c r="M152" s="7"/>
      <c r="N152" s="11"/>
    </row>
    <row r="153" spans="1:35">
      <c r="A153" s="173">
        <v>37834</v>
      </c>
      <c r="B153" s="180">
        <v>24315843.5</v>
      </c>
      <c r="C153" s="180">
        <v>24315869</v>
      </c>
      <c r="D153" s="181">
        <v>8.1</v>
      </c>
      <c r="E153" s="181">
        <v>102.8</v>
      </c>
      <c r="F153" s="185">
        <v>126.68350120850199</v>
      </c>
      <c r="G153" s="188">
        <v>31</v>
      </c>
      <c r="H153" s="188">
        <v>0</v>
      </c>
      <c r="I153" s="14">
        <f>(I187-I127)/60+I152</f>
        <v>29614.133333333346</v>
      </c>
      <c r="J153" s="179">
        <v>319.92</v>
      </c>
      <c r="K153" s="179">
        <v>1</v>
      </c>
      <c r="L153" s="190">
        <f>'Regression Results'!$E$20+D153*'Regression Results'!$E$21+E153*'Regression Results'!$E$22+F153*'Regression Results'!$E$23+G153*'Regression Results'!$E$24+H153*'Regression Results'!$E$25+I153*'Regression Results'!$E$26+J153*'Regression Results'!$E$27+K153*'Regression Results'!$E$28</f>
        <v>24315869.000000011</v>
      </c>
      <c r="M153" s="7"/>
      <c r="N153" s="11"/>
    </row>
    <row r="154" spans="1:35">
      <c r="A154" s="173">
        <v>37865</v>
      </c>
      <c r="B154" s="180">
        <v>23427750.5</v>
      </c>
      <c r="C154" s="180">
        <v>23433555</v>
      </c>
      <c r="D154" s="181">
        <v>65.599999999999994</v>
      </c>
      <c r="E154" s="181">
        <v>10.6</v>
      </c>
      <c r="F154" s="185">
        <v>126.83035865677196</v>
      </c>
      <c r="G154" s="188">
        <v>30</v>
      </c>
      <c r="H154" s="188">
        <v>1</v>
      </c>
      <c r="I154" s="14">
        <f>(I187-I127)/60+I153</f>
        <v>29633.100000000013</v>
      </c>
      <c r="J154" s="179">
        <v>336.24</v>
      </c>
      <c r="K154" s="179">
        <v>0</v>
      </c>
      <c r="L154" s="190">
        <f>'Regression Results'!$E$20+D154*'Regression Results'!$E$21+E154*'Regression Results'!$E$22+F154*'Regression Results'!$E$23+G154*'Regression Results'!$E$24+H154*'Regression Results'!$E$25+I154*'Regression Results'!$E$26+J154*'Regression Results'!$E$27+K154*'Regression Results'!$E$28</f>
        <v>22837560.254527345</v>
      </c>
      <c r="M154" s="7"/>
      <c r="N154" s="11"/>
    </row>
    <row r="155" spans="1:35">
      <c r="A155" s="173">
        <v>37895</v>
      </c>
      <c r="B155" s="180">
        <v>25664939.34</v>
      </c>
      <c r="C155" s="180">
        <v>25678834.780000001</v>
      </c>
      <c r="D155" s="181">
        <v>305.3</v>
      </c>
      <c r="E155" s="181">
        <v>0</v>
      </c>
      <c r="F155" s="185">
        <v>126.97738634907456</v>
      </c>
      <c r="G155" s="188">
        <v>31</v>
      </c>
      <c r="H155" s="188">
        <v>1</v>
      </c>
      <c r="I155" s="14">
        <f>(I187-I127)/60+I154</f>
        <v>29652.06666666668</v>
      </c>
      <c r="J155" s="179">
        <v>351.91199999999998</v>
      </c>
      <c r="K155" s="179">
        <v>0</v>
      </c>
      <c r="L155" s="190">
        <f>'Regression Results'!$E$20+D155*'Regression Results'!$E$21+E155*'Regression Results'!$E$22+F155*'Regression Results'!$E$23+G155*'Regression Results'!$E$24+H155*'Regression Results'!$E$25+I155*'Regression Results'!$E$26+J155*'Regression Results'!$E$27+K155*'Regression Results'!$E$28</f>
        <v>26180916.395543858</v>
      </c>
      <c r="M155" s="7"/>
      <c r="N155" s="11"/>
    </row>
    <row r="156" spans="1:35">
      <c r="A156" s="173">
        <v>37926</v>
      </c>
      <c r="B156" s="180">
        <v>27187606.439999998</v>
      </c>
      <c r="C156" s="180">
        <v>27201096.18</v>
      </c>
      <c r="D156" s="181">
        <v>438.5</v>
      </c>
      <c r="E156" s="181">
        <v>0</v>
      </c>
      <c r="F156" s="185">
        <v>127.12458448276465</v>
      </c>
      <c r="G156" s="188">
        <v>30</v>
      </c>
      <c r="H156" s="188">
        <v>1</v>
      </c>
      <c r="I156" s="14">
        <f>(I187-I127)/60+I155</f>
        <v>29671.033333333347</v>
      </c>
      <c r="J156" s="179">
        <v>319.68</v>
      </c>
      <c r="K156" s="179">
        <v>0</v>
      </c>
      <c r="L156" s="190">
        <f>'Regression Results'!$E$20+D156*'Regression Results'!$E$21+E156*'Regression Results'!$E$22+F156*'Regression Results'!$E$23+G156*'Regression Results'!$E$24+H156*'Regression Results'!$E$25+I156*'Regression Results'!$E$26+J156*'Regression Results'!$E$27+K156*'Regression Results'!$E$28</f>
        <v>27168871.288497344</v>
      </c>
      <c r="M156" s="7"/>
      <c r="N156" s="11"/>
    </row>
    <row r="157" spans="1:35">
      <c r="A157" s="173">
        <v>37956</v>
      </c>
      <c r="B157" s="180">
        <v>30381935.739999998</v>
      </c>
      <c r="C157" s="180">
        <f>30416037.28+37</f>
        <v>30416074.280000001</v>
      </c>
      <c r="D157" s="181">
        <v>631.4</v>
      </c>
      <c r="E157" s="181">
        <v>0</v>
      </c>
      <c r="F157" s="186">
        <v>127.27195325542573</v>
      </c>
      <c r="G157" s="188">
        <v>31</v>
      </c>
      <c r="H157" s="188">
        <v>0</v>
      </c>
      <c r="I157" s="14">
        <f>(I187-I127)/60+I156</f>
        <v>29690.000000000015</v>
      </c>
      <c r="J157" s="179">
        <v>336.28800000000001</v>
      </c>
      <c r="K157" s="179">
        <v>0</v>
      </c>
      <c r="L157" s="190">
        <f>'Regression Results'!$E$20+D157*'Regression Results'!$E$21+E157*'Regression Results'!$E$22+F157*'Regression Results'!$E$23+G157*'Regression Results'!$E$24+H157*'Regression Results'!$E$25+I157*'Regression Results'!$E$26+J157*'Regression Results'!$E$27+K157*'Regression Results'!$E$28</f>
        <v>30906320.830154691</v>
      </c>
      <c r="M157" s="7"/>
      <c r="N157" s="11"/>
    </row>
    <row r="158" spans="1:35">
      <c r="A158" s="173">
        <v>37987</v>
      </c>
      <c r="B158" s="180">
        <v>34890232.200000003</v>
      </c>
      <c r="C158" s="180">
        <v>34930219.090000004</v>
      </c>
      <c r="D158" s="181">
        <v>949.8</v>
      </c>
      <c r="E158" s="181">
        <v>0</v>
      </c>
      <c r="F158" s="185">
        <v>127.53411264087498</v>
      </c>
      <c r="G158" s="188">
        <v>31</v>
      </c>
      <c r="H158" s="188">
        <v>0</v>
      </c>
      <c r="I158" s="14">
        <f>(I187-I127)/60+I157</f>
        <v>29708.966666666682</v>
      </c>
      <c r="J158" s="179">
        <v>336.28800000000001</v>
      </c>
      <c r="K158" s="179">
        <v>0</v>
      </c>
      <c r="L158" s="190">
        <f>'Regression Results'!$E$20+D158*'Regression Results'!$E$21+E158*'Regression Results'!$E$22+F158*'Regression Results'!$E$23+G158*'Regression Results'!$E$24+H158*'Regression Results'!$E$25+I158*'Regression Results'!$E$26+J158*'Regression Results'!$E$27+K158*'Regression Results'!$E$28</f>
        <v>35048246.523343883</v>
      </c>
      <c r="M158" s="7"/>
      <c r="N158" s="11"/>
    </row>
    <row r="159" spans="1:35">
      <c r="A159" s="173">
        <v>38018</v>
      </c>
      <c r="B159" s="180">
        <v>29973124.079999998</v>
      </c>
      <c r="C159" s="180">
        <v>29994639.350000001</v>
      </c>
      <c r="D159" s="181">
        <v>684.2</v>
      </c>
      <c r="E159" s="181">
        <v>0</v>
      </c>
      <c r="F159" s="185">
        <v>127.79681203173486</v>
      </c>
      <c r="G159" s="188">
        <v>29</v>
      </c>
      <c r="H159" s="188">
        <v>0</v>
      </c>
      <c r="I159" s="14">
        <f>(I187-I127)/60+I158</f>
        <v>29727.933333333349</v>
      </c>
      <c r="J159" s="179">
        <v>320.16000000000003</v>
      </c>
      <c r="K159" s="179">
        <v>0</v>
      </c>
      <c r="L159" s="190">
        <f>'Regression Results'!$E$20+D159*'Regression Results'!$E$21+E159*'Regression Results'!$E$22+F159*'Regression Results'!$E$23+G159*'Regression Results'!$E$24+H159*'Regression Results'!$E$25+I159*'Regression Results'!$E$26+J159*'Regression Results'!$E$27+K159*'Regression Results'!$E$28</f>
        <v>30476089.328006901</v>
      </c>
      <c r="M159" s="7"/>
      <c r="N159" s="11"/>
    </row>
    <row r="160" spans="1:35">
      <c r="A160" s="173">
        <v>38047</v>
      </c>
      <c r="B160" s="180">
        <v>29540775.48</v>
      </c>
      <c r="C160" s="180">
        <v>29562625.77</v>
      </c>
      <c r="D160" s="181">
        <v>559.20000000000005</v>
      </c>
      <c r="E160" s="181">
        <v>0</v>
      </c>
      <c r="F160" s="185">
        <v>128.06005254032812</v>
      </c>
      <c r="G160" s="188">
        <v>31</v>
      </c>
      <c r="H160" s="188">
        <v>1</v>
      </c>
      <c r="I160" s="14">
        <f>(I187-I127)/60+I159</f>
        <v>29746.900000000016</v>
      </c>
      <c r="J160" s="179">
        <v>368.28</v>
      </c>
      <c r="K160" s="179">
        <v>0</v>
      </c>
      <c r="L160" s="190">
        <f>'Regression Results'!$E$20+D160*'Regression Results'!$E$21+E160*'Regression Results'!$E$22+F160*'Regression Results'!$E$23+G160*'Regression Results'!$E$24+H160*'Regression Results'!$E$25+I160*'Regression Results'!$E$26+J160*'Regression Results'!$E$27+K160*'Regression Results'!$E$28</f>
        <v>29700226.361166149</v>
      </c>
      <c r="M160" s="7"/>
      <c r="N160" s="11"/>
    </row>
    <row r="161" spans="1:14">
      <c r="A161" s="173">
        <v>38078</v>
      </c>
      <c r="B161" s="180">
        <v>25621395.010000002</v>
      </c>
      <c r="C161" s="180">
        <v>25637792.969999999</v>
      </c>
      <c r="D161" s="181">
        <v>360.4</v>
      </c>
      <c r="E161" s="181">
        <v>0</v>
      </c>
      <c r="F161" s="185">
        <v>128.32383528126866</v>
      </c>
      <c r="G161" s="188">
        <v>30</v>
      </c>
      <c r="H161" s="188">
        <v>1</v>
      </c>
      <c r="I161" s="14">
        <f>(I187-I127)/60+I160</f>
        <v>29765.866666666683</v>
      </c>
      <c r="J161" s="179">
        <v>336.24</v>
      </c>
      <c r="K161" s="179">
        <v>0</v>
      </c>
      <c r="L161" s="190">
        <f>'Regression Results'!$E$20+D161*'Regression Results'!$E$21+E161*'Regression Results'!$E$22+F161*'Regression Results'!$E$23+G161*'Regression Results'!$E$24+H161*'Regression Results'!$E$25+I161*'Regression Results'!$E$26+J161*'Regression Results'!$E$27+K161*'Regression Results'!$E$28</f>
        <v>26399741.389264401</v>
      </c>
      <c r="M161" s="7"/>
      <c r="N161" s="11"/>
    </row>
    <row r="162" spans="1:14">
      <c r="A162" s="173">
        <v>38108</v>
      </c>
      <c r="B162" s="180">
        <v>24327327.669999998</v>
      </c>
      <c r="C162" s="180">
        <v>24329403.699999999</v>
      </c>
      <c r="D162" s="181">
        <v>187.6</v>
      </c>
      <c r="E162" s="181">
        <v>8.6</v>
      </c>
      <c r="F162" s="185">
        <v>128.58816137146633</v>
      </c>
      <c r="G162" s="188">
        <v>31</v>
      </c>
      <c r="H162" s="188">
        <v>1</v>
      </c>
      <c r="I162" s="14">
        <f>(I187-I127)/60+I161</f>
        <v>29784.83333333335</v>
      </c>
      <c r="J162" s="179">
        <v>319.92</v>
      </c>
      <c r="K162" s="179">
        <v>0</v>
      </c>
      <c r="L162" s="190">
        <f>'Regression Results'!$E$20+D162*'Regression Results'!$E$21+E162*'Regression Results'!$E$22+F162*'Regression Results'!$E$23+G162*'Regression Results'!$E$24+H162*'Regression Results'!$E$25+I162*'Regression Results'!$E$26+J162*'Regression Results'!$E$27+K162*'Regression Results'!$E$28</f>
        <v>24931094.334449116</v>
      </c>
      <c r="M162" s="7"/>
      <c r="N162" s="11"/>
    </row>
    <row r="163" spans="1:14">
      <c r="A163" s="173">
        <v>38139</v>
      </c>
      <c r="B163" s="180">
        <v>23822703.920000002</v>
      </c>
      <c r="C163" s="180">
        <v>23822703.920000002</v>
      </c>
      <c r="D163" s="181">
        <v>58.9</v>
      </c>
      <c r="E163" s="181">
        <v>25.5</v>
      </c>
      <c r="F163" s="185">
        <v>128.85303193013166</v>
      </c>
      <c r="G163" s="188">
        <v>30</v>
      </c>
      <c r="H163" s="188">
        <v>0</v>
      </c>
      <c r="I163" s="14">
        <f>(I187-I127)/60+I162</f>
        <v>29803.800000000017</v>
      </c>
      <c r="J163" s="179">
        <v>352.08</v>
      </c>
      <c r="K163" s="179">
        <v>0</v>
      </c>
      <c r="L163" s="190">
        <f>'Regression Results'!$E$20+D163*'Regression Results'!$E$21+E163*'Regression Results'!$E$22+F163*'Regression Results'!$E$23+G163*'Regression Results'!$E$24+H163*'Regression Results'!$E$25+I163*'Regression Results'!$E$26+J163*'Regression Results'!$E$27+K163*'Regression Results'!$E$28</f>
        <v>24240040.691193089</v>
      </c>
      <c r="M163" s="7"/>
      <c r="N163" s="11"/>
    </row>
    <row r="164" spans="1:14">
      <c r="A164" s="173">
        <v>38169</v>
      </c>
      <c r="B164" s="180">
        <v>25281708.670000002</v>
      </c>
      <c r="C164" s="180">
        <v>25281708.670000002</v>
      </c>
      <c r="D164" s="181">
        <v>8.3000000000000007</v>
      </c>
      <c r="E164" s="181">
        <v>72</v>
      </c>
      <c r="F164" s="185">
        <v>129.11844807878055</v>
      </c>
      <c r="G164" s="188">
        <v>31</v>
      </c>
      <c r="H164" s="188">
        <v>0</v>
      </c>
      <c r="I164" s="14">
        <f>(I187-I127)/60+I163</f>
        <v>29822.766666666685</v>
      </c>
      <c r="J164" s="179">
        <v>336.28800000000001</v>
      </c>
      <c r="K164" s="179">
        <v>0</v>
      </c>
      <c r="L164" s="190">
        <f>'Regression Results'!$E$20+D164*'Regression Results'!$E$21+E164*'Regression Results'!$E$22+F164*'Regression Results'!$E$23+G164*'Regression Results'!$E$24+H164*'Regression Results'!$E$25+I164*'Regression Results'!$E$26+J164*'Regression Results'!$E$27+K164*'Regression Results'!$E$28</f>
        <v>25836082.21928665</v>
      </c>
      <c r="M164" s="7"/>
      <c r="N164" s="11"/>
    </row>
    <row r="165" spans="1:14">
      <c r="A165" s="173">
        <v>38200</v>
      </c>
      <c r="B165" s="180">
        <v>24966200.859999999</v>
      </c>
      <c r="C165" s="180">
        <v>24966200.859999999</v>
      </c>
      <c r="D165" s="181">
        <v>14</v>
      </c>
      <c r="E165" s="181">
        <v>32</v>
      </c>
      <c r="F165" s="185">
        <v>129.38441094123903</v>
      </c>
      <c r="G165" s="188">
        <v>31</v>
      </c>
      <c r="H165" s="188">
        <v>0</v>
      </c>
      <c r="I165" s="14">
        <f>(I187-I127)/60+I164</f>
        <v>29841.733333333352</v>
      </c>
      <c r="J165" s="179">
        <v>336.28800000000001</v>
      </c>
      <c r="K165" s="179">
        <v>0</v>
      </c>
      <c r="L165" s="190">
        <f>'Regression Results'!$E$20+D165*'Regression Results'!$E$21+E165*'Regression Results'!$E$22+F165*'Regression Results'!$E$23+G165*'Regression Results'!$E$24+H165*'Regression Results'!$E$25+I165*'Regression Results'!$E$26+J165*'Regression Results'!$E$27+K165*'Regression Results'!$E$28</f>
        <v>24371932.742171746</v>
      </c>
      <c r="M165" s="7"/>
      <c r="N165" s="11"/>
    </row>
    <row r="166" spans="1:14">
      <c r="A166" s="173">
        <v>38231</v>
      </c>
      <c r="B166" s="180">
        <v>24347913.57</v>
      </c>
      <c r="C166" s="180">
        <v>24347913.57</v>
      </c>
      <c r="D166" s="181">
        <v>48.9</v>
      </c>
      <c r="E166" s="181">
        <v>28.1</v>
      </c>
      <c r="F166" s="185">
        <v>129.65092164364802</v>
      </c>
      <c r="G166" s="188">
        <v>30</v>
      </c>
      <c r="H166" s="188">
        <v>1</v>
      </c>
      <c r="I166" s="14">
        <f>(I187-I127)/60+I165</f>
        <v>29860.700000000019</v>
      </c>
      <c r="J166" s="179">
        <v>336.24</v>
      </c>
      <c r="K166" s="179">
        <v>0</v>
      </c>
      <c r="L166" s="190">
        <f>'Regression Results'!$E$20+D166*'Regression Results'!$E$21+E166*'Regression Results'!$E$22+F166*'Regression Results'!$E$23+G166*'Regression Results'!$E$24+H166*'Regression Results'!$E$25+I166*'Regression Results'!$E$26+J166*'Regression Results'!$E$27+K166*'Regression Results'!$E$28</f>
        <v>23594109.899055209</v>
      </c>
      <c r="M166" s="7"/>
      <c r="N166" s="11"/>
    </row>
    <row r="167" spans="1:14">
      <c r="A167" s="173">
        <v>38261</v>
      </c>
      <c r="B167" s="180">
        <v>25098899.329999998</v>
      </c>
      <c r="C167" s="180">
        <v>25098899.329999998</v>
      </c>
      <c r="D167" s="181">
        <v>265.60000000000002</v>
      </c>
      <c r="E167" s="181">
        <v>0</v>
      </c>
      <c r="F167" s="185">
        <v>129.91798131446814</v>
      </c>
      <c r="G167" s="188">
        <v>31</v>
      </c>
      <c r="H167" s="188">
        <v>1</v>
      </c>
      <c r="I167" s="14">
        <f>(I187-I127)/60+I166</f>
        <v>29879.666666666686</v>
      </c>
      <c r="J167" s="179">
        <v>319.92</v>
      </c>
      <c r="K167" s="179">
        <v>0</v>
      </c>
      <c r="L167" s="190">
        <f>'Regression Results'!$E$20+D167*'Regression Results'!$E$21+E167*'Regression Results'!$E$22+F167*'Regression Results'!$E$23+G167*'Regression Results'!$E$24+H167*'Regression Results'!$E$25+I167*'Regression Results'!$E$26+J167*'Regression Results'!$E$27+K167*'Regression Results'!$E$28</f>
        <v>25728205.131845657</v>
      </c>
      <c r="M167" s="7"/>
      <c r="N167" s="11"/>
    </row>
    <row r="168" spans="1:14">
      <c r="A168" s="173">
        <v>38292</v>
      </c>
      <c r="B168" s="180">
        <v>27248345.644912958</v>
      </c>
      <c r="C168" s="180">
        <v>28159682.260000002</v>
      </c>
      <c r="D168" s="181">
        <v>434.9</v>
      </c>
      <c r="E168" s="181">
        <v>0</v>
      </c>
      <c r="F168" s="185">
        <v>130.18559108448443</v>
      </c>
      <c r="G168" s="188">
        <v>30</v>
      </c>
      <c r="H168" s="188">
        <v>1</v>
      </c>
      <c r="I168" s="14">
        <f>(I187-I127)/60+I167</f>
        <v>29898.633333333353</v>
      </c>
      <c r="J168" s="179">
        <v>352.08</v>
      </c>
      <c r="K168" s="179">
        <v>0</v>
      </c>
      <c r="L168" s="190">
        <f>'Regression Results'!$E$20+D168*'Regression Results'!$E$21+E168*'Regression Results'!$E$22+F168*'Regression Results'!$E$23+G168*'Regression Results'!$E$24+H168*'Regression Results'!$E$25+I168*'Regression Results'!$E$26+J168*'Regression Results'!$E$27+K168*'Regression Results'!$E$28</f>
        <v>27651962.590881035</v>
      </c>
      <c r="M168" s="7"/>
      <c r="N168" s="11"/>
    </row>
    <row r="169" spans="1:14">
      <c r="A169" s="173">
        <v>38322</v>
      </c>
      <c r="B169" s="180">
        <v>32410119.083133463</v>
      </c>
      <c r="C169" s="180">
        <f>33452469.94-1202</f>
        <v>33451267.940000001</v>
      </c>
      <c r="D169" s="181">
        <v>742.6</v>
      </c>
      <c r="E169" s="181">
        <v>0</v>
      </c>
      <c r="F169" s="186">
        <v>130.45375208681136</v>
      </c>
      <c r="G169" s="188">
        <v>31</v>
      </c>
      <c r="H169" s="188">
        <v>0</v>
      </c>
      <c r="I169" s="14">
        <f>(I187-I127)/60+I168</f>
        <v>29917.60000000002</v>
      </c>
      <c r="J169" s="179">
        <v>336.28800000000001</v>
      </c>
      <c r="K169" s="179">
        <v>0</v>
      </c>
      <c r="L169" s="190">
        <f>'Regression Results'!$E$20+D169*'Regression Results'!$E$21+E169*'Regression Results'!$E$22+F169*'Regression Results'!$E$23+G169*'Regression Results'!$E$24+H169*'Regression Results'!$E$25+I169*'Regression Results'!$E$26+J169*'Regression Results'!$E$27+K169*'Regression Results'!$E$28</f>
        <v>32642773.514761489</v>
      </c>
      <c r="M169" s="7"/>
      <c r="N169" s="11"/>
    </row>
    <row r="170" spans="1:14">
      <c r="A170" s="173">
        <v>38353</v>
      </c>
      <c r="B170" s="180">
        <v>34467256.984796904</v>
      </c>
      <c r="C170" s="180">
        <v>35565108.420000002</v>
      </c>
      <c r="D170" s="181">
        <v>849.1</v>
      </c>
      <c r="E170" s="181">
        <v>0</v>
      </c>
      <c r="F170" s="185">
        <v>130.74370215685079</v>
      </c>
      <c r="G170" s="188">
        <v>31</v>
      </c>
      <c r="H170" s="188">
        <v>0</v>
      </c>
      <c r="I170" s="14">
        <f>(I187-I127)/60+I169</f>
        <v>29936.566666666688</v>
      </c>
      <c r="J170" s="179">
        <v>319.92</v>
      </c>
      <c r="K170" s="179">
        <v>0</v>
      </c>
      <c r="L170" s="190">
        <f>'Regression Results'!$E$20+D170*'Regression Results'!$E$21+E170*'Regression Results'!$E$22+F170*'Regression Results'!$E$23+G170*'Regression Results'!$E$24+H170*'Regression Results'!$E$25+I170*'Regression Results'!$E$26+J170*'Regression Results'!$E$27+K170*'Regression Results'!$E$28</f>
        <v>33927051.980892032</v>
      </c>
      <c r="M170" s="7"/>
      <c r="N170" s="11"/>
    </row>
    <row r="171" spans="1:14">
      <c r="A171" s="173">
        <v>38384</v>
      </c>
      <c r="B171" s="180">
        <v>29575784.497852996</v>
      </c>
      <c r="C171" s="180">
        <v>30518798.670000002</v>
      </c>
      <c r="D171" s="181">
        <v>671.5</v>
      </c>
      <c r="E171" s="181">
        <v>0</v>
      </c>
      <c r="F171" s="185">
        <v>131.0342966778299</v>
      </c>
      <c r="G171" s="188">
        <v>28</v>
      </c>
      <c r="H171" s="188">
        <v>0</v>
      </c>
      <c r="I171" s="14">
        <f>(I187-I127)/60+I170</f>
        <v>29955.533333333355</v>
      </c>
      <c r="J171" s="179">
        <v>319.87200000000001</v>
      </c>
      <c r="K171" s="179">
        <v>0</v>
      </c>
      <c r="L171" s="190">
        <f>'Regression Results'!$E$20+D171*'Regression Results'!$E$21+E171*'Regression Results'!$E$22+F171*'Regression Results'!$E$23+G171*'Regression Results'!$E$24+H171*'Regression Results'!$E$25+I171*'Regression Results'!$E$26+J171*'Regression Results'!$E$27+K171*'Regression Results'!$E$28</f>
        <v>30086890.19958894</v>
      </c>
      <c r="M171" s="7"/>
      <c r="N171" s="11"/>
    </row>
    <row r="172" spans="1:14">
      <c r="A172" s="173">
        <v>38412</v>
      </c>
      <c r="B172" s="180">
        <v>30478804.236634426</v>
      </c>
      <c r="C172" s="180">
        <v>31447259.02</v>
      </c>
      <c r="D172" s="181">
        <v>651.4</v>
      </c>
      <c r="E172" s="181">
        <v>0</v>
      </c>
      <c r="F172" s="185">
        <v>131.32553708212293</v>
      </c>
      <c r="G172" s="188">
        <v>31</v>
      </c>
      <c r="H172" s="188">
        <v>1</v>
      </c>
      <c r="I172" s="14">
        <f>(I187-I127)/60+I171</f>
        <v>29974.500000000022</v>
      </c>
      <c r="J172" s="179">
        <v>351.91199999999998</v>
      </c>
      <c r="K172" s="179">
        <v>0</v>
      </c>
      <c r="L172" s="190">
        <f>'Regression Results'!$E$20+D172*'Regression Results'!$E$21+E172*'Regression Results'!$E$22+F172*'Regression Results'!$E$23+G172*'Regression Results'!$E$24+H172*'Regression Results'!$E$25+I172*'Regression Results'!$E$26+J172*'Regression Results'!$E$27+K172*'Regression Results'!$E$28</f>
        <v>31074871.399413384</v>
      </c>
      <c r="M172" s="7"/>
      <c r="N172" s="11"/>
    </row>
    <row r="173" spans="1:14">
      <c r="A173" s="173">
        <v>38443</v>
      </c>
      <c r="B173" s="180">
        <v>25464493.330986459</v>
      </c>
      <c r="C173" s="180">
        <v>26261931.359999999</v>
      </c>
      <c r="D173" s="181">
        <v>338.5</v>
      </c>
      <c r="E173" s="181">
        <v>0</v>
      </c>
      <c r="F173" s="185">
        <v>131.61742480528775</v>
      </c>
      <c r="G173" s="188">
        <v>30</v>
      </c>
      <c r="H173" s="188">
        <v>1</v>
      </c>
      <c r="I173" s="14">
        <f>(I187-I127)/60+I172</f>
        <v>29993.466666666689</v>
      </c>
      <c r="J173" s="179">
        <v>336.24</v>
      </c>
      <c r="K173" s="179">
        <v>0</v>
      </c>
      <c r="L173" s="190">
        <f>'Regression Results'!$E$20+D173*'Regression Results'!$E$21+E173*'Regression Results'!$E$22+F173*'Regression Results'!$E$23+G173*'Regression Results'!$E$24+H173*'Regression Results'!$E$25+I173*'Regression Results'!$E$26+J173*'Regression Results'!$E$27+K173*'Regression Results'!$E$28</f>
        <v>26418146.720579907</v>
      </c>
      <c r="M173" s="7"/>
      <c r="N173" s="11"/>
    </row>
    <row r="174" spans="1:14">
      <c r="A174" s="173">
        <v>38473</v>
      </c>
      <c r="B174" s="180">
        <v>24295059.615048356</v>
      </c>
      <c r="C174" s="180">
        <v>25062170.940000001</v>
      </c>
      <c r="D174" s="181">
        <v>202.9</v>
      </c>
      <c r="E174" s="181">
        <v>0</v>
      </c>
      <c r="F174" s="185">
        <v>131.90996128607298</v>
      </c>
      <c r="G174" s="188">
        <v>31</v>
      </c>
      <c r="H174" s="188">
        <v>1</v>
      </c>
      <c r="I174" s="14">
        <f>(I187-I127)/60+I173</f>
        <v>30012.433333333356</v>
      </c>
      <c r="J174" s="179">
        <v>336.28800000000001</v>
      </c>
      <c r="K174" s="179">
        <v>0</v>
      </c>
      <c r="L174" s="190">
        <f>'Regression Results'!$E$20+D174*'Regression Results'!$E$21+E174*'Regression Results'!$E$22+F174*'Regression Results'!$E$23+G174*'Regression Results'!$E$24+H174*'Regression Results'!$E$25+I174*'Regression Results'!$E$26+J174*'Regression Results'!$E$27+K174*'Regression Results'!$E$28</f>
        <v>25213681.08730951</v>
      </c>
      <c r="M174" s="7"/>
      <c r="N174" s="11"/>
    </row>
    <row r="175" spans="1:14">
      <c r="A175" s="173">
        <v>38504</v>
      </c>
      <c r="B175" s="180">
        <v>26795837.357969053</v>
      </c>
      <c r="C175" s="180">
        <v>27667587.710000001</v>
      </c>
      <c r="D175" s="181">
        <v>15.3</v>
      </c>
      <c r="E175" s="181">
        <v>109.7</v>
      </c>
      <c r="F175" s="185">
        <v>132.20314796642501</v>
      </c>
      <c r="G175" s="188">
        <v>30</v>
      </c>
      <c r="H175" s="188">
        <v>0</v>
      </c>
      <c r="I175" s="14">
        <f>(I187-I127)/60+I174</f>
        <v>30031.400000000023</v>
      </c>
      <c r="J175" s="179">
        <v>352.08</v>
      </c>
      <c r="K175" s="179">
        <v>0</v>
      </c>
      <c r="L175" s="190">
        <f>'Regression Results'!$E$20+D175*'Regression Results'!$E$21+E175*'Regression Results'!$E$22+F175*'Regression Results'!$E$23+G175*'Regression Results'!$E$24+H175*'Regression Results'!$E$25+I175*'Regression Results'!$E$26+J175*'Regression Results'!$E$27+K175*'Regression Results'!$E$28</f>
        <v>27268982.497478627</v>
      </c>
      <c r="M175" s="7"/>
      <c r="N175" s="11"/>
    </row>
    <row r="176" spans="1:14">
      <c r="A176" s="173">
        <v>38534</v>
      </c>
      <c r="B176" s="180">
        <v>27885210.383984525</v>
      </c>
      <c r="C176" s="180">
        <v>28823088.559999999</v>
      </c>
      <c r="D176" s="181">
        <v>1.2</v>
      </c>
      <c r="E176" s="181">
        <v>152.69999999999999</v>
      </c>
      <c r="F176" s="185">
        <v>132.49698629149512</v>
      </c>
      <c r="G176" s="188">
        <v>31</v>
      </c>
      <c r="H176" s="188">
        <v>0</v>
      </c>
      <c r="I176" s="14">
        <f>(I187-I127)/60+I175</f>
        <v>30050.36666666669</v>
      </c>
      <c r="J176" s="179">
        <v>319.92</v>
      </c>
      <c r="K176" s="179">
        <v>0</v>
      </c>
      <c r="L176" s="190">
        <f>'Regression Results'!$E$20+D176*'Regression Results'!$E$21+E176*'Regression Results'!$E$22+F176*'Regression Results'!$E$23+G176*'Regression Results'!$E$24+H176*'Regression Results'!$E$25+I176*'Regression Results'!$E$26+J176*'Regression Results'!$E$27+K176*'Regression Results'!$E$28</f>
        <v>29082632.020065501</v>
      </c>
      <c r="M176" s="7"/>
      <c r="N176" s="11"/>
    </row>
    <row r="177" spans="1:14">
      <c r="A177" s="173">
        <v>38565</v>
      </c>
      <c r="B177" s="180">
        <v>27356194.781160541</v>
      </c>
      <c r="C177" s="180">
        <v>28281113.579999998</v>
      </c>
      <c r="D177" s="181">
        <v>1.9</v>
      </c>
      <c r="E177" s="181">
        <v>104.7</v>
      </c>
      <c r="F177" s="185">
        <v>132.79147770964664</v>
      </c>
      <c r="G177" s="188">
        <v>31</v>
      </c>
      <c r="H177" s="188">
        <v>0</v>
      </c>
      <c r="I177" s="14">
        <f>(I187-I127)/60+I176</f>
        <v>30069.333333333358</v>
      </c>
      <c r="J177" s="179">
        <v>351.91199999999998</v>
      </c>
      <c r="K177" s="179">
        <v>0</v>
      </c>
      <c r="L177" s="190">
        <f>'Regression Results'!$E$20+D177*'Regression Results'!$E$21+E177*'Regression Results'!$E$22+F177*'Regression Results'!$E$23+G177*'Regression Results'!$E$24+H177*'Regression Results'!$E$25+I177*'Regression Results'!$E$26+J177*'Regression Results'!$E$27+K177*'Regression Results'!$E$28</f>
        <v>27473447.719856516</v>
      </c>
      <c r="M177" s="7"/>
      <c r="N177" s="11"/>
    </row>
    <row r="178" spans="1:14">
      <c r="A178" s="173">
        <v>38596</v>
      </c>
      <c r="B178" s="180">
        <v>24862127.429535784</v>
      </c>
      <c r="C178" s="180">
        <v>25701133.710000001</v>
      </c>
      <c r="D178" s="181">
        <v>48.9</v>
      </c>
      <c r="E178" s="181">
        <v>38.4</v>
      </c>
      <c r="F178" s="185">
        <v>133.08662367246211</v>
      </c>
      <c r="G178" s="188">
        <v>30</v>
      </c>
      <c r="H178" s="188">
        <v>1</v>
      </c>
      <c r="I178" s="14">
        <f>(I187-I127)/60+I177</f>
        <v>30088.300000000025</v>
      </c>
      <c r="J178" s="179">
        <v>336.24</v>
      </c>
      <c r="K178" s="179">
        <v>0</v>
      </c>
      <c r="L178" s="190">
        <f>'Regression Results'!$E$20+D178*'Regression Results'!$E$21+E178*'Regression Results'!$E$22+F178*'Regression Results'!$E$23+G178*'Regression Results'!$E$24+H178*'Regression Results'!$E$25+I178*'Regression Results'!$E$26+J178*'Regression Results'!$E$27+K178*'Regression Results'!$E$28</f>
        <v>24301952.650464486</v>
      </c>
      <c r="M178" s="7"/>
      <c r="N178" s="11"/>
    </row>
    <row r="179" spans="1:14">
      <c r="A179" s="173">
        <v>38626</v>
      </c>
      <c r="B179" s="180">
        <v>25469009.227949712</v>
      </c>
      <c r="C179" s="180">
        <v>26314163.050000001</v>
      </c>
      <c r="D179" s="181">
        <v>247.7</v>
      </c>
      <c r="E179" s="181">
        <v>6.1</v>
      </c>
      <c r="F179" s="185">
        <v>133.38242563475035</v>
      </c>
      <c r="G179" s="188">
        <v>31</v>
      </c>
      <c r="H179" s="188">
        <v>1</v>
      </c>
      <c r="I179" s="14">
        <f>(I187-I127)/60+I178</f>
        <v>30107.266666666692</v>
      </c>
      <c r="J179" s="179">
        <v>319.92</v>
      </c>
      <c r="K179" s="179">
        <v>0</v>
      </c>
      <c r="L179" s="190">
        <f>'Regression Results'!$E$20+D179*'Regression Results'!$E$21+E179*'Regression Results'!$E$22+F179*'Regression Results'!$E$23+G179*'Regression Results'!$E$24+H179*'Regression Results'!$E$25+I179*'Regression Results'!$E$26+J179*'Regression Results'!$E$27+K179*'Regression Results'!$E$28</f>
        <v>26041277.226813812</v>
      </c>
      <c r="M179" s="7"/>
      <c r="N179" s="11"/>
    </row>
    <row r="180" spans="1:14">
      <c r="A180" s="173">
        <v>38657</v>
      </c>
      <c r="B180" s="180">
        <v>27640769.91748549</v>
      </c>
      <c r="C180" s="180">
        <v>28549590.02</v>
      </c>
      <c r="D180" s="181">
        <v>448.1</v>
      </c>
      <c r="E180" s="181">
        <v>0</v>
      </c>
      <c r="F180" s="185">
        <v>133.67888505455369</v>
      </c>
      <c r="G180" s="188">
        <v>30</v>
      </c>
      <c r="H180" s="188">
        <v>1</v>
      </c>
      <c r="I180" s="14">
        <f>(I187-I127)/60+I179</f>
        <v>30126.233333333359</v>
      </c>
      <c r="J180" s="179">
        <v>352.08</v>
      </c>
      <c r="K180" s="179">
        <v>0</v>
      </c>
      <c r="L180" s="190">
        <f>'Regression Results'!$E$20+D180*'Regression Results'!$E$21+E180*'Regression Results'!$E$22+F180*'Regression Results'!$E$23+G180*'Regression Results'!$E$24+H180*'Regression Results'!$E$25+I180*'Regression Results'!$E$26+J180*'Regression Results'!$E$27+K180*'Regression Results'!$E$28</f>
        <v>28129639.00914539</v>
      </c>
      <c r="M180" s="7"/>
      <c r="N180" s="11"/>
    </row>
    <row r="181" spans="1:14">
      <c r="A181" s="173">
        <v>38687</v>
      </c>
      <c r="B181" s="180">
        <v>31724000.672611214</v>
      </c>
      <c r="C181" s="180">
        <f>32730980.22+16</f>
        <v>32730996.219999999</v>
      </c>
      <c r="D181" s="181">
        <v>712.9</v>
      </c>
      <c r="E181" s="181">
        <v>0</v>
      </c>
      <c r="F181" s="186">
        <v>133.97600339315525</v>
      </c>
      <c r="G181" s="188">
        <v>31</v>
      </c>
      <c r="H181" s="188">
        <v>0</v>
      </c>
      <c r="I181" s="14">
        <f>(I187-I127)/60+I180</f>
        <v>30145.200000000026</v>
      </c>
      <c r="J181" s="179">
        <v>319.92</v>
      </c>
      <c r="K181" s="179">
        <v>0</v>
      </c>
      <c r="L181" s="190">
        <f>'Regression Results'!$E$20+D181*'Regression Results'!$E$21+E181*'Regression Results'!$E$22+F181*'Regression Results'!$E$23+G181*'Regression Results'!$E$24+H181*'Regression Results'!$E$25+I181*'Regression Results'!$E$26+J181*'Regression Results'!$E$27+K181*'Regression Results'!$E$28</f>
        <v>32448118.116863742</v>
      </c>
      <c r="M181" s="7"/>
      <c r="N181" s="11"/>
    </row>
    <row r="182" spans="1:14">
      <c r="A182" s="173">
        <v>38718</v>
      </c>
      <c r="B182" s="177">
        <v>31650876.730851065</v>
      </c>
      <c r="C182" s="177">
        <v>32654590.050000001</v>
      </c>
      <c r="D182" s="181">
        <v>645.79999999999995</v>
      </c>
      <c r="E182" s="181">
        <v>0</v>
      </c>
      <c r="F182" s="185">
        <v>134.25197202423305</v>
      </c>
      <c r="G182" s="188">
        <v>31</v>
      </c>
      <c r="H182" s="188">
        <v>0</v>
      </c>
      <c r="I182" s="14">
        <f>(I187-I127)/60+I181</f>
        <v>30164.166666666693</v>
      </c>
      <c r="J182" s="179">
        <v>336.28800000000001</v>
      </c>
      <c r="K182" s="179">
        <v>0</v>
      </c>
      <c r="L182" s="190">
        <f>'Regression Results'!$E$20+D182*'Regression Results'!$E$21+E182*'Regression Results'!$E$22+F182*'Regression Results'!$E$23+G182*'Regression Results'!$E$24+H182*'Regression Results'!$E$25+I182*'Regression Results'!$E$26+J182*'Regression Results'!$E$27+K182*'Regression Results'!$E$28</f>
        <v>31724032.413344007</v>
      </c>
      <c r="M182" s="7"/>
      <c r="N182" s="11"/>
    </row>
    <row r="183" spans="1:14">
      <c r="A183" s="173">
        <v>38749</v>
      </c>
      <c r="B183" s="177">
        <v>29457642.791083168</v>
      </c>
      <c r="C183" s="177">
        <v>30394010.469999999</v>
      </c>
      <c r="D183" s="181">
        <v>695.6</v>
      </c>
      <c r="E183" s="181">
        <v>0</v>
      </c>
      <c r="F183" s="185">
        <v>134.52850910550649</v>
      </c>
      <c r="G183" s="188">
        <v>28</v>
      </c>
      <c r="H183" s="188">
        <v>0</v>
      </c>
      <c r="I183" s="14">
        <f>(I187-I127)/60+I182</f>
        <v>30183.13333333336</v>
      </c>
      <c r="J183" s="179">
        <v>319.87200000000001</v>
      </c>
      <c r="K183" s="179">
        <v>0</v>
      </c>
      <c r="L183" s="190">
        <f>'Regression Results'!$E$20+D183*'Regression Results'!$E$21+E183*'Regression Results'!$E$22+F183*'Regression Results'!$E$23+G183*'Regression Results'!$E$24+H183*'Regression Results'!$E$25+I183*'Regression Results'!$E$26+J183*'Regression Results'!$E$27+K183*'Regression Results'!$E$28</f>
        <v>30705535.815606251</v>
      </c>
      <c r="M183" s="7"/>
      <c r="N183" s="11"/>
    </row>
    <row r="184" spans="1:14">
      <c r="A184" s="173">
        <v>38777</v>
      </c>
      <c r="B184" s="177">
        <v>30561345.391237911</v>
      </c>
      <c r="C184" s="177">
        <v>31527428.309999999</v>
      </c>
      <c r="D184" s="181">
        <v>605.20000000000005</v>
      </c>
      <c r="E184" s="181">
        <v>0</v>
      </c>
      <c r="F184" s="185">
        <v>134.80561580788986</v>
      </c>
      <c r="G184" s="188">
        <v>31</v>
      </c>
      <c r="H184" s="188">
        <v>1</v>
      </c>
      <c r="I184" s="14">
        <f>(I187-I127)/60+I183</f>
        <v>30202.100000000028</v>
      </c>
      <c r="J184" s="179">
        <v>368.28</v>
      </c>
      <c r="K184" s="179">
        <v>0</v>
      </c>
      <c r="L184" s="190">
        <f>'Regression Results'!$E$20+D184*'Regression Results'!$E$21+E184*'Regression Results'!$E$22+F184*'Regression Results'!$E$23+G184*'Regression Results'!$E$24+H184*'Regression Results'!$E$25+I184*'Regression Results'!$E$26+J184*'Regression Results'!$E$27+K184*'Regression Results'!$E$28</f>
        <v>30902497.740151562</v>
      </c>
      <c r="M184" s="7"/>
      <c r="N184" s="11"/>
    </row>
    <row r="185" spans="1:14">
      <c r="A185" s="173">
        <v>38808</v>
      </c>
      <c r="B185" s="177">
        <v>25233831.576305609</v>
      </c>
      <c r="C185" s="177">
        <v>26030174.350000001</v>
      </c>
      <c r="D185" s="181">
        <v>326.10000000000002</v>
      </c>
      <c r="E185" s="181">
        <v>0</v>
      </c>
      <c r="F185" s="185">
        <v>135.08329330470943</v>
      </c>
      <c r="G185" s="188">
        <v>30</v>
      </c>
      <c r="H185" s="188">
        <v>1</v>
      </c>
      <c r="I185" s="14">
        <f>(I187-I127)/60+I184</f>
        <v>30221.066666666695</v>
      </c>
      <c r="J185" s="179">
        <v>303.83999999999997</v>
      </c>
      <c r="K185" s="179">
        <v>0</v>
      </c>
      <c r="L185" s="190">
        <f>'Regression Results'!$E$20+D185*'Regression Results'!$E$21+E185*'Regression Results'!$E$22+F185*'Regression Results'!$E$23+G185*'Regression Results'!$E$24+H185*'Regression Results'!$E$25+I185*'Regression Results'!$E$26+J185*'Regression Results'!$E$27+K185*'Regression Results'!$E$28</f>
        <v>26329706.848926786</v>
      </c>
      <c r="M185" s="7"/>
      <c r="N185" s="11"/>
    </row>
    <row r="186" spans="1:14">
      <c r="A186" s="173">
        <v>38838</v>
      </c>
      <c r="B186" s="177">
        <v>24910504.215106379</v>
      </c>
      <c r="C186" s="177">
        <v>25698244.129999999</v>
      </c>
      <c r="D186" s="181">
        <v>155.1</v>
      </c>
      <c r="E186" s="181">
        <v>18.899999999999999</v>
      </c>
      <c r="F186" s="185">
        <v>135.36154277170829</v>
      </c>
      <c r="G186" s="188">
        <v>31</v>
      </c>
      <c r="H186" s="188">
        <v>1</v>
      </c>
      <c r="I186" s="14">
        <f>(I187-I127)/60+I185</f>
        <v>30240.033333333362</v>
      </c>
      <c r="J186" s="179">
        <v>351.91199999999998</v>
      </c>
      <c r="K186" s="179">
        <v>0</v>
      </c>
      <c r="L186" s="190">
        <f>'Regression Results'!$E$20+D186*'Regression Results'!$E$21+E186*'Regression Results'!$E$22+F186*'Regression Results'!$E$23+G186*'Regression Results'!$E$24+H186*'Regression Results'!$E$25+I186*'Regression Results'!$E$26+J186*'Regression Results'!$E$27+K186*'Regression Results'!$E$28</f>
        <v>25752868.237937734</v>
      </c>
      <c r="M186" s="7"/>
      <c r="N186" s="11"/>
    </row>
    <row r="187" spans="1:14">
      <c r="A187" s="173">
        <v>38869</v>
      </c>
      <c r="B187" s="177">
        <v>25733603.966266926</v>
      </c>
      <c r="C187" s="177">
        <v>26584813.68</v>
      </c>
      <c r="D187" s="181">
        <v>33.200000000000003</v>
      </c>
      <c r="E187" s="181">
        <v>64.5</v>
      </c>
      <c r="F187" s="185">
        <v>135.64036538705133</v>
      </c>
      <c r="G187" s="188">
        <v>30</v>
      </c>
      <c r="H187" s="188">
        <v>0</v>
      </c>
      <c r="I187" s="189">
        <v>30259</v>
      </c>
      <c r="J187" s="179">
        <v>352.08</v>
      </c>
      <c r="K187" s="179">
        <v>0</v>
      </c>
      <c r="L187" s="190">
        <f>'Regression Results'!$E$20+D187*'Regression Results'!$E$21+E187*'Regression Results'!$E$22+F187*'Regression Results'!$E$23+G187*'Regression Results'!$E$24+H187*'Regression Results'!$E$25+I187*'Regression Results'!$E$26+J187*'Regression Results'!$E$27+K187*'Regression Results'!$E$28</f>
        <v>26040000.720366485</v>
      </c>
      <c r="M187" s="7"/>
      <c r="N187" s="11"/>
    </row>
    <row r="188" spans="1:14">
      <c r="A188" s="173">
        <v>38899</v>
      </c>
      <c r="B188" s="177">
        <v>28471740.186228238</v>
      </c>
      <c r="C188" s="177">
        <v>29413448.84</v>
      </c>
      <c r="D188" s="181">
        <v>3</v>
      </c>
      <c r="E188" s="181">
        <v>143.6</v>
      </c>
      <c r="F188" s="185">
        <v>135.9197623313303</v>
      </c>
      <c r="G188" s="188">
        <v>31</v>
      </c>
      <c r="H188" s="188">
        <v>0</v>
      </c>
      <c r="I188" s="14">
        <f>(I187-I127)/60+I187</f>
        <v>30277.966666666667</v>
      </c>
      <c r="J188" s="179">
        <v>319.92</v>
      </c>
      <c r="K188" s="179">
        <v>0</v>
      </c>
      <c r="L188" s="190">
        <f>'Regression Results'!$E$20+D188*'Regression Results'!$E$21+E188*'Regression Results'!$E$22+F188*'Regression Results'!$E$23+G188*'Regression Results'!$E$24+H188*'Regression Results'!$E$25+I188*'Regression Results'!$E$26+J188*'Regression Results'!$E$27+K188*'Regression Results'!$E$28</f>
        <v>29055463.292383529</v>
      </c>
      <c r="M188" s="7"/>
      <c r="N188" s="11"/>
    </row>
    <row r="189" spans="1:14">
      <c r="A189" s="173">
        <v>38930</v>
      </c>
      <c r="B189" s="177">
        <v>26921873.773655705</v>
      </c>
      <c r="C189" s="177">
        <v>27807702.940000001</v>
      </c>
      <c r="D189" s="181">
        <v>12.4</v>
      </c>
      <c r="E189" s="181">
        <v>77.099999999999994</v>
      </c>
      <c r="F189" s="185">
        <v>136.19973478756879</v>
      </c>
      <c r="G189" s="188">
        <v>31</v>
      </c>
      <c r="H189" s="188">
        <v>0</v>
      </c>
      <c r="I189" s="14">
        <f>(I187-I127)/60+I188</f>
        <v>30296.933333333334</v>
      </c>
      <c r="J189" s="179">
        <v>351.91199999999998</v>
      </c>
      <c r="K189" s="179">
        <v>0</v>
      </c>
      <c r="L189" s="190">
        <f>'Regression Results'!$E$20+D189*'Regression Results'!$E$21+E189*'Regression Results'!$E$22+F189*'Regression Results'!$E$23+G189*'Regression Results'!$E$24+H189*'Regression Results'!$E$25+I189*'Regression Results'!$E$26+J189*'Regression Results'!$E$27+K189*'Regression Results'!$E$28</f>
        <v>26835608.07204276</v>
      </c>
      <c r="M189" s="7"/>
      <c r="N189" s="11"/>
    </row>
    <row r="190" spans="1:14">
      <c r="A190" s="173">
        <v>38961</v>
      </c>
      <c r="B190" s="177">
        <v>23826791.214719538</v>
      </c>
      <c r="C190" s="177">
        <v>24611986.530000001</v>
      </c>
      <c r="D190" s="181">
        <v>128.19999999999999</v>
      </c>
      <c r="E190" s="181">
        <v>4.0999999999999996</v>
      </c>
      <c r="F190" s="185">
        <v>136.48028394122719</v>
      </c>
      <c r="G190" s="188">
        <v>30</v>
      </c>
      <c r="H190" s="188">
        <v>1</v>
      </c>
      <c r="I190" s="14">
        <f>(I187-I127)/60+I189</f>
        <v>30315.9</v>
      </c>
      <c r="J190" s="179">
        <v>319.68</v>
      </c>
      <c r="K190" s="179">
        <v>0</v>
      </c>
      <c r="L190" s="190">
        <f>'Regression Results'!$E$20+D190*'Regression Results'!$E$21+E190*'Regression Results'!$E$22+F190*'Regression Results'!$E$23+G190*'Regression Results'!$E$24+H190*'Regression Results'!$E$25+I190*'Regression Results'!$E$26+J190*'Regression Results'!$E$27+K190*'Regression Results'!$E$28</f>
        <v>24171808.314518496</v>
      </c>
      <c r="M190" s="7"/>
      <c r="N190" s="11"/>
    </row>
    <row r="191" spans="1:14">
      <c r="A191" s="173">
        <v>38991</v>
      </c>
      <c r="B191" s="177">
        <v>26096385.334003866</v>
      </c>
      <c r="C191" s="177">
        <v>26917051.039999999</v>
      </c>
      <c r="D191" s="181">
        <v>310.10000000000002</v>
      </c>
      <c r="E191" s="181">
        <v>0</v>
      </c>
      <c r="F191" s="185">
        <v>136.76141098020776</v>
      </c>
      <c r="G191" s="188">
        <v>31</v>
      </c>
      <c r="H191" s="188">
        <v>1</v>
      </c>
      <c r="I191" s="14">
        <f>(I187-I127)/60+I190</f>
        <v>30334.866666666669</v>
      </c>
      <c r="J191" s="179">
        <v>336.28800000000001</v>
      </c>
      <c r="K191" s="179">
        <v>0</v>
      </c>
      <c r="L191" s="190">
        <f>'Regression Results'!$E$20+D191*'Regression Results'!$E$21+E191*'Regression Results'!$E$22+F191*'Regression Results'!$E$23+G191*'Regression Results'!$E$24+H191*'Regression Results'!$E$25+I191*'Regression Results'!$E$26+J191*'Regression Results'!$E$27+K191*'Regression Results'!$E$28</f>
        <v>27032118.5495166</v>
      </c>
      <c r="M191" s="7"/>
      <c r="N191" s="11"/>
    </row>
    <row r="192" spans="1:14">
      <c r="A192" s="173">
        <v>39022</v>
      </c>
      <c r="B192" s="177">
        <v>27241366.771760151</v>
      </c>
      <c r="C192" s="177">
        <v>28097117</v>
      </c>
      <c r="D192" s="181">
        <v>406.4</v>
      </c>
      <c r="E192" s="181">
        <v>0</v>
      </c>
      <c r="F192" s="185">
        <v>137.04311709485967</v>
      </c>
      <c r="G192" s="188">
        <v>30</v>
      </c>
      <c r="H192" s="188">
        <v>1</v>
      </c>
      <c r="I192" s="14">
        <f>(I187-I127)/60+I191</f>
        <v>30353.833333333336</v>
      </c>
      <c r="J192" s="179">
        <v>352.08</v>
      </c>
      <c r="K192" s="179">
        <v>0</v>
      </c>
      <c r="L192" s="190">
        <f>'Regression Results'!$E$20+D192*'Regression Results'!$E$21+E192*'Regression Results'!$E$22+F192*'Regression Results'!$E$23+G192*'Regression Results'!$E$24+H192*'Regression Results'!$E$25+I192*'Regression Results'!$E$26+J192*'Regression Results'!$E$27+K192*'Regression Results'!$E$28</f>
        <v>27893928.745705623</v>
      </c>
      <c r="M192" s="7"/>
      <c r="N192" s="11"/>
    </row>
    <row r="193" spans="1:14">
      <c r="A193" s="173">
        <v>39052</v>
      </c>
      <c r="B193" s="177">
        <v>29513274.330000002</v>
      </c>
      <c r="C193" s="177">
        <v>30100094.23</v>
      </c>
      <c r="D193" s="181">
        <v>560.4</v>
      </c>
      <c r="E193" s="181">
        <v>0</v>
      </c>
      <c r="F193" s="186">
        <v>137.32540347798411</v>
      </c>
      <c r="G193" s="188">
        <v>31</v>
      </c>
      <c r="H193" s="188">
        <v>0</v>
      </c>
      <c r="I193" s="14">
        <f>(I187-I127)/60+I192</f>
        <v>30372.800000000003</v>
      </c>
      <c r="J193" s="179">
        <v>304.29599999999999</v>
      </c>
      <c r="K193" s="179">
        <v>0</v>
      </c>
      <c r="L193" s="190">
        <f>'Regression Results'!$E$20+D193*'Regression Results'!$E$21+E193*'Regression Results'!$E$22+F193*'Regression Results'!$E$23+G193*'Regression Results'!$E$24+H193*'Regression Results'!$E$25+I193*'Regression Results'!$E$26+J193*'Regression Results'!$E$27+K193*'Regression Results'!$E$28</f>
        <v>30666279.608718235</v>
      </c>
      <c r="M193" s="7"/>
      <c r="N193" s="11"/>
    </row>
    <row r="194" spans="1:14">
      <c r="A194" s="173">
        <v>39083</v>
      </c>
      <c r="B194" s="177">
        <v>32217733.32</v>
      </c>
      <c r="C194" s="177">
        <v>32869611</v>
      </c>
      <c r="D194" s="181">
        <v>778.8</v>
      </c>
      <c r="E194" s="181">
        <v>0</v>
      </c>
      <c r="F194" s="185">
        <v>137.5746632239352</v>
      </c>
      <c r="G194" s="188">
        <v>31</v>
      </c>
      <c r="H194" s="188">
        <v>0</v>
      </c>
      <c r="I194" s="14">
        <f>(I187-I127)/60+I193</f>
        <v>30391.76666666667</v>
      </c>
      <c r="J194" s="179">
        <v>351.91199999999998</v>
      </c>
      <c r="K194" s="179">
        <v>0</v>
      </c>
      <c r="L194" s="190">
        <f>'Regression Results'!$E$20+D194*'Regression Results'!$E$21+E194*'Regression Results'!$E$22+F194*'Regression Results'!$E$23+G194*'Regression Results'!$E$24+H194*'Regression Results'!$E$25+I194*'Regression Results'!$E$26+J194*'Regression Results'!$E$27+K194*'Regression Results'!$E$28</f>
        <v>33859194.865365066</v>
      </c>
      <c r="M194" s="7"/>
      <c r="N194" s="11"/>
    </row>
    <row r="195" spans="1:14">
      <c r="A195" s="173">
        <v>39114</v>
      </c>
      <c r="B195" s="177">
        <v>30773488.450000003</v>
      </c>
      <c r="C195" s="177">
        <v>31402320</v>
      </c>
      <c r="D195" s="181">
        <v>801.1</v>
      </c>
      <c r="E195" s="181">
        <v>0</v>
      </c>
      <c r="F195" s="185">
        <v>137.82437540198828</v>
      </c>
      <c r="G195" s="188">
        <v>28</v>
      </c>
      <c r="H195" s="188">
        <v>0</v>
      </c>
      <c r="I195" s="14">
        <f>(I187-I127)/60+I194</f>
        <v>30410.733333333337</v>
      </c>
      <c r="J195" s="179">
        <v>319.87200000000001</v>
      </c>
      <c r="K195" s="179">
        <v>0</v>
      </c>
      <c r="L195" s="190">
        <f>'Regression Results'!$E$20+D195*'Regression Results'!$E$21+E195*'Regression Results'!$E$22+F195*'Regression Results'!$E$23+G195*'Regression Results'!$E$24+H195*'Regression Results'!$E$25+I195*'Regression Results'!$E$26+J195*'Regression Results'!$E$27+K195*'Regression Results'!$E$28</f>
        <v>32371370.578299284</v>
      </c>
      <c r="M195" s="7"/>
      <c r="N195" s="11"/>
    </row>
    <row r="196" spans="1:14">
      <c r="A196" s="173">
        <v>39142</v>
      </c>
      <c r="B196" s="177">
        <v>30296953.149999999</v>
      </c>
      <c r="C196" s="177">
        <v>30908220</v>
      </c>
      <c r="D196" s="181">
        <v>592.70000000000005</v>
      </c>
      <c r="E196" s="181">
        <v>0</v>
      </c>
      <c r="F196" s="185">
        <v>138.07454083335418</v>
      </c>
      <c r="G196" s="188">
        <v>31</v>
      </c>
      <c r="H196" s="188">
        <v>1</v>
      </c>
      <c r="I196" s="14">
        <f>(I187-I127)/60+I195</f>
        <v>30429.700000000004</v>
      </c>
      <c r="J196" s="179">
        <v>351.91199999999998</v>
      </c>
      <c r="K196" s="179">
        <v>0</v>
      </c>
      <c r="L196" s="190">
        <f>'Regression Results'!$E$20+D196*'Regression Results'!$E$21+E196*'Regression Results'!$E$22+F196*'Regression Results'!$E$23+G196*'Regression Results'!$E$24+H196*'Regression Results'!$E$25+I196*'Regression Results'!$E$26+J196*'Regression Results'!$E$27+K196*'Regression Results'!$E$28</f>
        <v>30923394.359366991</v>
      </c>
      <c r="M196" s="7"/>
      <c r="N196" s="11"/>
    </row>
    <row r="197" spans="1:14">
      <c r="A197" s="173">
        <v>39173</v>
      </c>
      <c r="B197" s="177">
        <v>26147386.68</v>
      </c>
      <c r="C197" s="177">
        <v>26653109</v>
      </c>
      <c r="D197" s="181">
        <v>381.2</v>
      </c>
      <c r="E197" s="181">
        <v>2</v>
      </c>
      <c r="F197" s="185">
        <v>138.32516034073433</v>
      </c>
      <c r="G197" s="188">
        <v>30</v>
      </c>
      <c r="H197" s="188">
        <v>1</v>
      </c>
      <c r="I197" s="14">
        <f>(I187-I127)/60+I196</f>
        <v>30448.666666666672</v>
      </c>
      <c r="J197" s="179">
        <v>319.68</v>
      </c>
      <c r="K197" s="179">
        <v>0</v>
      </c>
      <c r="L197" s="190">
        <f>'Regression Results'!$E$20+D197*'Regression Results'!$E$21+E197*'Regression Results'!$E$22+F197*'Regression Results'!$E$23+G197*'Regression Results'!$E$24+H197*'Regression Results'!$E$25+I197*'Regression Results'!$E$26+J197*'Regression Results'!$E$27+K197*'Regression Results'!$E$28</f>
        <v>27535082.695875566</v>
      </c>
      <c r="M197" s="7"/>
      <c r="N197" s="11"/>
    </row>
    <row r="198" spans="1:14">
      <c r="A198" s="173">
        <v>39203</v>
      </c>
      <c r="B198" s="177">
        <v>24680320.82</v>
      </c>
      <c r="C198" s="177">
        <v>25174872</v>
      </c>
      <c r="D198" s="181">
        <v>77.400000000000006</v>
      </c>
      <c r="E198" s="181">
        <v>1</v>
      </c>
      <c r="F198" s="185">
        <v>138.57623474832346</v>
      </c>
      <c r="G198" s="188">
        <v>31</v>
      </c>
      <c r="H198" s="188">
        <v>1</v>
      </c>
      <c r="I198" s="14">
        <f>(I187-I127)/60+I197</f>
        <v>30467.633333333339</v>
      </c>
      <c r="J198" s="179">
        <v>351.91199999999998</v>
      </c>
      <c r="K198" s="179">
        <v>0</v>
      </c>
      <c r="L198" s="190">
        <f>'Regression Results'!$E$20+D198*'Regression Results'!$E$21+E198*'Regression Results'!$E$22+F198*'Regression Results'!$E$23+G198*'Regression Results'!$E$24+H198*'Regression Results'!$E$25+I198*'Regression Results'!$E$26+J198*'Regression Results'!$E$27+K198*'Regression Results'!$E$28</f>
        <v>24348273.322023351</v>
      </c>
      <c r="M198" s="7"/>
      <c r="N198" s="11"/>
    </row>
    <row r="199" spans="1:14">
      <c r="A199" s="173">
        <v>39234</v>
      </c>
      <c r="B199" s="177">
        <v>26120820.890000001</v>
      </c>
      <c r="C199" s="177">
        <v>26613989</v>
      </c>
      <c r="D199" s="181">
        <v>34.6</v>
      </c>
      <c r="E199" s="181">
        <v>79.099999999999994</v>
      </c>
      <c r="F199" s="185">
        <v>138.8277648818123</v>
      </c>
      <c r="G199" s="188">
        <v>30</v>
      </c>
      <c r="H199" s="188">
        <v>0</v>
      </c>
      <c r="I199" s="14">
        <f>(I187-I127)/60+I198</f>
        <v>30486.600000000006</v>
      </c>
      <c r="J199" s="179">
        <v>336.24</v>
      </c>
      <c r="K199" s="179">
        <v>0</v>
      </c>
      <c r="L199" s="190">
        <f>'Regression Results'!$E$20+D199*'Regression Results'!$E$21+E199*'Regression Results'!$E$22+F199*'Regression Results'!$E$23+G199*'Regression Results'!$E$24+H199*'Regression Results'!$E$25+I199*'Regression Results'!$E$26+J199*'Regression Results'!$E$27+K199*'Regression Results'!$E$28</f>
        <v>26812652.56989691</v>
      </c>
      <c r="M199" s="7"/>
      <c r="N199" s="11"/>
    </row>
    <row r="200" spans="1:14">
      <c r="A200" s="173">
        <v>39264</v>
      </c>
      <c r="B200" s="177">
        <v>26193290.400000002</v>
      </c>
      <c r="C200" s="177">
        <v>26717129</v>
      </c>
      <c r="D200" s="181">
        <v>11.6</v>
      </c>
      <c r="E200" s="181">
        <v>72.099999999999994</v>
      </c>
      <c r="F200" s="185">
        <v>139.07975156839024</v>
      </c>
      <c r="G200" s="188">
        <v>31</v>
      </c>
      <c r="H200" s="188">
        <v>0</v>
      </c>
      <c r="I200" s="14">
        <f>(I187-I127)/60+I199</f>
        <v>30505.566666666673</v>
      </c>
      <c r="J200" s="179">
        <v>336.28800000000001</v>
      </c>
      <c r="K200" s="179">
        <v>0</v>
      </c>
      <c r="L200" s="190">
        <f>'Regression Results'!$E$20+D200*'Regression Results'!$E$21+E200*'Regression Results'!$E$22+F200*'Regression Results'!$E$23+G200*'Regression Results'!$E$24+H200*'Regression Results'!$E$25+I200*'Regression Results'!$E$26+J200*'Regression Results'!$E$27+K200*'Regression Results'!$E$28</f>
        <v>26789601.035725817</v>
      </c>
      <c r="M200" s="7"/>
      <c r="N200" s="11"/>
    </row>
    <row r="201" spans="1:14">
      <c r="A201" s="173">
        <v>39295</v>
      </c>
      <c r="B201" s="177">
        <v>27338790.829999998</v>
      </c>
      <c r="C201" s="177">
        <v>27900949</v>
      </c>
      <c r="D201" s="181">
        <v>19.3</v>
      </c>
      <c r="E201" s="181">
        <v>85.1</v>
      </c>
      <c r="F201" s="185">
        <v>139.33219563674817</v>
      </c>
      <c r="G201" s="188">
        <v>31</v>
      </c>
      <c r="H201" s="188">
        <v>0</v>
      </c>
      <c r="I201" s="14">
        <f>(I187-I127)/60+I200</f>
        <v>30524.53333333334</v>
      </c>
      <c r="J201" s="179">
        <v>351.91199999999998</v>
      </c>
      <c r="K201" s="179">
        <v>0</v>
      </c>
      <c r="L201" s="190">
        <f>'Regression Results'!$E$20+D201*'Regression Results'!$E$21+E201*'Regression Results'!$E$22+F201*'Regression Results'!$E$23+G201*'Regression Results'!$E$24+H201*'Regression Results'!$E$25+I201*'Regression Results'!$E$26+J201*'Regression Results'!$E$27+K201*'Regression Results'!$E$28</f>
        <v>27534607.598262291</v>
      </c>
      <c r="M201" s="7"/>
      <c r="N201" s="11"/>
    </row>
    <row r="202" spans="1:14">
      <c r="A202" s="173">
        <v>39326</v>
      </c>
      <c r="B202" s="177">
        <v>24488199.809999999</v>
      </c>
      <c r="C202" s="177">
        <v>24998480</v>
      </c>
      <c r="D202" s="181">
        <v>59</v>
      </c>
      <c r="E202" s="181">
        <v>28.4</v>
      </c>
      <c r="F202" s="185">
        <v>139.5850979170811</v>
      </c>
      <c r="G202" s="188">
        <v>30</v>
      </c>
      <c r="H202" s="188">
        <v>1</v>
      </c>
      <c r="I202" s="14">
        <f>(I187-I127)/60+I201</f>
        <v>30543.500000000007</v>
      </c>
      <c r="J202" s="179">
        <v>303.83999999999997</v>
      </c>
      <c r="K202" s="179">
        <v>0</v>
      </c>
      <c r="L202" s="190">
        <f>'Regression Results'!$E$20+D202*'Regression Results'!$E$21+E202*'Regression Results'!$E$22+F202*'Regression Results'!$E$23+G202*'Regression Results'!$E$24+H202*'Regression Results'!$E$25+I202*'Regression Results'!$E$26+J202*'Regression Results'!$E$27+K202*'Regression Results'!$E$28</f>
        <v>24408288.104031403</v>
      </c>
      <c r="M202" s="7"/>
      <c r="N202" s="11"/>
    </row>
    <row r="203" spans="1:14">
      <c r="A203" s="173">
        <v>39356</v>
      </c>
      <c r="B203" s="177">
        <v>25425045.800000001</v>
      </c>
      <c r="C203" s="177">
        <v>25979840</v>
      </c>
      <c r="D203" s="181">
        <v>164.1</v>
      </c>
      <c r="E203" s="181">
        <v>4.0999999999999996</v>
      </c>
      <c r="F203" s="185">
        <v>139.83845924109096</v>
      </c>
      <c r="G203" s="188">
        <v>31</v>
      </c>
      <c r="H203" s="188">
        <v>1</v>
      </c>
      <c r="I203" s="14">
        <f>(I187-I127)/60+I202</f>
        <v>30562.466666666674</v>
      </c>
      <c r="J203" s="179">
        <v>351.91199999999998</v>
      </c>
      <c r="K203" s="179">
        <v>0</v>
      </c>
      <c r="L203" s="190">
        <f>'Regression Results'!$E$20+D203*'Regression Results'!$E$21+E203*'Regression Results'!$E$22+F203*'Regression Results'!$E$23+G203*'Regression Results'!$E$24+H203*'Regression Results'!$E$25+I203*'Regression Results'!$E$26+J203*'Regression Results'!$E$27+K203*'Regression Results'!$E$28</f>
        <v>25713157.963684525</v>
      </c>
      <c r="M203" s="7"/>
      <c r="N203" s="11"/>
    </row>
    <row r="204" spans="1:14">
      <c r="A204" s="173">
        <v>39387</v>
      </c>
      <c r="B204" s="177">
        <v>28120086.990000002</v>
      </c>
      <c r="C204" s="177">
        <v>28705533</v>
      </c>
      <c r="D204" s="181">
        <v>499.3</v>
      </c>
      <c r="E204" s="181">
        <v>0</v>
      </c>
      <c r="F204" s="185">
        <v>140.09228044198926</v>
      </c>
      <c r="G204" s="188">
        <v>30</v>
      </c>
      <c r="H204" s="188">
        <v>1</v>
      </c>
      <c r="I204" s="14">
        <f>(I187-I127)/60+I203</f>
        <v>30581.433333333342</v>
      </c>
      <c r="J204" s="179">
        <v>352.08</v>
      </c>
      <c r="K204" s="179">
        <v>0</v>
      </c>
      <c r="L204" s="190">
        <f>'Regression Results'!$E$20+D204*'Regression Results'!$E$21+E204*'Regression Results'!$E$22+F204*'Regression Results'!$E$23+G204*'Regression Results'!$E$24+H204*'Regression Results'!$E$25+I204*'Regression Results'!$E$26+J204*'Regression Results'!$E$27+K204*'Regression Results'!$E$28</f>
        <v>29390160.694158886</v>
      </c>
      <c r="M204" s="7"/>
      <c r="N204" s="11"/>
    </row>
    <row r="205" spans="1:14">
      <c r="A205" s="173">
        <v>39417</v>
      </c>
      <c r="B205" s="177">
        <v>31743123.420000002</v>
      </c>
      <c r="C205" s="177">
        <v>32426863</v>
      </c>
      <c r="D205" s="181">
        <v>686.6</v>
      </c>
      <c r="E205" s="181">
        <v>0</v>
      </c>
      <c r="F205" s="186">
        <v>140.34656235449975</v>
      </c>
      <c r="G205" s="188">
        <v>31</v>
      </c>
      <c r="H205" s="188">
        <v>0</v>
      </c>
      <c r="I205" s="14">
        <f>(I187-I127)/60+I204</f>
        <v>30600.400000000009</v>
      </c>
      <c r="J205" s="179">
        <v>304.29599999999999</v>
      </c>
      <c r="K205" s="179">
        <v>0</v>
      </c>
      <c r="L205" s="190">
        <f>'Regression Results'!$E$20+D205*'Regression Results'!$E$21+E205*'Regression Results'!$E$22+F205*'Regression Results'!$E$23+G205*'Regression Results'!$E$24+H205*'Regression Results'!$E$25+I205*'Regression Results'!$E$26+J205*'Regression Results'!$E$27+K205*'Regression Results'!$E$28</f>
        <v>32592345.125269733</v>
      </c>
      <c r="M205" s="7"/>
      <c r="N205" s="11"/>
    </row>
    <row r="206" spans="1:14">
      <c r="A206" s="173">
        <v>39448</v>
      </c>
      <c r="B206" s="177">
        <v>32099905</v>
      </c>
      <c r="C206" s="177">
        <v>32784593</v>
      </c>
      <c r="D206" s="182">
        <v>708.5</v>
      </c>
      <c r="E206" s="182">
        <v>0</v>
      </c>
      <c r="F206" s="185">
        <v>140.29969417988008</v>
      </c>
      <c r="G206" s="188">
        <v>31</v>
      </c>
      <c r="H206" s="188">
        <v>0</v>
      </c>
      <c r="I206" s="14">
        <f>(I187-I127)/60+I205</f>
        <v>30619.366666666676</v>
      </c>
      <c r="J206" s="178">
        <v>352</v>
      </c>
      <c r="K206" s="179">
        <v>0</v>
      </c>
      <c r="L206" s="190">
        <f>'Regression Results'!$E$20+D206*'Regression Results'!$E$21+E206*'Regression Results'!$E$22+F206*'Regression Results'!$E$23+G206*'Regression Results'!$E$24+H206*'Regression Results'!$E$25+I206*'Regression Results'!$E$26+J206*'Regression Results'!$E$27+K206*'Regression Results'!$E$28</f>
        <v>33237005.646421354</v>
      </c>
      <c r="M206" s="7"/>
    </row>
    <row r="207" spans="1:14">
      <c r="A207" s="173">
        <v>39479</v>
      </c>
      <c r="B207" s="177">
        <v>30212673</v>
      </c>
      <c r="C207" s="177">
        <v>30859005</v>
      </c>
      <c r="D207" s="182">
        <v>702.2</v>
      </c>
      <c r="E207" s="182">
        <v>0</v>
      </c>
      <c r="F207" s="185">
        <v>140.25284165670035</v>
      </c>
      <c r="G207" s="188">
        <v>29</v>
      </c>
      <c r="H207" s="188">
        <v>0</v>
      </c>
      <c r="I207" s="14">
        <f>(I187-I127)/60+I206</f>
        <v>30638.333333333343</v>
      </c>
      <c r="J207" s="178">
        <v>320</v>
      </c>
      <c r="K207" s="179">
        <v>0</v>
      </c>
      <c r="L207" s="190">
        <f>'Regression Results'!$E$20+D207*'Regression Results'!$E$21+E207*'Regression Results'!$E$22+F207*'Regression Results'!$E$23+G207*'Regression Results'!$E$24+H207*'Regression Results'!$E$25+I207*'Regression Results'!$E$26+J207*'Regression Results'!$E$27+K207*'Regression Results'!$E$28</f>
        <v>31894592.951903932</v>
      </c>
      <c r="M207" s="7"/>
    </row>
    <row r="208" spans="1:14">
      <c r="A208" s="173">
        <v>39508</v>
      </c>
      <c r="B208" s="177">
        <v>30613672</v>
      </c>
      <c r="C208" s="177">
        <v>31264871</v>
      </c>
      <c r="D208" s="182">
        <v>558.5</v>
      </c>
      <c r="E208" s="182">
        <v>0</v>
      </c>
      <c r="F208" s="185">
        <v>140.20600477973383</v>
      </c>
      <c r="G208" s="188">
        <v>31</v>
      </c>
      <c r="H208" s="188">
        <v>1</v>
      </c>
      <c r="I208" s="14">
        <f>(I187-I127)/60+I207</f>
        <v>30657.30000000001</v>
      </c>
      <c r="J208" s="178">
        <v>304</v>
      </c>
      <c r="K208" s="179">
        <v>0</v>
      </c>
      <c r="L208" s="190">
        <f>'Regression Results'!$E$20+D208*'Regression Results'!$E$21+E208*'Regression Results'!$E$22+F208*'Regression Results'!$E$23+G208*'Regression Results'!$E$24+H208*'Regression Results'!$E$25+I208*'Regression Results'!$E$26+J208*'Regression Results'!$E$27+K208*'Regression Results'!$E$28</f>
        <v>30404755.73852532</v>
      </c>
      <c r="M208" s="7"/>
    </row>
    <row r="209" spans="1:14">
      <c r="A209" s="173">
        <v>39539</v>
      </c>
      <c r="B209" s="177">
        <v>25539772</v>
      </c>
      <c r="C209" s="177">
        <v>26069763</v>
      </c>
      <c r="D209" s="182">
        <v>264.2</v>
      </c>
      <c r="E209" s="182">
        <v>0.8</v>
      </c>
      <c r="F209" s="185">
        <v>140.15918354375555</v>
      </c>
      <c r="G209" s="188">
        <v>30</v>
      </c>
      <c r="H209" s="188">
        <v>1</v>
      </c>
      <c r="I209" s="14">
        <f>(I187-I127)/60+I208</f>
        <v>30676.266666666677</v>
      </c>
      <c r="J209" s="178">
        <v>352</v>
      </c>
      <c r="K209" s="179">
        <v>0</v>
      </c>
      <c r="L209" s="190">
        <f>'Regression Results'!$E$20+D209*'Regression Results'!$E$21+E209*'Regression Results'!$E$22+F209*'Regression Results'!$E$23+G209*'Regression Results'!$E$24+H209*'Regression Results'!$E$25+I209*'Regression Results'!$E$26+J209*'Regression Results'!$E$27+K209*'Regression Results'!$E$28</f>
        <v>26471169.397127185</v>
      </c>
      <c r="M209" s="7"/>
    </row>
    <row r="210" spans="1:14">
      <c r="A210" s="173">
        <v>39569</v>
      </c>
      <c r="B210" s="177">
        <v>24484663</v>
      </c>
      <c r="C210" s="177">
        <v>24996489</v>
      </c>
      <c r="D210" s="182">
        <v>216.1</v>
      </c>
      <c r="E210" s="182">
        <v>0.8</v>
      </c>
      <c r="F210" s="185">
        <v>140.11237794354221</v>
      </c>
      <c r="G210" s="188">
        <v>31</v>
      </c>
      <c r="H210" s="188">
        <v>1</v>
      </c>
      <c r="I210" s="14">
        <f>(I187-I127)/60+I209</f>
        <v>30695.233333333344</v>
      </c>
      <c r="J210" s="178">
        <v>336</v>
      </c>
      <c r="K210" s="179">
        <v>0</v>
      </c>
      <c r="L210" s="190">
        <f>'Regression Results'!$E$20+D210*'Regression Results'!$E$21+E210*'Regression Results'!$E$22+F210*'Regression Results'!$E$23+G210*'Regression Results'!$E$24+H210*'Regression Results'!$E$25+I210*'Regression Results'!$E$26+J210*'Regression Results'!$E$27+K210*'Regression Results'!$E$28</f>
        <v>26272879.34602356</v>
      </c>
      <c r="M210" s="7"/>
    </row>
    <row r="211" spans="1:14">
      <c r="A211" s="173">
        <v>39600</v>
      </c>
      <c r="B211" s="177">
        <v>25201494</v>
      </c>
      <c r="C211" s="177">
        <v>25726372</v>
      </c>
      <c r="D211" s="182">
        <v>35.6</v>
      </c>
      <c r="E211" s="182">
        <v>52.4</v>
      </c>
      <c r="F211" s="185">
        <v>140.06558797387237</v>
      </c>
      <c r="G211" s="188">
        <v>30</v>
      </c>
      <c r="H211" s="188">
        <v>0</v>
      </c>
      <c r="I211" s="14">
        <f>(I187-I127)/60+I210</f>
        <v>30714.200000000012</v>
      </c>
      <c r="J211" s="178">
        <v>336</v>
      </c>
      <c r="K211" s="179">
        <v>0</v>
      </c>
      <c r="L211" s="190">
        <f>'Regression Results'!$E$20+D211*'Regression Results'!$E$21+E211*'Regression Results'!$E$22+F211*'Regression Results'!$E$23+G211*'Regression Results'!$E$24+H211*'Regression Results'!$E$25+I211*'Regression Results'!$E$26+J211*'Regression Results'!$E$27+K211*'Regression Results'!$E$28</f>
        <v>26026660.887072742</v>
      </c>
      <c r="M211" s="7"/>
    </row>
    <row r="212" spans="1:14">
      <c r="A212" s="173">
        <v>39630</v>
      </c>
      <c r="B212" s="177">
        <v>27167060</v>
      </c>
      <c r="C212" s="177">
        <v>27722067</v>
      </c>
      <c r="D212" s="182">
        <v>3.9</v>
      </c>
      <c r="E212" s="182">
        <v>78.400000000000006</v>
      </c>
      <c r="F212" s="185">
        <v>140.01881362952622</v>
      </c>
      <c r="G212" s="188">
        <v>31</v>
      </c>
      <c r="H212" s="188">
        <v>0</v>
      </c>
      <c r="I212" s="14">
        <f>(I187-I127)/60+I211</f>
        <v>30733.166666666679</v>
      </c>
      <c r="J212" s="178">
        <v>352</v>
      </c>
      <c r="K212" s="179">
        <v>0</v>
      </c>
      <c r="L212" s="190">
        <f>'Regression Results'!$E$20+D212*'Regression Results'!$E$21+E212*'Regression Results'!$E$22+F212*'Regression Results'!$E$23+G212*'Regression Results'!$E$24+H212*'Regression Results'!$E$25+I212*'Regression Results'!$E$26+J212*'Regression Results'!$E$27+K212*'Regression Results'!$E$28</f>
        <v>27287682.087630685</v>
      </c>
      <c r="M212" s="7"/>
    </row>
    <row r="213" spans="1:14">
      <c r="A213" s="173">
        <v>39661</v>
      </c>
      <c r="B213" s="177">
        <v>26011773</v>
      </c>
      <c r="C213" s="177">
        <v>26562381</v>
      </c>
      <c r="D213" s="182">
        <v>19.600000000000001</v>
      </c>
      <c r="E213" s="182">
        <v>31.2</v>
      </c>
      <c r="F213" s="185">
        <v>139.97205490528577</v>
      </c>
      <c r="G213" s="188">
        <v>31</v>
      </c>
      <c r="H213" s="188">
        <v>0</v>
      </c>
      <c r="I213" s="14">
        <f>(I187-I127)/60+I212</f>
        <v>30752.133333333346</v>
      </c>
      <c r="J213" s="178">
        <v>320</v>
      </c>
      <c r="K213" s="179">
        <v>0</v>
      </c>
      <c r="L213" s="190">
        <f>'Regression Results'!$E$20+D213*'Regression Results'!$E$21+E213*'Regression Results'!$E$22+F213*'Regression Results'!$E$23+G213*'Regression Results'!$E$24+H213*'Regression Results'!$E$25+I213*'Regression Results'!$E$26+J213*'Regression Results'!$E$27+K213*'Regression Results'!$E$28</f>
        <v>25431624.589532219</v>
      </c>
      <c r="M213" s="7"/>
    </row>
    <row r="214" spans="1:14">
      <c r="A214" s="173">
        <v>39692</v>
      </c>
      <c r="B214" s="177">
        <v>24345066</v>
      </c>
      <c r="C214" s="177">
        <v>24843728</v>
      </c>
      <c r="D214" s="182">
        <v>83.7</v>
      </c>
      <c r="E214" s="182">
        <v>13.6</v>
      </c>
      <c r="F214" s="185">
        <v>139.92531179593476</v>
      </c>
      <c r="G214" s="188">
        <v>30</v>
      </c>
      <c r="H214" s="188">
        <v>1</v>
      </c>
      <c r="I214" s="14">
        <f>(I187-I127)/60+I213</f>
        <v>30771.100000000013</v>
      </c>
      <c r="J214" s="178">
        <v>336</v>
      </c>
      <c r="K214" s="179">
        <v>0</v>
      </c>
      <c r="L214" s="190">
        <f>'Regression Results'!$E$20+D214*'Regression Results'!$E$21+E214*'Regression Results'!$E$22+F214*'Regression Results'!$E$23+G214*'Regression Results'!$E$24+H214*'Regression Results'!$E$25+I214*'Regression Results'!$E$26+J214*'Regression Results'!$E$27+K214*'Regression Results'!$E$28</f>
        <v>24603730.997515645</v>
      </c>
      <c r="M214" s="7"/>
    </row>
    <row r="215" spans="1:14">
      <c r="A215" s="173">
        <v>39722</v>
      </c>
      <c r="B215" s="177">
        <v>25494653</v>
      </c>
      <c r="C215" s="177">
        <v>25997355</v>
      </c>
      <c r="D215" s="182">
        <v>297.60000000000002</v>
      </c>
      <c r="E215" s="182">
        <v>0.5</v>
      </c>
      <c r="F215" s="185">
        <v>139.87858429625865</v>
      </c>
      <c r="G215" s="188">
        <v>31</v>
      </c>
      <c r="H215" s="188">
        <v>1</v>
      </c>
      <c r="I215" s="14">
        <f>(I187-I127)/60+I214</f>
        <v>30790.06666666668</v>
      </c>
      <c r="J215" s="178">
        <v>352</v>
      </c>
      <c r="K215" s="179">
        <v>0</v>
      </c>
      <c r="L215" s="190">
        <f>'Regression Results'!$E$20+D215*'Regression Results'!$E$21+E215*'Regression Results'!$E$22+F215*'Regression Results'!$E$23+G215*'Regression Results'!$E$24+H215*'Regression Results'!$E$25+I215*'Regression Results'!$E$26+J215*'Regression Results'!$E$27+K215*'Regression Results'!$E$28</f>
        <v>27512932.457423817</v>
      </c>
      <c r="M215" s="7"/>
    </row>
    <row r="216" spans="1:14">
      <c r="A216" s="173">
        <v>39753</v>
      </c>
      <c r="B216" s="177">
        <v>27426297</v>
      </c>
      <c r="C216" s="177">
        <v>27977163</v>
      </c>
      <c r="D216" s="182">
        <v>444</v>
      </c>
      <c r="E216" s="182">
        <v>0</v>
      </c>
      <c r="F216" s="185">
        <v>139.83187240104465</v>
      </c>
      <c r="G216" s="188">
        <v>30</v>
      </c>
      <c r="H216" s="188">
        <v>1</v>
      </c>
      <c r="I216" s="14">
        <f>(I187-I127)/60+I215</f>
        <v>30809.033333333347</v>
      </c>
      <c r="J216" s="178">
        <v>304</v>
      </c>
      <c r="K216" s="179">
        <v>0</v>
      </c>
      <c r="L216" s="190">
        <f>'Regression Results'!$E$20+D216*'Regression Results'!$E$21+E216*'Regression Results'!$E$22+F216*'Regression Results'!$E$23+G216*'Regression Results'!$E$24+H216*'Regression Results'!$E$25+I216*'Regression Results'!$E$26+J216*'Regression Results'!$E$27+K216*'Regression Results'!$E$28</f>
        <v>28532740.377730407</v>
      </c>
      <c r="M216" s="7"/>
    </row>
    <row r="217" spans="1:14">
      <c r="A217" s="173">
        <v>39783</v>
      </c>
      <c r="B217" s="177">
        <v>31868129</v>
      </c>
      <c r="C217" s="177">
        <v>32538425</v>
      </c>
      <c r="D217" s="182">
        <v>594.4</v>
      </c>
      <c r="E217" s="182">
        <v>0</v>
      </c>
      <c r="F217" s="186">
        <v>139.78517610508175</v>
      </c>
      <c r="G217" s="188">
        <v>31</v>
      </c>
      <c r="H217" s="188">
        <v>0</v>
      </c>
      <c r="I217" s="14">
        <f>(I187-I127)/60+I216</f>
        <v>30828.000000000015</v>
      </c>
      <c r="J217" s="178">
        <v>336</v>
      </c>
      <c r="K217" s="179">
        <v>0</v>
      </c>
      <c r="L217" s="190">
        <f>'Regression Results'!$E$20+D217*'Regression Results'!$E$21+E217*'Regression Results'!$E$22+F217*'Regression Results'!$E$23+G217*'Regression Results'!$E$24+H217*'Regression Results'!$E$25+I217*'Regression Results'!$E$26+J217*'Regression Results'!$E$27+K217*'Regression Results'!$E$28</f>
        <v>31826714.632419009</v>
      </c>
      <c r="M217" s="7"/>
      <c r="N217" s="170"/>
    </row>
    <row r="218" spans="1:14">
      <c r="A218" s="174">
        <v>39448</v>
      </c>
      <c r="B218" s="177">
        <v>32099905</v>
      </c>
      <c r="C218" s="177">
        <v>32784593</v>
      </c>
      <c r="D218" s="169">
        <f>(D62+D74+D86+D98+D110+D122+D134+D146+D158+D170+D182+D194+D206)/13</f>
        <v>790.54615384615386</v>
      </c>
      <c r="E218" s="169">
        <f>(E62+E74+E86+E98+E110+E122+E134+E146+E158+E170+E182+E194+E206)/13</f>
        <v>0</v>
      </c>
      <c r="F218" s="320">
        <f>F206</f>
        <v>140.29969417988008</v>
      </c>
      <c r="G218" s="188">
        <v>31</v>
      </c>
      <c r="H218" s="188">
        <v>0</v>
      </c>
      <c r="I218" s="14">
        <f>I206</f>
        <v>30619.366666666676</v>
      </c>
      <c r="J218" s="178">
        <v>352</v>
      </c>
      <c r="K218" s="179">
        <v>0</v>
      </c>
      <c r="L218" s="190">
        <f>'Regression Results'!$E$20+D218*'Regression Results'!$E$21+E218*'Regression Results'!$E$22+F218*'Regression Results'!$E$23+G218*'Regression Results'!$E$24+H218*'Regression Results'!$E$25+I218*'Regression Results'!$E$26+J218*'Regression Results'!$E$27+K218*'Regression Results'!$E$28</f>
        <v>34297917.68209888</v>
      </c>
      <c r="M218" s="7" t="s">
        <v>77</v>
      </c>
      <c r="N218" s="170"/>
    </row>
    <row r="219" spans="1:14">
      <c r="A219" s="174">
        <v>39479</v>
      </c>
      <c r="B219" s="177">
        <v>30212673</v>
      </c>
      <c r="C219" s="177">
        <v>30859005</v>
      </c>
      <c r="D219" s="169">
        <f t="shared" ref="D219:E229" si="0">(D63+D75+D87+D99+D111+D123+D135+D147+D159+D171+D183+D195+D207)/13</f>
        <v>675.1615384615385</v>
      </c>
      <c r="E219" s="169">
        <f t="shared" si="0"/>
        <v>0</v>
      </c>
      <c r="F219" s="320">
        <f t="shared" ref="F219:F229" si="1">F207</f>
        <v>140.25284165670035</v>
      </c>
      <c r="G219" s="188">
        <v>29</v>
      </c>
      <c r="H219" s="188">
        <v>0</v>
      </c>
      <c r="I219" s="14">
        <f t="shared" ref="I219:I229" si="2">I207</f>
        <v>30638.333333333343</v>
      </c>
      <c r="J219" s="178">
        <v>320</v>
      </c>
      <c r="K219" s="179">
        <v>0</v>
      </c>
      <c r="L219" s="190">
        <f>'Regression Results'!$E$20+D219*'Regression Results'!$E$21+E219*'Regression Results'!$E$22+F219*'Regression Results'!$E$23+G219*'Regression Results'!$E$24+H219*'Regression Results'!$E$25+I219*'Regression Results'!$E$26+J219*'Regression Results'!$E$27+K219*'Regression Results'!$E$28</f>
        <v>31544967.431052022</v>
      </c>
      <c r="M219" s="7" t="s">
        <v>77</v>
      </c>
      <c r="N219" s="170"/>
    </row>
    <row r="220" spans="1:14">
      <c r="A220" s="174">
        <v>39508</v>
      </c>
      <c r="B220" s="177">
        <v>30613672</v>
      </c>
      <c r="C220" s="177">
        <v>31264871</v>
      </c>
      <c r="D220" s="169">
        <f t="shared" si="0"/>
        <v>594.74615384615379</v>
      </c>
      <c r="E220" s="169">
        <f t="shared" si="0"/>
        <v>0</v>
      </c>
      <c r="F220" s="320">
        <f t="shared" si="1"/>
        <v>140.20600477973383</v>
      </c>
      <c r="G220" s="188">
        <v>31</v>
      </c>
      <c r="H220" s="188">
        <v>1</v>
      </c>
      <c r="I220" s="14">
        <f t="shared" si="2"/>
        <v>30657.30000000001</v>
      </c>
      <c r="J220" s="178">
        <v>304</v>
      </c>
      <c r="K220" s="179">
        <v>0</v>
      </c>
      <c r="L220" s="190">
        <f>'Regression Results'!$E$20+D220*'Regression Results'!$E$21+E220*'Regression Results'!$E$22+F220*'Regression Results'!$E$23+G220*'Regression Results'!$E$24+H220*'Regression Results'!$E$25+I220*'Regression Results'!$E$26+J220*'Regression Results'!$E$27+K220*'Regression Results'!$E$28</f>
        <v>30873442.923234906</v>
      </c>
      <c r="M220" s="7" t="s">
        <v>77</v>
      </c>
      <c r="N220" s="170"/>
    </row>
    <row r="221" spans="1:14">
      <c r="A221" s="174">
        <v>39539</v>
      </c>
      <c r="B221" s="177">
        <v>25539772</v>
      </c>
      <c r="C221" s="177">
        <v>26069763</v>
      </c>
      <c r="D221" s="169">
        <f t="shared" si="0"/>
        <v>360.85384615384612</v>
      </c>
      <c r="E221" s="169">
        <f t="shared" si="0"/>
        <v>0.76153846153846161</v>
      </c>
      <c r="F221" s="320">
        <f t="shared" si="1"/>
        <v>140.15918354375555</v>
      </c>
      <c r="G221" s="188">
        <v>30</v>
      </c>
      <c r="H221" s="188">
        <v>1</v>
      </c>
      <c r="I221" s="14">
        <f t="shared" si="2"/>
        <v>30676.266666666677</v>
      </c>
      <c r="J221" s="178">
        <v>352</v>
      </c>
      <c r="K221" s="179">
        <v>0</v>
      </c>
      <c r="L221" s="190">
        <f>'Regression Results'!$E$20+D221*'Regression Results'!$E$21+E221*'Regression Results'!$E$22+F221*'Regression Results'!$E$23+G221*'Regression Results'!$E$24+H221*'Regression Results'!$E$25+I221*'Regression Results'!$E$26+J221*'Regression Results'!$E$27+K221*'Regression Results'!$E$28</f>
        <v>27719466.083665177</v>
      </c>
      <c r="M221" s="7" t="s">
        <v>77</v>
      </c>
      <c r="N221" s="170"/>
    </row>
    <row r="222" spans="1:14">
      <c r="A222" s="174">
        <v>39569</v>
      </c>
      <c r="B222" s="177">
        <v>24484663</v>
      </c>
      <c r="C222" s="177">
        <v>24996489</v>
      </c>
      <c r="D222" s="169">
        <f t="shared" si="0"/>
        <v>169.44615384615386</v>
      </c>
      <c r="E222" s="169">
        <f t="shared" si="0"/>
        <v>7.1153846153846141</v>
      </c>
      <c r="F222" s="320">
        <f t="shared" si="1"/>
        <v>140.11237794354221</v>
      </c>
      <c r="G222" s="188">
        <v>31</v>
      </c>
      <c r="H222" s="188">
        <v>1</v>
      </c>
      <c r="I222" s="14">
        <f t="shared" si="2"/>
        <v>30695.233333333344</v>
      </c>
      <c r="J222" s="178">
        <v>336</v>
      </c>
      <c r="K222" s="179">
        <v>0</v>
      </c>
      <c r="L222" s="190">
        <f>'Regression Results'!$E$20+D222*'Regression Results'!$E$21+E222*'Regression Results'!$E$22+F222*'Regression Results'!$E$23+G222*'Regression Results'!$E$24+H222*'Regression Results'!$E$25+I222*'Regression Results'!$E$26+J222*'Regression Results'!$E$27+K222*'Regression Results'!$E$28</f>
        <v>25916348.892625291</v>
      </c>
      <c r="M222" s="7" t="s">
        <v>77</v>
      </c>
      <c r="N222" s="170"/>
    </row>
    <row r="223" spans="1:14">
      <c r="A223" s="174">
        <v>39600</v>
      </c>
      <c r="B223" s="177">
        <v>25201494</v>
      </c>
      <c r="C223" s="177">
        <v>25726372</v>
      </c>
      <c r="D223" s="169">
        <f t="shared" si="0"/>
        <v>39.638461538461534</v>
      </c>
      <c r="E223" s="169">
        <f t="shared" si="0"/>
        <v>55.900000000000006</v>
      </c>
      <c r="F223" s="320">
        <f t="shared" si="1"/>
        <v>140.06558797387237</v>
      </c>
      <c r="G223" s="188">
        <v>30</v>
      </c>
      <c r="H223" s="188">
        <v>0</v>
      </c>
      <c r="I223" s="14">
        <f t="shared" si="2"/>
        <v>30714.200000000012</v>
      </c>
      <c r="J223" s="178">
        <v>336</v>
      </c>
      <c r="K223" s="179">
        <v>0</v>
      </c>
      <c r="L223" s="190">
        <f>'Regression Results'!$E$20+D223*'Regression Results'!$E$21+E223*'Regression Results'!$E$22+F223*'Regression Results'!$E$23+G223*'Regression Results'!$E$24+H223*'Regression Results'!$E$25+I223*'Regression Results'!$E$26+J223*'Regression Results'!$E$27+K223*'Regression Results'!$E$28</f>
        <v>26215622.10580954</v>
      </c>
      <c r="M223" s="7" t="s">
        <v>77</v>
      </c>
      <c r="N223" s="170"/>
    </row>
    <row r="224" spans="1:14">
      <c r="A224" s="174">
        <v>39630</v>
      </c>
      <c r="B224" s="177">
        <v>27167060</v>
      </c>
      <c r="C224" s="177">
        <v>27722067</v>
      </c>
      <c r="D224" s="169">
        <f t="shared" si="0"/>
        <v>9.4769230769230752</v>
      </c>
      <c r="E224" s="169">
        <f t="shared" si="0"/>
        <v>91.92307692307692</v>
      </c>
      <c r="F224" s="320">
        <f t="shared" si="1"/>
        <v>140.01881362952622</v>
      </c>
      <c r="G224" s="188">
        <v>31</v>
      </c>
      <c r="H224" s="188">
        <v>0</v>
      </c>
      <c r="I224" s="14">
        <f t="shared" si="2"/>
        <v>30733.166666666679</v>
      </c>
      <c r="J224" s="178">
        <v>352</v>
      </c>
      <c r="K224" s="179">
        <v>0</v>
      </c>
      <c r="L224" s="190">
        <f>'Regression Results'!$E$20+D224*'Regression Results'!$E$21+E224*'Regression Results'!$E$22+F224*'Regression Results'!$E$23+G224*'Regression Results'!$E$24+H224*'Regression Results'!$E$25+I224*'Regression Results'!$E$26+J224*'Regression Results'!$E$27+K224*'Regression Results'!$E$28</f>
        <v>27888127.357007656</v>
      </c>
      <c r="M224" s="7" t="s">
        <v>77</v>
      </c>
      <c r="N224" s="170"/>
    </row>
    <row r="225" spans="1:14">
      <c r="A225" s="174">
        <v>39661</v>
      </c>
      <c r="B225" s="177">
        <v>26011773</v>
      </c>
      <c r="C225" s="177">
        <v>26562381</v>
      </c>
      <c r="D225" s="169">
        <f t="shared" si="0"/>
        <v>13.146153846153847</v>
      </c>
      <c r="E225" s="169">
        <f t="shared" si="0"/>
        <v>70.269230769230774</v>
      </c>
      <c r="F225" s="320">
        <f t="shared" si="1"/>
        <v>139.97205490528577</v>
      </c>
      <c r="G225" s="188">
        <v>31</v>
      </c>
      <c r="H225" s="188">
        <v>0</v>
      </c>
      <c r="I225" s="14">
        <f t="shared" si="2"/>
        <v>30752.133333333346</v>
      </c>
      <c r="J225" s="178">
        <v>320</v>
      </c>
      <c r="K225" s="179">
        <v>0</v>
      </c>
      <c r="L225" s="190">
        <f>'Regression Results'!$E$20+D225*'Regression Results'!$E$21+E225*'Regression Results'!$E$22+F225*'Regression Results'!$E$23+G225*'Regression Results'!$E$24+H225*'Regression Results'!$E$25+I225*'Regression Results'!$E$26+J225*'Regression Results'!$E$27+K225*'Regression Results'!$E$28</f>
        <v>26874564.336083319</v>
      </c>
      <c r="M225" s="7" t="s">
        <v>77</v>
      </c>
      <c r="N225" s="170"/>
    </row>
    <row r="226" spans="1:14">
      <c r="A226" s="174">
        <v>39692</v>
      </c>
      <c r="B226" s="177">
        <v>24345066</v>
      </c>
      <c r="C226" s="177">
        <v>24843728</v>
      </c>
      <c r="D226" s="169">
        <f t="shared" si="0"/>
        <v>78.838461538461544</v>
      </c>
      <c r="E226" s="169">
        <f t="shared" si="0"/>
        <v>23.846153846153847</v>
      </c>
      <c r="F226" s="320">
        <f t="shared" si="1"/>
        <v>139.92531179593476</v>
      </c>
      <c r="G226" s="188">
        <v>30</v>
      </c>
      <c r="H226" s="188">
        <v>1</v>
      </c>
      <c r="I226" s="14">
        <f t="shared" si="2"/>
        <v>30771.100000000013</v>
      </c>
      <c r="J226" s="178">
        <v>336</v>
      </c>
      <c r="K226" s="179">
        <v>0</v>
      </c>
      <c r="L226" s="190">
        <f>'Regression Results'!$E$20+D226*'Regression Results'!$E$21+E226*'Regression Results'!$E$22+F226*'Regression Results'!$E$23+G226*'Regression Results'!$E$24+H226*'Regression Results'!$E$25+I226*'Regression Results'!$E$26+J226*'Regression Results'!$E$27+K226*'Regression Results'!$E$28</f>
        <v>24941174.109699454</v>
      </c>
      <c r="M226" s="7" t="s">
        <v>77</v>
      </c>
      <c r="N226" s="170"/>
    </row>
    <row r="227" spans="1:14">
      <c r="A227" s="174">
        <v>39722</v>
      </c>
      <c r="B227" s="177">
        <v>25494653</v>
      </c>
      <c r="C227" s="177">
        <v>25997355</v>
      </c>
      <c r="D227" s="169">
        <f t="shared" si="0"/>
        <v>276.78461538461534</v>
      </c>
      <c r="E227" s="169">
        <f t="shared" si="0"/>
        <v>1.4076923076923076</v>
      </c>
      <c r="F227" s="320">
        <f t="shared" si="1"/>
        <v>139.87858429625865</v>
      </c>
      <c r="G227" s="188">
        <v>31</v>
      </c>
      <c r="H227" s="188">
        <v>1</v>
      </c>
      <c r="I227" s="14">
        <f t="shared" si="2"/>
        <v>30790.06666666668</v>
      </c>
      <c r="J227" s="178">
        <v>352</v>
      </c>
      <c r="K227" s="179">
        <v>0</v>
      </c>
      <c r="L227" s="190">
        <f>'Regression Results'!$E$20+D227*'Regression Results'!$E$21+E227*'Regression Results'!$E$22+F227*'Regression Results'!$E$23+G227*'Regression Results'!$E$24+H227*'Regression Results'!$E$25+I227*'Regression Results'!$E$26+J227*'Regression Results'!$E$27+K227*'Regression Results'!$E$28</f>
        <v>27279238.063626546</v>
      </c>
      <c r="M227" s="7" t="s">
        <v>77</v>
      </c>
      <c r="N227" s="170"/>
    </row>
    <row r="228" spans="1:14">
      <c r="A228" s="174">
        <v>39753</v>
      </c>
      <c r="B228" s="177">
        <v>27426297</v>
      </c>
      <c r="C228" s="177">
        <v>27977163</v>
      </c>
      <c r="D228" s="169">
        <f t="shared" si="0"/>
        <v>455.20000000000005</v>
      </c>
      <c r="E228" s="169">
        <f t="shared" si="0"/>
        <v>0</v>
      </c>
      <c r="F228" s="320">
        <f t="shared" si="1"/>
        <v>139.83187240104465</v>
      </c>
      <c r="G228" s="188">
        <v>30</v>
      </c>
      <c r="H228" s="188">
        <v>1</v>
      </c>
      <c r="I228" s="14">
        <f t="shared" si="2"/>
        <v>30809.033333333347</v>
      </c>
      <c r="J228" s="178">
        <v>304</v>
      </c>
      <c r="K228" s="179">
        <v>0</v>
      </c>
      <c r="L228" s="190">
        <f>'Regression Results'!$E$20+D228*'Regression Results'!$E$21+E228*'Regression Results'!$E$22+F228*'Regression Results'!$E$23+G228*'Regression Results'!$E$24+H228*'Regression Results'!$E$25+I228*'Regression Results'!$E$26+J228*'Regression Results'!$E$27+K228*'Regression Results'!$E$28</f>
        <v>28677563.922071908</v>
      </c>
      <c r="M228" s="7" t="s">
        <v>77</v>
      </c>
      <c r="N228" s="170"/>
    </row>
    <row r="229" spans="1:14">
      <c r="A229" s="174">
        <v>39783</v>
      </c>
      <c r="B229" s="177">
        <v>31868129</v>
      </c>
      <c r="C229" s="177">
        <v>32538425</v>
      </c>
      <c r="D229" s="169">
        <f t="shared" si="0"/>
        <v>654.61538461538464</v>
      </c>
      <c r="E229" s="169">
        <f t="shared" si="0"/>
        <v>0</v>
      </c>
      <c r="F229" s="320">
        <f t="shared" si="1"/>
        <v>139.78517610508175</v>
      </c>
      <c r="G229" s="188">
        <v>31</v>
      </c>
      <c r="H229" s="188">
        <v>0</v>
      </c>
      <c r="I229" s="14">
        <f t="shared" si="2"/>
        <v>30828.000000000015</v>
      </c>
      <c r="J229" s="178">
        <v>336</v>
      </c>
      <c r="K229" s="179">
        <v>0</v>
      </c>
      <c r="L229" s="190">
        <f>'Regression Results'!$E$20+D229*'Regression Results'!$E$21+E229*'Regression Results'!$E$22+F229*'Regression Results'!$E$23+G229*'Regression Results'!$E$24+H229*'Regression Results'!$E$25+I229*'Regression Results'!$E$26+J229*'Regression Results'!$E$27+K229*'Regression Results'!$E$28</f>
        <v>32605340.116694611</v>
      </c>
      <c r="M229" s="7" t="s">
        <v>77</v>
      </c>
      <c r="N229" s="170"/>
    </row>
    <row r="230" spans="1:14">
      <c r="A230" s="173">
        <v>39814</v>
      </c>
      <c r="D230" s="169"/>
      <c r="E230" s="169"/>
      <c r="F230" s="321"/>
      <c r="G230" s="188"/>
      <c r="H230" s="188"/>
      <c r="I230" s="14"/>
      <c r="J230" s="178"/>
      <c r="K230" s="179"/>
      <c r="L230" s="190">
        <f>L218*(1+ M230)</f>
        <v>32926000.974814925</v>
      </c>
      <c r="M230" s="278">
        <v>-0.04</v>
      </c>
    </row>
    <row r="231" spans="1:14">
      <c r="A231" s="173">
        <v>39845</v>
      </c>
      <c r="D231" s="169"/>
      <c r="E231" s="169"/>
      <c r="F231" s="321"/>
      <c r="G231" s="188"/>
      <c r="H231" s="188"/>
      <c r="I231" s="14"/>
      <c r="J231" s="178"/>
      <c r="K231" s="179"/>
      <c r="L231" s="190">
        <f t="shared" ref="L231:L240" si="3">L219*(1+ M231)</f>
        <v>30283168.733809941</v>
      </c>
      <c r="M231" s="277">
        <f>M230</f>
        <v>-0.04</v>
      </c>
    </row>
    <row r="232" spans="1:14">
      <c r="A232" s="173">
        <v>39873</v>
      </c>
      <c r="D232" s="169"/>
      <c r="E232" s="169"/>
      <c r="F232" s="321"/>
      <c r="G232" s="188"/>
      <c r="H232" s="188"/>
      <c r="I232" s="14"/>
      <c r="J232" s="178"/>
      <c r="K232" s="179"/>
      <c r="L232" s="190">
        <f t="shared" si="3"/>
        <v>29638505.206305508</v>
      </c>
      <c r="M232" s="277">
        <f t="shared" ref="M232:M241" si="4">M231</f>
        <v>-0.04</v>
      </c>
    </row>
    <row r="233" spans="1:14">
      <c r="A233" s="173">
        <v>39904</v>
      </c>
      <c r="D233" s="169"/>
      <c r="E233" s="169"/>
      <c r="F233" s="321"/>
      <c r="G233" s="188"/>
      <c r="H233" s="188"/>
      <c r="I233" s="14"/>
      <c r="J233" s="178"/>
      <c r="K233" s="179"/>
      <c r="L233" s="190">
        <f t="shared" si="3"/>
        <v>26610687.44031857</v>
      </c>
      <c r="M233" s="277">
        <f t="shared" si="4"/>
        <v>-0.04</v>
      </c>
    </row>
    <row r="234" spans="1:14">
      <c r="A234" s="173">
        <v>39934</v>
      </c>
      <c r="D234" s="169"/>
      <c r="E234" s="169"/>
      <c r="F234" s="321"/>
      <c r="G234" s="188"/>
      <c r="H234" s="188"/>
      <c r="I234" s="14"/>
      <c r="J234" s="178"/>
      <c r="K234" s="179"/>
      <c r="L234" s="190">
        <f t="shared" si="3"/>
        <v>24879694.936920278</v>
      </c>
      <c r="M234" s="277">
        <f t="shared" si="4"/>
        <v>-0.04</v>
      </c>
    </row>
    <row r="235" spans="1:14">
      <c r="A235" s="173">
        <v>39965</v>
      </c>
      <c r="D235" s="169"/>
      <c r="E235" s="169"/>
      <c r="F235" s="321"/>
      <c r="G235" s="188"/>
      <c r="H235" s="188"/>
      <c r="I235" s="14"/>
      <c r="J235" s="178"/>
      <c r="K235" s="179"/>
      <c r="L235" s="190">
        <f t="shared" si="3"/>
        <v>25166997.221577156</v>
      </c>
      <c r="M235" s="277">
        <f t="shared" si="4"/>
        <v>-0.04</v>
      </c>
    </row>
    <row r="236" spans="1:14">
      <c r="A236" s="173">
        <v>39995</v>
      </c>
      <c r="D236" s="169"/>
      <c r="E236" s="169"/>
      <c r="F236" s="321"/>
      <c r="G236" s="188"/>
      <c r="H236" s="188"/>
      <c r="I236" s="14"/>
      <c r="J236" s="178"/>
      <c r="K236" s="179"/>
      <c r="L236" s="190">
        <f t="shared" si="3"/>
        <v>26772602.26272735</v>
      </c>
      <c r="M236" s="277">
        <f t="shared" si="4"/>
        <v>-0.04</v>
      </c>
    </row>
    <row r="237" spans="1:14">
      <c r="A237" s="173">
        <v>40026</v>
      </c>
      <c r="D237" s="169"/>
      <c r="E237" s="169"/>
      <c r="F237" s="321"/>
      <c r="G237" s="188"/>
      <c r="H237" s="188"/>
      <c r="I237" s="14"/>
      <c r="J237" s="178"/>
      <c r="K237" s="179"/>
      <c r="L237" s="190">
        <f t="shared" si="3"/>
        <v>25799581.762639984</v>
      </c>
      <c r="M237" s="277">
        <f t="shared" si="4"/>
        <v>-0.04</v>
      </c>
    </row>
    <row r="238" spans="1:14">
      <c r="A238" s="173">
        <v>40057</v>
      </c>
      <c r="D238" s="169"/>
      <c r="E238" s="169"/>
      <c r="F238" s="321"/>
      <c r="G238" s="188"/>
      <c r="H238" s="188"/>
      <c r="I238" s="14"/>
      <c r="J238" s="178"/>
      <c r="K238" s="179"/>
      <c r="L238" s="190">
        <f t="shared" si="3"/>
        <v>23943527.145311475</v>
      </c>
      <c r="M238" s="277">
        <f t="shared" si="4"/>
        <v>-0.04</v>
      </c>
    </row>
    <row r="239" spans="1:14">
      <c r="A239" s="173">
        <v>40087</v>
      </c>
      <c r="D239" s="169"/>
      <c r="E239" s="169"/>
      <c r="F239" s="321"/>
      <c r="G239" s="188"/>
      <c r="H239" s="188"/>
      <c r="I239" s="14"/>
      <c r="J239" s="178"/>
      <c r="K239" s="179"/>
      <c r="L239" s="190">
        <f t="shared" si="3"/>
        <v>26188068.541081484</v>
      </c>
      <c r="M239" s="277">
        <f t="shared" si="4"/>
        <v>-0.04</v>
      </c>
    </row>
    <row r="240" spans="1:14">
      <c r="A240" s="173">
        <v>40118</v>
      </c>
      <c r="D240" s="169"/>
      <c r="E240" s="169"/>
      <c r="F240" s="321"/>
      <c r="G240" s="188"/>
      <c r="H240" s="188"/>
      <c r="I240" s="14"/>
      <c r="J240" s="178"/>
      <c r="K240" s="179"/>
      <c r="L240" s="190">
        <f t="shared" si="3"/>
        <v>27530461.365189031</v>
      </c>
      <c r="M240" s="277">
        <f t="shared" si="4"/>
        <v>-0.04</v>
      </c>
    </row>
    <row r="241" spans="1:13">
      <c r="A241" s="173">
        <v>40148</v>
      </c>
      <c r="D241" s="169"/>
      <c r="E241" s="169"/>
      <c r="F241" s="321"/>
      <c r="G241" s="188"/>
      <c r="H241" s="188"/>
      <c r="I241" s="14"/>
      <c r="J241" s="178"/>
      <c r="K241" s="179"/>
      <c r="L241" s="190">
        <f>L229*(1+ M241)</f>
        <v>31301126.512026824</v>
      </c>
      <c r="M241" s="277">
        <f t="shared" si="4"/>
        <v>-0.04</v>
      </c>
    </row>
    <row r="242" spans="1:13">
      <c r="A242" s="173">
        <v>40179</v>
      </c>
      <c r="D242" s="169"/>
      <c r="E242" s="169"/>
      <c r="F242" s="321"/>
      <c r="G242" s="188"/>
      <c r="H242" s="188"/>
      <c r="I242" s="14"/>
      <c r="J242" s="178"/>
      <c r="K242" s="179"/>
      <c r="L242" s="190">
        <f>L230*(1+ M242)</f>
        <v>32827222.971890479</v>
      </c>
      <c r="M242" s="278">
        <v>-3.0000000000000001E-3</v>
      </c>
    </row>
    <row r="243" spans="1:13">
      <c r="A243" s="173">
        <v>40210</v>
      </c>
      <c r="D243" s="169"/>
      <c r="E243" s="169"/>
      <c r="F243" s="321"/>
      <c r="G243" s="188"/>
      <c r="H243" s="188"/>
      <c r="I243" s="14"/>
      <c r="J243" s="178"/>
      <c r="K243" s="179"/>
      <c r="L243" s="190">
        <f t="shared" ref="L243:L253" si="5">L231*(1+ M243)</f>
        <v>30192319.227608509</v>
      </c>
      <c r="M243" s="277">
        <f>M242</f>
        <v>-3.0000000000000001E-3</v>
      </c>
    </row>
    <row r="244" spans="1:13">
      <c r="A244" s="173">
        <v>40238</v>
      </c>
      <c r="D244" s="169"/>
      <c r="E244" s="169"/>
      <c r="F244" s="321"/>
      <c r="G244" s="188"/>
      <c r="H244" s="188"/>
      <c r="I244" s="14"/>
      <c r="J244" s="178"/>
      <c r="K244" s="179"/>
      <c r="L244" s="190">
        <f t="shared" si="5"/>
        <v>29549589.690686591</v>
      </c>
      <c r="M244" s="277">
        <f t="shared" ref="M244:M253" si="6">M243</f>
        <v>-3.0000000000000001E-3</v>
      </c>
    </row>
    <row r="245" spans="1:13">
      <c r="A245" s="173">
        <v>40269</v>
      </c>
      <c r="D245" s="169"/>
      <c r="E245" s="169"/>
      <c r="F245" s="321"/>
      <c r="G245" s="188"/>
      <c r="H245" s="188"/>
      <c r="I245" s="14"/>
      <c r="J245" s="178"/>
      <c r="K245" s="179"/>
      <c r="L245" s="190">
        <f t="shared" si="5"/>
        <v>26530855.377997614</v>
      </c>
      <c r="M245" s="277">
        <f t="shared" si="6"/>
        <v>-3.0000000000000001E-3</v>
      </c>
    </row>
    <row r="246" spans="1:13">
      <c r="A246" s="173">
        <v>40299</v>
      </c>
      <c r="D246" s="169"/>
      <c r="E246" s="169"/>
      <c r="F246" s="321"/>
      <c r="G246" s="188"/>
      <c r="H246" s="188"/>
      <c r="I246" s="14"/>
      <c r="J246" s="178"/>
      <c r="K246" s="179"/>
      <c r="L246" s="190">
        <f t="shared" si="5"/>
        <v>24805055.852109518</v>
      </c>
      <c r="M246" s="277">
        <f t="shared" si="6"/>
        <v>-3.0000000000000001E-3</v>
      </c>
    </row>
    <row r="247" spans="1:13">
      <c r="A247" s="173">
        <v>40330</v>
      </c>
      <c r="D247" s="169"/>
      <c r="E247" s="169"/>
      <c r="F247" s="321"/>
      <c r="G247" s="188"/>
      <c r="H247" s="188"/>
      <c r="I247" s="14"/>
      <c r="J247" s="178"/>
      <c r="K247" s="179"/>
      <c r="L247" s="190">
        <f t="shared" si="5"/>
        <v>25091496.229912426</v>
      </c>
      <c r="M247" s="277">
        <f t="shared" si="6"/>
        <v>-3.0000000000000001E-3</v>
      </c>
    </row>
    <row r="248" spans="1:13">
      <c r="A248" s="173">
        <v>40360</v>
      </c>
      <c r="D248" s="169"/>
      <c r="E248" s="169"/>
      <c r="F248" s="321"/>
      <c r="G248" s="188"/>
      <c r="H248" s="188"/>
      <c r="I248" s="14"/>
      <c r="J248" s="178"/>
      <c r="K248" s="179"/>
      <c r="L248" s="190">
        <f t="shared" si="5"/>
        <v>26692284.455939166</v>
      </c>
      <c r="M248" s="277">
        <f t="shared" si="6"/>
        <v>-3.0000000000000001E-3</v>
      </c>
    </row>
    <row r="249" spans="1:13">
      <c r="A249" s="173">
        <v>40391</v>
      </c>
      <c r="D249" s="169"/>
      <c r="E249" s="169"/>
      <c r="F249" s="321"/>
      <c r="G249" s="188"/>
      <c r="H249" s="188"/>
      <c r="I249" s="14"/>
      <c r="J249" s="178"/>
      <c r="K249" s="179"/>
      <c r="L249" s="190">
        <f t="shared" si="5"/>
        <v>25722183.017352063</v>
      </c>
      <c r="M249" s="277">
        <f t="shared" si="6"/>
        <v>-3.0000000000000001E-3</v>
      </c>
    </row>
    <row r="250" spans="1:13">
      <c r="A250" s="173">
        <v>40422</v>
      </c>
      <c r="D250" s="169"/>
      <c r="E250" s="169"/>
      <c r="F250" s="321"/>
      <c r="G250" s="188"/>
      <c r="H250" s="188"/>
      <c r="I250" s="14"/>
      <c r="J250" s="178"/>
      <c r="K250" s="179"/>
      <c r="L250" s="190">
        <f t="shared" si="5"/>
        <v>23871696.563875541</v>
      </c>
      <c r="M250" s="277">
        <f t="shared" si="6"/>
        <v>-3.0000000000000001E-3</v>
      </c>
    </row>
    <row r="251" spans="1:13">
      <c r="A251" s="173">
        <v>40452</v>
      </c>
      <c r="D251" s="169"/>
      <c r="E251" s="169"/>
      <c r="F251" s="321"/>
      <c r="G251" s="188"/>
      <c r="H251" s="188"/>
      <c r="I251" s="14"/>
      <c r="J251" s="178"/>
      <c r="K251" s="179"/>
      <c r="L251" s="190">
        <f t="shared" si="5"/>
        <v>26109504.335458241</v>
      </c>
      <c r="M251" s="277">
        <f t="shared" si="6"/>
        <v>-3.0000000000000001E-3</v>
      </c>
    </row>
    <row r="252" spans="1:13">
      <c r="A252" s="173">
        <v>40483</v>
      </c>
      <c r="D252" s="169"/>
      <c r="E252" s="169"/>
      <c r="F252" s="321"/>
      <c r="G252" s="188"/>
      <c r="H252" s="188"/>
      <c r="I252" s="14"/>
      <c r="J252" s="178"/>
      <c r="K252" s="179"/>
      <c r="L252" s="190">
        <f t="shared" si="5"/>
        <v>27447869.981093463</v>
      </c>
      <c r="M252" s="277">
        <f t="shared" si="6"/>
        <v>-3.0000000000000001E-3</v>
      </c>
    </row>
    <row r="253" spans="1:13">
      <c r="A253" s="173">
        <v>40513</v>
      </c>
      <c r="D253" s="169"/>
      <c r="E253" s="169"/>
      <c r="F253" s="321"/>
      <c r="G253" s="188"/>
      <c r="H253" s="188"/>
      <c r="I253" s="14"/>
      <c r="J253" s="178"/>
      <c r="K253" s="179"/>
      <c r="L253" s="190">
        <f t="shared" si="5"/>
        <v>31207223.132490743</v>
      </c>
      <c r="M253" s="277">
        <f t="shared" si="6"/>
        <v>-3.0000000000000001E-3</v>
      </c>
    </row>
    <row r="254" spans="1:13">
      <c r="A254" s="173"/>
      <c r="D254" s="169"/>
      <c r="E254" s="169"/>
      <c r="F254" s="23"/>
      <c r="G254" s="14"/>
      <c r="H254" s="14"/>
      <c r="I254" s="14"/>
      <c r="K254" s="14"/>
      <c r="L254" s="190"/>
    </row>
    <row r="255" spans="1:13">
      <c r="A255" s="203" t="s">
        <v>77</v>
      </c>
      <c r="B255" s="27"/>
      <c r="C255" s="27"/>
      <c r="D255" s="204"/>
      <c r="E255" s="204"/>
      <c r="F255" s="205"/>
      <c r="G255" s="204"/>
      <c r="H255" s="204"/>
      <c r="I255" s="204"/>
      <c r="J255" s="204"/>
      <c r="K255" s="204"/>
      <c r="L255" s="206">
        <f>SUM(L62:L253)</f>
        <v>5198358947.8230991</v>
      </c>
    </row>
    <row r="256" spans="1:13">
      <c r="A256" s="173"/>
      <c r="L256" s="192"/>
    </row>
    <row r="257" spans="1:14">
      <c r="A257" s="173"/>
      <c r="L257" s="192"/>
    </row>
    <row r="258" spans="1:14">
      <c r="A258" s="201">
        <v>1996</v>
      </c>
      <c r="B258" s="193">
        <f>SUM(B62:B73)</f>
        <v>300910932.99000001</v>
      </c>
      <c r="C258" s="193">
        <f>SUM(C62:C73)</f>
        <v>300910932.99000001</v>
      </c>
      <c r="L258" s="193">
        <f>SUM(L62:L73)</f>
        <v>300350316.64509326</v>
      </c>
      <c r="M258" s="26">
        <f>L258-C258</f>
        <v>-560616.34490674734</v>
      </c>
      <c r="N258" s="2">
        <f>M258/C258</f>
        <v>-1.8630640613027443E-3</v>
      </c>
    </row>
    <row r="259" spans="1:14">
      <c r="A259" s="202">
        <v>1997</v>
      </c>
      <c r="B259" s="193">
        <f>SUM(B74:B85)</f>
        <v>302782938</v>
      </c>
      <c r="C259" s="193">
        <f>SUM(C74:C85)</f>
        <v>302782938</v>
      </c>
      <c r="L259" s="193">
        <f>SUM(L74:L85)</f>
        <v>302404723.68003231</v>
      </c>
      <c r="M259" s="26">
        <f t="shared" ref="M259:M270" si="7">L259-C259</f>
        <v>-378214.31996768713</v>
      </c>
      <c r="N259" s="2">
        <f>M259/C259</f>
        <v>-1.2491269239473697E-3</v>
      </c>
    </row>
    <row r="260" spans="1:14">
      <c r="A260" s="201">
        <v>1998</v>
      </c>
      <c r="B260" s="193">
        <f>SUM(B86:B97)</f>
        <v>298894605.26938093</v>
      </c>
      <c r="C260" s="193">
        <f>SUM(C86:C97)</f>
        <v>298894605.26938093</v>
      </c>
      <c r="L260" s="193">
        <f>SUM(L86:L97)</f>
        <v>300586753.93161839</v>
      </c>
      <c r="M260" s="26">
        <f t="shared" si="7"/>
        <v>1692148.6622374654</v>
      </c>
      <c r="N260" s="2">
        <f t="shared" ref="N260:N269" si="8">M260/C260</f>
        <v>5.661355649803061E-3</v>
      </c>
    </row>
    <row r="261" spans="1:14">
      <c r="A261" s="202">
        <v>1999</v>
      </c>
      <c r="B261" s="193">
        <f>SUM(B98:B109)</f>
        <v>309673968.78091085</v>
      </c>
      <c r="C261" s="193">
        <f>SUM(C98:C109)</f>
        <v>309673968.78091085</v>
      </c>
      <c r="L261" s="193">
        <f>SUM(L98:L109)</f>
        <v>307833479.24243599</v>
      </c>
      <c r="M261" s="26">
        <f t="shared" si="7"/>
        <v>-1840489.5384748578</v>
      </c>
      <c r="N261" s="2">
        <f t="shared" si="8"/>
        <v>-5.9433136912356152E-3</v>
      </c>
    </row>
    <row r="262" spans="1:14">
      <c r="A262" s="201">
        <v>2000</v>
      </c>
      <c r="B262" s="193">
        <f>SUM(B110:B121)</f>
        <v>315124971.38</v>
      </c>
      <c r="C262" s="193">
        <f>SUM(C110:C121)</f>
        <v>315124971.38</v>
      </c>
      <c r="L262" s="193">
        <f>SUM(L110:L121)</f>
        <v>315277683.99659008</v>
      </c>
      <c r="M262" s="26">
        <f t="shared" si="7"/>
        <v>152712.61659008265</v>
      </c>
      <c r="N262" s="2">
        <f t="shared" si="8"/>
        <v>4.8460969602415595E-4</v>
      </c>
    </row>
    <row r="263" spans="1:14">
      <c r="A263" s="202">
        <v>2001</v>
      </c>
      <c r="B263" s="193">
        <f>SUM(B122:B133)</f>
        <v>316396656.49000001</v>
      </c>
      <c r="C263" s="193">
        <f>SUM(C122:C133)</f>
        <v>316396656.49000001</v>
      </c>
      <c r="L263" s="193">
        <f>SUM(L122:L133)</f>
        <v>318685741.02586961</v>
      </c>
      <c r="M263" s="26">
        <f t="shared" si="7"/>
        <v>2289084.5358695984</v>
      </c>
      <c r="N263" s="2">
        <f t="shared" si="8"/>
        <v>7.2348569079836245E-3</v>
      </c>
    </row>
    <row r="264" spans="1:14">
      <c r="A264" s="201">
        <v>2002</v>
      </c>
      <c r="B264" s="193">
        <f>SUM(B134:B145)</f>
        <v>327757662.71000004</v>
      </c>
      <c r="C264" s="193">
        <f>SUM(C134:C145)</f>
        <v>327858855.01000005</v>
      </c>
      <c r="L264" s="193">
        <f>SUM(L134:L145)</f>
        <v>328120844.52430135</v>
      </c>
      <c r="M264" s="26">
        <f t="shared" si="7"/>
        <v>261989.51430130005</v>
      </c>
      <c r="N264" s="2">
        <f t="shared" si="8"/>
        <v>7.990923847193607E-4</v>
      </c>
    </row>
    <row r="265" spans="1:14">
      <c r="A265" s="202">
        <v>2003</v>
      </c>
      <c r="B265" s="193">
        <f>SUM(B146:B157)</f>
        <v>326500796.99000001</v>
      </c>
      <c r="C265" s="193">
        <f>SUM(C146:C157)</f>
        <v>326758736.68000007</v>
      </c>
      <c r="L265" s="193">
        <f>SUM(L146:L157)</f>
        <v>328200247.079952</v>
      </c>
      <c r="M265" s="26">
        <f t="shared" si="7"/>
        <v>1441510.3999519348</v>
      </c>
      <c r="N265" s="2">
        <f t="shared" si="8"/>
        <v>4.4115435584010975E-3</v>
      </c>
    </row>
    <row r="266" spans="1:14">
      <c r="A266" s="201">
        <v>2004</v>
      </c>
      <c r="B266" s="193">
        <f>SUM(B158:B169)</f>
        <v>327528745.51804644</v>
      </c>
      <c r="C266" s="193">
        <f>SUM(C158:C169)</f>
        <v>329583057.43000001</v>
      </c>
      <c r="L266" s="193">
        <f>SUM(L158:L169)</f>
        <v>330620504.72542536</v>
      </c>
      <c r="M266" s="26">
        <f t="shared" si="7"/>
        <v>1037447.2954253554</v>
      </c>
      <c r="N266" s="2">
        <f t="shared" si="8"/>
        <v>3.1477567552018306E-3</v>
      </c>
    </row>
    <row r="267" spans="1:14">
      <c r="A267" s="202">
        <v>2005</v>
      </c>
      <c r="B267" s="193">
        <f>SUM(B170:B181)</f>
        <v>336014548.43601549</v>
      </c>
      <c r="C267" s="193">
        <f>SUM(C170:C181)</f>
        <v>346922941.25999999</v>
      </c>
      <c r="L267" s="193">
        <f>SUM(L170:L181)</f>
        <v>341466690.62847179</v>
      </c>
      <c r="M267" s="26">
        <f t="shared" si="7"/>
        <v>-5456250.6315281987</v>
      </c>
      <c r="N267" s="2">
        <f t="shared" si="8"/>
        <v>-1.5727557859712235E-2</v>
      </c>
    </row>
    <row r="268" spans="1:14">
      <c r="A268" s="201">
        <v>2006</v>
      </c>
      <c r="B268" s="193">
        <f>SUM(B182:B193)</f>
        <v>329619236.28121853</v>
      </c>
      <c r="C268" s="193">
        <f>SUM(C182:C193)</f>
        <v>339836661.57000005</v>
      </c>
      <c r="L268" s="193">
        <f>SUM(L182:L193)</f>
        <v>337109848.359218</v>
      </c>
      <c r="M268" s="26">
        <f t="shared" si="7"/>
        <v>-2726813.2107820511</v>
      </c>
      <c r="N268" s="2">
        <f t="shared" si="8"/>
        <v>-8.0238935910697147E-3</v>
      </c>
    </row>
    <row r="269" spans="1:14">
      <c r="A269" s="202">
        <v>2007</v>
      </c>
      <c r="B269" s="193">
        <f>SUM(B194:B205)</f>
        <v>333545240.56000006</v>
      </c>
      <c r="C269" s="193">
        <f>SUM(C194:C205)</f>
        <v>340350915</v>
      </c>
      <c r="L269" s="193">
        <f>SUM(L194:L205)</f>
        <v>342278128.91195983</v>
      </c>
      <c r="M269" s="26">
        <f t="shared" si="7"/>
        <v>1927213.9119598269</v>
      </c>
      <c r="N269" s="2">
        <f t="shared" si="8"/>
        <v>5.6624319989262463E-3</v>
      </c>
    </row>
    <row r="270" spans="1:14">
      <c r="A270" s="201">
        <v>2008</v>
      </c>
      <c r="B270" s="193">
        <f>SUM(B206:B217)</f>
        <v>330465157</v>
      </c>
      <c r="C270" s="193">
        <f>SUM(C206:C217)</f>
        <v>337342212</v>
      </c>
      <c r="L270" s="193">
        <f>SUM(L206:L217)</f>
        <v>339502489.10932589</v>
      </c>
      <c r="M270" s="26">
        <f t="shared" si="7"/>
        <v>2160277.1093258858</v>
      </c>
      <c r="N270" s="2">
        <f>M270/C270</f>
        <v>6.4038149762469859E-3</v>
      </c>
    </row>
    <row r="271" spans="1:14">
      <c r="A271" s="201" t="s">
        <v>309</v>
      </c>
      <c r="B271" s="193"/>
      <c r="C271" s="193"/>
      <c r="L271" s="193">
        <f>SUM(L218:L229)</f>
        <v>344833773.02366936</v>
      </c>
      <c r="M271" s="26"/>
      <c r="N271" s="2"/>
    </row>
    <row r="272" spans="1:14">
      <c r="A272" s="224">
        <v>2009</v>
      </c>
      <c r="B272" s="216"/>
      <c r="C272" s="216"/>
      <c r="D272" s="225"/>
      <c r="E272" s="225"/>
      <c r="F272" s="226"/>
      <c r="G272" s="225"/>
      <c r="H272" s="225"/>
      <c r="I272" s="225"/>
      <c r="J272" s="225"/>
      <c r="K272" s="225"/>
      <c r="L272" s="216">
        <f>SUM(L230:L241)</f>
        <v>331040422.10272253</v>
      </c>
      <c r="M272" s="26"/>
      <c r="N272" s="2"/>
    </row>
    <row r="273" spans="1:14">
      <c r="A273" s="209">
        <v>2010</v>
      </c>
      <c r="B273" s="216"/>
      <c r="C273" s="216"/>
      <c r="D273" s="225"/>
      <c r="E273" s="225"/>
      <c r="F273" s="226"/>
      <c r="G273" s="225"/>
      <c r="H273" s="225"/>
      <c r="I273" s="225"/>
      <c r="J273" s="225"/>
      <c r="K273" s="225"/>
      <c r="L273" s="216">
        <f>SUM(L242:L253)</f>
        <v>330047300.8364144</v>
      </c>
      <c r="M273" s="26"/>
      <c r="N273" s="2"/>
    </row>
    <row r="274" spans="1:14" ht="13.5" thickBot="1">
      <c r="A274" s="202"/>
      <c r="B274" s="193"/>
      <c r="C274" s="193"/>
      <c r="L274" s="193"/>
      <c r="M274" s="26"/>
      <c r="N274" s="2"/>
    </row>
    <row r="275" spans="1:14">
      <c r="A275" s="201"/>
      <c r="B275" s="193"/>
      <c r="C275" s="193"/>
      <c r="L275" s="426" t="s">
        <v>169</v>
      </c>
      <c r="M275" s="427"/>
    </row>
    <row r="276" spans="1:14">
      <c r="A276" s="207" t="s">
        <v>224</v>
      </c>
      <c r="B276" s="208">
        <f>SUM(B258:B270)</f>
        <v>4155215460.4055719</v>
      </c>
      <c r="C276" s="208">
        <f>SUM(C258:C270)</f>
        <v>4192437451.860292</v>
      </c>
      <c r="D276" s="204"/>
      <c r="E276" s="204"/>
      <c r="F276" s="205"/>
      <c r="G276" s="204"/>
      <c r="H276" s="204"/>
      <c r="I276" s="204"/>
      <c r="J276" s="204"/>
      <c r="K276" s="204"/>
      <c r="L276" s="210">
        <f>SUM(L258:L270)</f>
        <v>4192437451.8602934</v>
      </c>
      <c r="M276" s="213">
        <f>L276-C276</f>
        <v>0</v>
      </c>
    </row>
    <row r="277" spans="1:14">
      <c r="L277" s="211"/>
      <c r="M277" s="214"/>
    </row>
    <row r="278" spans="1:14">
      <c r="L278" s="212">
        <f>SUM(L258:L273)</f>
        <v>5198358947.8230991</v>
      </c>
      <c r="M278" s="213">
        <f>L278-L255</f>
        <v>0</v>
      </c>
    </row>
    <row r="279" spans="1:14" ht="13.5" thickBot="1">
      <c r="L279" s="424" t="s">
        <v>169</v>
      </c>
      <c r="M279" s="425"/>
    </row>
    <row r="281" spans="1:14">
      <c r="A281" s="300" t="s">
        <v>325</v>
      </c>
    </row>
    <row r="282" spans="1:14">
      <c r="A282" s="279">
        <v>39448</v>
      </c>
      <c r="B282" s="280">
        <v>32099905</v>
      </c>
      <c r="C282" s="280">
        <v>32784593</v>
      </c>
      <c r="D282" s="312">
        <f>(D98+D110+D122+D134+D146+D158+D170+D182+D194+D206)/10</f>
        <v>787.53000000000009</v>
      </c>
      <c r="E282" s="312">
        <f>(E98+E110+E122+E134+E146+E158+E170+E182+E194+E206)/10</f>
        <v>0</v>
      </c>
      <c r="F282" s="281">
        <f t="shared" ref="F282:F293" si="9">F218</f>
        <v>140.29969417988008</v>
      </c>
      <c r="G282" s="282">
        <v>31</v>
      </c>
      <c r="H282" s="282">
        <v>0</v>
      </c>
      <c r="I282" s="283">
        <f>I218</f>
        <v>30619.366666666676</v>
      </c>
      <c r="J282" s="284">
        <v>352</v>
      </c>
      <c r="K282" s="285">
        <v>0</v>
      </c>
      <c r="L282" s="286">
        <f>'Regression Results'!$E$20+D282*'Regression Results'!$E$21+E282*'Regression Results'!$E$22+F282*'Regression Results'!$E$23+G282*'Regression Results'!$E$24+H282*'Regression Results'!$E$25+I282*'Regression Results'!$E$26+J282*'Regression Results'!$E$27+K282*'Regression Results'!$E$28</f>
        <v>34258916.781181082</v>
      </c>
      <c r="M282" s="170"/>
    </row>
    <row r="283" spans="1:14">
      <c r="A283" s="279">
        <v>39479</v>
      </c>
      <c r="B283" s="280">
        <v>30212673</v>
      </c>
      <c r="C283" s="280">
        <v>30859005</v>
      </c>
      <c r="D283" s="312">
        <f t="shared" ref="D283:E293" si="10">(D99+D111+D123+D135+D147+D159+D171+D183+D195+D207)/10</f>
        <v>679.62000000000012</v>
      </c>
      <c r="E283" s="312">
        <f t="shared" si="10"/>
        <v>0</v>
      </c>
      <c r="F283" s="281">
        <f t="shared" si="9"/>
        <v>140.25284165670035</v>
      </c>
      <c r="G283" s="282">
        <v>29</v>
      </c>
      <c r="H283" s="282">
        <v>0</v>
      </c>
      <c r="I283" s="283">
        <f t="shared" ref="I283:I293" si="11">I219</f>
        <v>30638.333333333343</v>
      </c>
      <c r="J283" s="284">
        <v>320</v>
      </c>
      <c r="K283" s="285">
        <v>0</v>
      </c>
      <c r="L283" s="286">
        <f>'Regression Results'!$E$20+D283*'Regression Results'!$E$21+E283*'Regression Results'!$E$22+F283*'Regression Results'!$E$23+G283*'Regression Results'!$E$24+H283*'Regression Results'!$E$25+I283*'Regression Results'!$E$26+J283*'Regression Results'!$E$27+K283*'Regression Results'!$E$28</f>
        <v>31602618.341972582</v>
      </c>
      <c r="M283" s="170"/>
    </row>
    <row r="284" spans="1:14">
      <c r="A284" s="279">
        <v>39508</v>
      </c>
      <c r="B284" s="280">
        <v>30613672</v>
      </c>
      <c r="C284" s="280">
        <v>31264871</v>
      </c>
      <c r="D284" s="312">
        <f t="shared" si="10"/>
        <v>583.08000000000004</v>
      </c>
      <c r="E284" s="312">
        <f t="shared" si="10"/>
        <v>0</v>
      </c>
      <c r="F284" s="281">
        <f t="shared" si="9"/>
        <v>140.20600477973383</v>
      </c>
      <c r="G284" s="282">
        <v>31</v>
      </c>
      <c r="H284" s="282">
        <v>1</v>
      </c>
      <c r="I284" s="283">
        <f t="shared" si="11"/>
        <v>30657.30000000001</v>
      </c>
      <c r="J284" s="284">
        <v>304</v>
      </c>
      <c r="K284" s="285">
        <v>0</v>
      </c>
      <c r="L284" s="286">
        <f>'Regression Results'!$E$20+D284*'Regression Results'!$E$21+E284*'Regression Results'!$E$22+F284*'Regression Results'!$E$23+G284*'Regression Results'!$E$24+H284*'Regression Results'!$E$25+I284*'Regression Results'!$E$26+J284*'Regression Results'!$E$27+K284*'Regression Results'!$E$28</f>
        <v>30722591.695660509</v>
      </c>
      <c r="M284" s="170"/>
    </row>
    <row r="285" spans="1:14">
      <c r="A285" s="279">
        <v>39539</v>
      </c>
      <c r="B285" s="280">
        <v>25539772</v>
      </c>
      <c r="C285" s="280">
        <v>26069763</v>
      </c>
      <c r="D285" s="312">
        <f t="shared" si="10"/>
        <v>351.10999999999996</v>
      </c>
      <c r="E285" s="312">
        <f t="shared" si="10"/>
        <v>0.99</v>
      </c>
      <c r="F285" s="281">
        <f t="shared" si="9"/>
        <v>140.15918354375555</v>
      </c>
      <c r="G285" s="282">
        <v>30</v>
      </c>
      <c r="H285" s="282">
        <v>1</v>
      </c>
      <c r="I285" s="283">
        <f t="shared" si="11"/>
        <v>30676.266666666677</v>
      </c>
      <c r="J285" s="284">
        <v>352</v>
      </c>
      <c r="K285" s="285">
        <v>0</v>
      </c>
      <c r="L285" s="286">
        <f>'Regression Results'!$E$20+D285*'Regression Results'!$E$21+E285*'Regression Results'!$E$22+F285*'Regression Results'!$E$23+G285*'Regression Results'!$E$24+H285*'Regression Results'!$E$25+I285*'Regression Results'!$E$26+J285*'Regression Results'!$E$27+K285*'Regression Results'!$E$28</f>
        <v>27602397.333081048</v>
      </c>
      <c r="M285" s="170"/>
    </row>
    <row r="286" spans="1:14">
      <c r="A286" s="279">
        <v>39569</v>
      </c>
      <c r="B286" s="280">
        <v>24484663</v>
      </c>
      <c r="C286" s="280">
        <v>24996489</v>
      </c>
      <c r="D286" s="312">
        <f t="shared" si="10"/>
        <v>167.68</v>
      </c>
      <c r="E286" s="312">
        <f t="shared" si="10"/>
        <v>6.669999999999999</v>
      </c>
      <c r="F286" s="281">
        <f t="shared" si="9"/>
        <v>140.11237794354221</v>
      </c>
      <c r="G286" s="282">
        <v>31</v>
      </c>
      <c r="H286" s="282">
        <v>1</v>
      </c>
      <c r="I286" s="283">
        <f t="shared" si="11"/>
        <v>30695.233333333344</v>
      </c>
      <c r="J286" s="284">
        <v>336</v>
      </c>
      <c r="K286" s="285">
        <v>0</v>
      </c>
      <c r="L286" s="286">
        <f>'Regression Results'!$E$20+D286*'Regression Results'!$E$21+E286*'Regression Results'!$E$22+F286*'Regression Results'!$E$23+G286*'Regression Results'!$E$24+H286*'Regression Results'!$E$25+I286*'Regression Results'!$E$26+J286*'Regression Results'!$E$27+K286*'Regression Results'!$E$28</f>
        <v>25876110.641527016</v>
      </c>
      <c r="M286" s="170"/>
    </row>
    <row r="287" spans="1:14">
      <c r="A287" s="279">
        <v>39600</v>
      </c>
      <c r="B287" s="280">
        <v>25201494</v>
      </c>
      <c r="C287" s="280">
        <v>25726372</v>
      </c>
      <c r="D287" s="312">
        <f t="shared" si="10"/>
        <v>41.04</v>
      </c>
      <c r="E287" s="312">
        <f t="shared" si="10"/>
        <v>57.239999999999995</v>
      </c>
      <c r="F287" s="281">
        <f t="shared" si="9"/>
        <v>140.06558797387237</v>
      </c>
      <c r="G287" s="282">
        <v>30</v>
      </c>
      <c r="H287" s="282">
        <v>0</v>
      </c>
      <c r="I287" s="283">
        <f t="shared" si="11"/>
        <v>30714.200000000012</v>
      </c>
      <c r="J287" s="284">
        <v>336</v>
      </c>
      <c r="K287" s="285">
        <v>0</v>
      </c>
      <c r="L287" s="286">
        <f>'Regression Results'!$E$20+D287*'Regression Results'!$E$21+E287*'Regression Results'!$E$22+F287*'Regression Results'!$E$23+G287*'Regression Results'!$E$24+H287*'Regression Results'!$E$25+I287*'Regression Results'!$E$26+J287*'Regression Results'!$E$27+K287*'Regression Results'!$E$28</f>
        <v>26286097.283789635</v>
      </c>
      <c r="M287" s="170"/>
    </row>
    <row r="288" spans="1:14">
      <c r="A288" s="279">
        <v>39630</v>
      </c>
      <c r="B288" s="280">
        <v>27167060</v>
      </c>
      <c r="C288" s="280">
        <v>27722067</v>
      </c>
      <c r="D288" s="312">
        <f t="shared" si="10"/>
        <v>8.9</v>
      </c>
      <c r="E288" s="312">
        <f t="shared" si="10"/>
        <v>98.61</v>
      </c>
      <c r="F288" s="281">
        <f t="shared" si="9"/>
        <v>140.01881362952622</v>
      </c>
      <c r="G288" s="282">
        <v>31</v>
      </c>
      <c r="H288" s="282">
        <v>0</v>
      </c>
      <c r="I288" s="283">
        <f t="shared" si="11"/>
        <v>30733.166666666679</v>
      </c>
      <c r="J288" s="284">
        <v>352</v>
      </c>
      <c r="K288" s="285">
        <v>0</v>
      </c>
      <c r="L288" s="286">
        <f>'Regression Results'!$E$20+D288*'Regression Results'!$E$21+E288*'Regression Results'!$E$22+F288*'Regression Results'!$E$23+G288*'Regression Results'!$E$24+H288*'Regression Results'!$E$25+I288*'Regression Results'!$E$26+J288*'Regression Results'!$E$27+K288*'Regression Results'!$E$28</f>
        <v>28141918.159821391</v>
      </c>
      <c r="M288" s="170"/>
    </row>
    <row r="289" spans="1:13">
      <c r="A289" s="279">
        <v>39661</v>
      </c>
      <c r="B289" s="280">
        <v>26011773</v>
      </c>
      <c r="C289" s="280">
        <v>26562381</v>
      </c>
      <c r="D289" s="312">
        <f t="shared" si="10"/>
        <v>13.88</v>
      </c>
      <c r="E289" s="312">
        <f t="shared" si="10"/>
        <v>72.98</v>
      </c>
      <c r="F289" s="281">
        <f t="shared" si="9"/>
        <v>139.97205490528577</v>
      </c>
      <c r="G289" s="282">
        <v>31</v>
      </c>
      <c r="H289" s="282">
        <v>0</v>
      </c>
      <c r="I289" s="283">
        <f t="shared" si="11"/>
        <v>30752.133333333346</v>
      </c>
      <c r="J289" s="284">
        <v>320</v>
      </c>
      <c r="K289" s="285">
        <v>0</v>
      </c>
      <c r="L289" s="286">
        <f>'Regression Results'!$E$20+D289*'Regression Results'!$E$21+E289*'Regression Results'!$E$22+F289*'Regression Results'!$E$23+G289*'Regression Results'!$E$24+H289*'Regression Results'!$E$25+I289*'Regression Results'!$E$26+J289*'Regression Results'!$E$27+K289*'Regression Results'!$E$28</f>
        <v>26989960.26471759</v>
      </c>
      <c r="M289" s="170"/>
    </row>
    <row r="290" spans="1:13">
      <c r="A290" s="279">
        <v>39692</v>
      </c>
      <c r="B290" s="280">
        <v>24345066</v>
      </c>
      <c r="C290" s="280">
        <v>24843728</v>
      </c>
      <c r="D290" s="312">
        <f t="shared" si="10"/>
        <v>79.459999999999994</v>
      </c>
      <c r="E290" s="312">
        <f t="shared" si="10"/>
        <v>25.919999999999998</v>
      </c>
      <c r="F290" s="281">
        <f t="shared" si="9"/>
        <v>139.92531179593476</v>
      </c>
      <c r="G290" s="282">
        <v>30</v>
      </c>
      <c r="H290" s="282">
        <v>1</v>
      </c>
      <c r="I290" s="283">
        <f t="shared" si="11"/>
        <v>30771.100000000013</v>
      </c>
      <c r="J290" s="284">
        <v>336</v>
      </c>
      <c r="K290" s="285">
        <v>0</v>
      </c>
      <c r="L290" s="286">
        <f>'Regression Results'!$E$20+D290*'Regression Results'!$E$21+E290*'Regression Results'!$E$22+F290*'Regression Results'!$E$23+G290*'Regression Results'!$E$24+H290*'Regression Results'!$E$25+I290*'Regression Results'!$E$26+J290*'Regression Results'!$E$27+K290*'Regression Results'!$E$28</f>
        <v>25030233.932809718</v>
      </c>
      <c r="M290" s="170"/>
    </row>
    <row r="291" spans="1:13">
      <c r="A291" s="279">
        <v>39722</v>
      </c>
      <c r="B291" s="280">
        <v>25494653</v>
      </c>
      <c r="C291" s="280">
        <v>25997355</v>
      </c>
      <c r="D291" s="312">
        <f t="shared" si="10"/>
        <v>276.58000000000004</v>
      </c>
      <c r="E291" s="312">
        <f t="shared" si="10"/>
        <v>1.75</v>
      </c>
      <c r="F291" s="281">
        <f t="shared" si="9"/>
        <v>139.87858429625865</v>
      </c>
      <c r="G291" s="282">
        <v>31</v>
      </c>
      <c r="H291" s="282">
        <v>1</v>
      </c>
      <c r="I291" s="283">
        <f t="shared" si="11"/>
        <v>30790.06666666668</v>
      </c>
      <c r="J291" s="284">
        <v>352</v>
      </c>
      <c r="K291" s="285">
        <v>0</v>
      </c>
      <c r="L291" s="286">
        <f>'Regression Results'!$E$20+D291*'Regression Results'!$E$21+E291*'Regression Results'!$E$22+F291*'Regression Results'!$E$23+G291*'Regression Results'!$E$24+H291*'Regression Results'!$E$25+I291*'Regression Results'!$E$26+J291*'Regression Results'!$E$27+K291*'Regression Results'!$E$28</f>
        <v>27289965.837857548</v>
      </c>
      <c r="M291" s="170"/>
    </row>
    <row r="292" spans="1:13">
      <c r="A292" s="279">
        <v>39753</v>
      </c>
      <c r="B292" s="280">
        <v>27426297</v>
      </c>
      <c r="C292" s="280">
        <v>27977163</v>
      </c>
      <c r="D292" s="312">
        <f t="shared" si="10"/>
        <v>443.65</v>
      </c>
      <c r="E292" s="312">
        <f t="shared" si="10"/>
        <v>0</v>
      </c>
      <c r="F292" s="281">
        <f t="shared" si="9"/>
        <v>139.83187240104465</v>
      </c>
      <c r="G292" s="282">
        <v>30</v>
      </c>
      <c r="H292" s="282">
        <v>1</v>
      </c>
      <c r="I292" s="283">
        <f t="shared" si="11"/>
        <v>30809.033333333347</v>
      </c>
      <c r="J292" s="284">
        <v>304</v>
      </c>
      <c r="K292" s="285">
        <v>0</v>
      </c>
      <c r="L292" s="286">
        <f>'Regression Results'!$E$20+D292*'Regression Results'!$E$21+E292*'Regression Results'!$E$22+F292*'Regression Results'!$E$23+G292*'Regression Results'!$E$24+H292*'Regression Results'!$E$25+I292*'Regression Results'!$E$26+J292*'Regression Results'!$E$27+K292*'Regression Results'!$E$28</f>
        <v>28528214.641969733</v>
      </c>
      <c r="M292" s="170"/>
    </row>
    <row r="293" spans="1:13">
      <c r="A293" s="279">
        <v>39783</v>
      </c>
      <c r="B293" s="280">
        <v>31868129</v>
      </c>
      <c r="C293" s="280">
        <v>32538425</v>
      </c>
      <c r="D293" s="312">
        <f t="shared" si="10"/>
        <v>665.57999999999993</v>
      </c>
      <c r="E293" s="312">
        <f t="shared" si="10"/>
        <v>0</v>
      </c>
      <c r="F293" s="281">
        <f t="shared" si="9"/>
        <v>139.78517610508175</v>
      </c>
      <c r="G293" s="282">
        <v>31</v>
      </c>
      <c r="H293" s="282">
        <v>0</v>
      </c>
      <c r="I293" s="283">
        <f t="shared" si="11"/>
        <v>30828.000000000015</v>
      </c>
      <c r="J293" s="284">
        <v>336</v>
      </c>
      <c r="K293" s="285">
        <v>0</v>
      </c>
      <c r="L293" s="286">
        <f>'Regression Results'!$E$20+D293*'Regression Results'!$E$21+E293*'Regression Results'!$E$22+F293*'Regression Results'!$E$23+G293*'Regression Results'!$E$24+H293*'Regression Results'!$E$25+I293*'Regression Results'!$E$26+J293*'Regression Results'!$E$27+K293*'Regression Results'!$E$28</f>
        <v>32747119.979403663</v>
      </c>
      <c r="M293" s="170"/>
    </row>
    <row r="295" spans="1:13">
      <c r="L295" s="25">
        <f>SUM(L282:L294)</f>
        <v>345076144.89379156</v>
      </c>
    </row>
    <row r="297" spans="1:13">
      <c r="A297" s="300" t="s">
        <v>329</v>
      </c>
    </row>
    <row r="298" spans="1:13">
      <c r="A298" s="279">
        <v>39448</v>
      </c>
      <c r="B298" s="280">
        <v>32099905</v>
      </c>
      <c r="C298" s="280">
        <v>32784593</v>
      </c>
      <c r="D298" s="312">
        <f>'Weather Data'!Y2</f>
        <v>789.44285714285706</v>
      </c>
      <c r="E298" s="312">
        <f>'Weather Data'!Y16</f>
        <v>0</v>
      </c>
      <c r="F298" s="281">
        <f t="shared" ref="F298:F309" si="12">F282</f>
        <v>140.29969417988008</v>
      </c>
      <c r="G298" s="282">
        <v>31</v>
      </c>
      <c r="H298" s="282">
        <v>0</v>
      </c>
      <c r="I298" s="283">
        <f>I282</f>
        <v>30619.366666666676</v>
      </c>
      <c r="J298" s="284">
        <v>352</v>
      </c>
      <c r="K298" s="285">
        <v>0</v>
      </c>
      <c r="L298" s="286">
        <f>'Regression Results'!$E$20+D298*'Regression Results'!$E$21+E298*'Regression Results'!$E$22+F298*'Regression Results'!$E$23+G298*'Regression Results'!$E$24+H298*'Regression Results'!$E$25+I298*'Regression Results'!$E$26+J298*'Regression Results'!$E$27+K298*'Regression Results'!$E$28</f>
        <v>34283651.312542468</v>
      </c>
    </row>
    <row r="299" spans="1:13">
      <c r="A299" s="279">
        <v>39479</v>
      </c>
      <c r="B299" s="280">
        <v>30212673</v>
      </c>
      <c r="C299" s="280">
        <v>30859005</v>
      </c>
      <c r="D299" s="312">
        <f>'Weather Data'!Y3</f>
        <v>684.6642857142856</v>
      </c>
      <c r="E299" s="312">
        <f>'Weather Data'!Y17</f>
        <v>0</v>
      </c>
      <c r="F299" s="281">
        <f t="shared" si="12"/>
        <v>140.25284165670035</v>
      </c>
      <c r="G299" s="282">
        <v>29</v>
      </c>
      <c r="H299" s="282">
        <v>0</v>
      </c>
      <c r="I299" s="283">
        <f t="shared" ref="I299:I309" si="13">I283</f>
        <v>30638.333333333343</v>
      </c>
      <c r="J299" s="284">
        <v>320</v>
      </c>
      <c r="K299" s="285">
        <v>0</v>
      </c>
      <c r="L299" s="286">
        <f>'Regression Results'!$E$20+D299*'Regression Results'!$E$21+E299*'Regression Results'!$E$22+F299*'Regression Results'!$E$23+G299*'Regression Results'!$E$24+H299*'Regression Results'!$E$25+I299*'Regression Results'!$E$26+J299*'Regression Results'!$E$27+K299*'Regression Results'!$E$28</f>
        <v>31667844.354098834</v>
      </c>
    </row>
    <row r="300" spans="1:13">
      <c r="A300" s="279">
        <v>39508</v>
      </c>
      <c r="B300" s="280">
        <v>30613672</v>
      </c>
      <c r="C300" s="280">
        <v>31264871</v>
      </c>
      <c r="D300" s="312">
        <f>'Weather Data'!Y4</f>
        <v>587.40857142857158</v>
      </c>
      <c r="E300" s="312">
        <f>'Weather Data'!Y18</f>
        <v>0</v>
      </c>
      <c r="F300" s="281">
        <f t="shared" si="12"/>
        <v>140.20600477973383</v>
      </c>
      <c r="G300" s="282">
        <v>31</v>
      </c>
      <c r="H300" s="282">
        <v>1</v>
      </c>
      <c r="I300" s="283">
        <f t="shared" si="13"/>
        <v>30657.30000000001</v>
      </c>
      <c r="J300" s="284">
        <v>304</v>
      </c>
      <c r="K300" s="285">
        <v>0</v>
      </c>
      <c r="L300" s="286">
        <f>'Regression Results'!$E$20+D300*'Regression Results'!$E$21+E300*'Regression Results'!$E$22+F300*'Regression Results'!$E$23+G300*'Regression Results'!$E$24+H300*'Regression Results'!$E$25+I300*'Regression Results'!$E$26+J300*'Regression Results'!$E$27+K300*'Regression Results'!$E$28</f>
        <v>30778563.039965965</v>
      </c>
    </row>
    <row r="301" spans="1:13">
      <c r="A301" s="279">
        <v>39539</v>
      </c>
      <c r="B301" s="280">
        <v>25539772</v>
      </c>
      <c r="C301" s="280">
        <v>26069763</v>
      </c>
      <c r="D301" s="312">
        <f>'Weather Data'!Y5</f>
        <v>338.38142857142884</v>
      </c>
      <c r="E301" s="312">
        <f>'Weather Data'!Y19</f>
        <v>0.37000000000000455</v>
      </c>
      <c r="F301" s="281">
        <f t="shared" si="12"/>
        <v>140.15918354375555</v>
      </c>
      <c r="G301" s="282">
        <v>30</v>
      </c>
      <c r="H301" s="282">
        <v>1</v>
      </c>
      <c r="I301" s="283">
        <f t="shared" si="13"/>
        <v>30676.266666666677</v>
      </c>
      <c r="J301" s="284">
        <v>352</v>
      </c>
      <c r="K301" s="285">
        <v>0</v>
      </c>
      <c r="L301" s="286">
        <f>'Regression Results'!$E$20+D301*'Regression Results'!$E$21+E301*'Regression Results'!$E$22+F301*'Regression Results'!$E$23+G301*'Regression Results'!$E$24+H301*'Regression Results'!$E$25+I301*'Regression Results'!$E$26+J301*'Regression Results'!$E$27+K301*'Regression Results'!$E$28</f>
        <v>27413585.605304614</v>
      </c>
    </row>
    <row r="302" spans="1:13">
      <c r="A302" s="279">
        <v>39569</v>
      </c>
      <c r="B302" s="280">
        <v>24484663</v>
      </c>
      <c r="C302" s="280">
        <v>24996489</v>
      </c>
      <c r="D302" s="312">
        <f>'Weather Data'!Y6</f>
        <v>163.86714285714288</v>
      </c>
      <c r="E302" s="312">
        <f>'Weather Data'!Y20</f>
        <v>5.0214285714286007</v>
      </c>
      <c r="F302" s="281">
        <f t="shared" si="12"/>
        <v>140.11237794354221</v>
      </c>
      <c r="G302" s="282">
        <v>31</v>
      </c>
      <c r="H302" s="282">
        <v>1</v>
      </c>
      <c r="I302" s="283">
        <f t="shared" si="13"/>
        <v>30695.233333333344</v>
      </c>
      <c r="J302" s="284">
        <v>336</v>
      </c>
      <c r="K302" s="285">
        <v>0</v>
      </c>
      <c r="L302" s="286">
        <f>'Regression Results'!$E$20+D302*'Regression Results'!$E$21+E302*'Regression Results'!$E$22+F302*'Regression Results'!$E$23+G302*'Regression Results'!$E$24+H302*'Regression Results'!$E$25+I302*'Regression Results'!$E$26+J302*'Regression Results'!$E$27+K302*'Regression Results'!$E$28</f>
        <v>25762399.938852061</v>
      </c>
    </row>
    <row r="303" spans="1:13">
      <c r="A303" s="279">
        <v>39600</v>
      </c>
      <c r="B303" s="280">
        <v>25201494</v>
      </c>
      <c r="C303" s="280">
        <v>25726372</v>
      </c>
      <c r="D303" s="312">
        <f>'Weather Data'!Y7</f>
        <v>37.818571428571545</v>
      </c>
      <c r="E303" s="312">
        <f>'Weather Data'!Y21</f>
        <v>67.230000000000018</v>
      </c>
      <c r="F303" s="281">
        <f t="shared" si="12"/>
        <v>140.06558797387237</v>
      </c>
      <c r="G303" s="282">
        <v>30</v>
      </c>
      <c r="H303" s="282">
        <v>0</v>
      </c>
      <c r="I303" s="283">
        <f t="shared" si="13"/>
        <v>30714.200000000012</v>
      </c>
      <c r="J303" s="284">
        <v>336</v>
      </c>
      <c r="K303" s="285">
        <v>0</v>
      </c>
      <c r="L303" s="286">
        <f>'Regression Results'!$E$20+D303*'Regression Results'!$E$21+E303*'Regression Results'!$E$22+F303*'Regression Results'!$E$23+G303*'Regression Results'!$E$24+H303*'Regression Results'!$E$25+I303*'Regression Results'!$E$26+J303*'Regression Results'!$E$27+K303*'Regression Results'!$E$28</f>
        <v>26634740.469652906</v>
      </c>
    </row>
    <row r="304" spans="1:13">
      <c r="A304" s="279">
        <v>39630</v>
      </c>
      <c r="B304" s="280">
        <v>27167060</v>
      </c>
      <c r="C304" s="280">
        <v>27722067</v>
      </c>
      <c r="D304" s="312">
        <f>'Weather Data'!Y8</f>
        <v>7.7442857142856951</v>
      </c>
      <c r="E304" s="312">
        <f>'Weather Data'!Y22</f>
        <v>102.67285714285708</v>
      </c>
      <c r="F304" s="281">
        <f t="shared" si="12"/>
        <v>140.01881362952622</v>
      </c>
      <c r="G304" s="282">
        <v>31</v>
      </c>
      <c r="H304" s="282">
        <v>0</v>
      </c>
      <c r="I304" s="283">
        <f t="shared" si="13"/>
        <v>30733.166666666679</v>
      </c>
      <c r="J304" s="284">
        <v>352</v>
      </c>
      <c r="K304" s="285">
        <v>0</v>
      </c>
      <c r="L304" s="286">
        <f>'Regression Results'!$E$20+D304*'Regression Results'!$E$21+E304*'Regression Results'!$E$22+F304*'Regression Results'!$E$23+G304*'Regression Results'!$E$24+H304*'Regression Results'!$E$25+I304*'Regression Results'!$E$26+J304*'Regression Results'!$E$27+K304*'Regression Results'!$E$28</f>
        <v>28285705.402323246</v>
      </c>
    </row>
    <row r="305" spans="1:12">
      <c r="A305" s="279">
        <v>39661</v>
      </c>
      <c r="B305" s="280">
        <v>26011773</v>
      </c>
      <c r="C305" s="280">
        <v>26562381</v>
      </c>
      <c r="D305" s="312">
        <f>'Weather Data'!Y9</f>
        <v>12.23571428571438</v>
      </c>
      <c r="E305" s="312">
        <f>'Weather Data'!Y23</f>
        <v>76.05857142857144</v>
      </c>
      <c r="F305" s="281">
        <f t="shared" si="12"/>
        <v>139.97205490528577</v>
      </c>
      <c r="G305" s="282">
        <v>31</v>
      </c>
      <c r="H305" s="282">
        <v>0</v>
      </c>
      <c r="I305" s="283">
        <f t="shared" si="13"/>
        <v>30752.133333333346</v>
      </c>
      <c r="J305" s="284">
        <v>320</v>
      </c>
      <c r="K305" s="285">
        <v>0</v>
      </c>
      <c r="L305" s="286">
        <f>'Regression Results'!$E$20+D305*'Regression Results'!$E$21+E305*'Regression Results'!$E$22+F305*'Regression Results'!$E$23+G305*'Regression Results'!$E$24+H305*'Regression Results'!$E$25+I305*'Regression Results'!$E$26+J305*'Regression Results'!$E$27+K305*'Regression Results'!$E$28</f>
        <v>27088974.977948505</v>
      </c>
    </row>
    <row r="306" spans="1:12">
      <c r="A306" s="279">
        <v>39692</v>
      </c>
      <c r="B306" s="280">
        <v>24345066</v>
      </c>
      <c r="C306" s="280">
        <v>24843728</v>
      </c>
      <c r="D306" s="312">
        <f>'Weather Data'!Y10</f>
        <v>62.505714285714021</v>
      </c>
      <c r="E306" s="312">
        <f>'Weather Data'!Y24</f>
        <v>25.805714285714203</v>
      </c>
      <c r="F306" s="281">
        <f t="shared" si="12"/>
        <v>139.92531179593476</v>
      </c>
      <c r="G306" s="282">
        <v>30</v>
      </c>
      <c r="H306" s="282">
        <v>1</v>
      </c>
      <c r="I306" s="283">
        <f t="shared" si="13"/>
        <v>30771.100000000013</v>
      </c>
      <c r="J306" s="284">
        <v>336</v>
      </c>
      <c r="K306" s="285">
        <v>0</v>
      </c>
      <c r="L306" s="286">
        <f>'Regression Results'!$E$20+D306*'Regression Results'!$E$21+E306*'Regression Results'!$E$22+F306*'Regression Results'!$E$23+G306*'Regression Results'!$E$24+H306*'Regression Results'!$E$25+I306*'Regression Results'!$E$26+J306*'Regression Results'!$E$27+K306*'Regression Results'!$E$28</f>
        <v>24806538.579611808</v>
      </c>
    </row>
    <row r="307" spans="1:12">
      <c r="A307" s="279">
        <v>39722</v>
      </c>
      <c r="B307" s="280">
        <v>25494653</v>
      </c>
      <c r="C307" s="280">
        <v>25997355</v>
      </c>
      <c r="D307" s="312">
        <f>'Weather Data'!Y11</f>
        <v>264.30000000000018</v>
      </c>
      <c r="E307" s="312">
        <f>'Weather Data'!Y25</f>
        <v>2.3700000000000614</v>
      </c>
      <c r="F307" s="281">
        <f t="shared" si="12"/>
        <v>139.87858429625865</v>
      </c>
      <c r="G307" s="282">
        <v>31</v>
      </c>
      <c r="H307" s="282">
        <v>1</v>
      </c>
      <c r="I307" s="283">
        <f t="shared" si="13"/>
        <v>30790.06666666668</v>
      </c>
      <c r="J307" s="284">
        <v>352</v>
      </c>
      <c r="K307" s="285">
        <v>0</v>
      </c>
      <c r="L307" s="286">
        <f>'Regression Results'!$E$20+D307*'Regression Results'!$E$21+E307*'Regression Results'!$E$22+F307*'Regression Results'!$E$23+G307*'Regression Results'!$E$24+H307*'Regression Results'!$E$25+I307*'Regression Results'!$E$26+J307*'Regression Results'!$E$27+K307*'Regression Results'!$E$28</f>
        <v>27155399.891240835</v>
      </c>
    </row>
    <row r="308" spans="1:12">
      <c r="A308" s="279">
        <v>39753</v>
      </c>
      <c r="B308" s="280">
        <v>27426297</v>
      </c>
      <c r="C308" s="280">
        <v>27977163</v>
      </c>
      <c r="D308" s="312">
        <f>'Weather Data'!Y12</f>
        <v>438.44857142857018</v>
      </c>
      <c r="E308" s="312">
        <f>'Weather Data'!Y26</f>
        <v>0</v>
      </c>
      <c r="F308" s="281">
        <f t="shared" si="12"/>
        <v>139.83187240104465</v>
      </c>
      <c r="G308" s="282">
        <v>30</v>
      </c>
      <c r="H308" s="282">
        <v>1</v>
      </c>
      <c r="I308" s="283">
        <f t="shared" si="13"/>
        <v>30809.033333333347</v>
      </c>
      <c r="J308" s="284">
        <v>304</v>
      </c>
      <c r="K308" s="285">
        <v>0</v>
      </c>
      <c r="L308" s="286">
        <f>'Regression Results'!$E$20+D308*'Regression Results'!$E$21+E308*'Regression Results'!$E$22+F308*'Regression Results'!$E$23+G308*'Regression Results'!$E$24+H308*'Regression Results'!$E$25+I308*'Regression Results'!$E$26+J308*'Regression Results'!$E$27+K308*'Regression Results'!$E$28</f>
        <v>28460956.666848876</v>
      </c>
    </row>
    <row r="309" spans="1:12">
      <c r="A309" s="279">
        <v>39783</v>
      </c>
      <c r="B309" s="280">
        <v>31868129</v>
      </c>
      <c r="C309" s="280">
        <v>32538425</v>
      </c>
      <c r="D309" s="312">
        <f>'Weather Data'!Y13</f>
        <v>627.0457142857158</v>
      </c>
      <c r="E309" s="312">
        <f>'Weather Data'!Y27</f>
        <v>0</v>
      </c>
      <c r="F309" s="281">
        <f t="shared" si="12"/>
        <v>139.78517610508175</v>
      </c>
      <c r="G309" s="282">
        <v>31</v>
      </c>
      <c r="H309" s="282">
        <v>0</v>
      </c>
      <c r="I309" s="283">
        <f t="shared" si="13"/>
        <v>30828.000000000015</v>
      </c>
      <c r="J309" s="284">
        <v>336</v>
      </c>
      <c r="K309" s="285">
        <v>0</v>
      </c>
      <c r="L309" s="286">
        <f>'Regression Results'!$E$20+D309*'Regression Results'!$E$21+E309*'Regression Results'!$E$22+F309*'Regression Results'!$E$23+G309*'Regression Results'!$E$24+H309*'Regression Results'!$E$25+I309*'Regression Results'!$E$26+J309*'Regression Results'!$E$27+K309*'Regression Results'!$E$28</f>
        <v>32248845.708349131</v>
      </c>
    </row>
    <row r="311" spans="1:12">
      <c r="L311" s="25">
        <f>SUM(L298:L310)</f>
        <v>344587205.94673926</v>
      </c>
    </row>
  </sheetData>
  <mergeCells count="2">
    <mergeCell ref="L279:M279"/>
    <mergeCell ref="L275:M275"/>
  </mergeCells>
  <phoneticPr fontId="0" type="noConversion"/>
  <pageMargins left="0.38" right="0.75" top="0.98" bottom="0.74" header="0.5" footer="0.5"/>
  <pageSetup scale="85" orientation="portrait"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sheetPr enableFormatConditionsCalculation="0">
    <tabColor indexed="48"/>
  </sheetPr>
  <dimension ref="A1:R129"/>
  <sheetViews>
    <sheetView showGridLines="0" workbookViewId="0">
      <pane xSplit="1" ySplit="1" topLeftCell="B50" activePane="bottomRight" state="frozen"/>
      <selection pane="topRight" activeCell="B1" sqref="B1"/>
      <selection pane="bottomLeft" activeCell="A3" sqref="A3"/>
      <selection pane="bottomRight" activeCell="N53" sqref="N53:N54"/>
    </sheetView>
  </sheetViews>
  <sheetFormatPr defaultColWidth="13.7109375" defaultRowHeight="12.75"/>
  <cols>
    <col min="1" max="1" width="13.7109375" style="1" customWidth="1"/>
    <col min="2" max="16" width="13.7109375" style="3" customWidth="1"/>
  </cols>
  <sheetData>
    <row r="1" spans="1:14" ht="60.75" customHeight="1">
      <c r="B1" s="228" t="s">
        <v>1</v>
      </c>
      <c r="C1" s="229" t="s">
        <v>250</v>
      </c>
      <c r="D1" s="229" t="s">
        <v>251</v>
      </c>
      <c r="E1" s="229" t="s">
        <v>252</v>
      </c>
      <c r="F1" s="228" t="s">
        <v>5</v>
      </c>
      <c r="G1" s="228" t="s">
        <v>3</v>
      </c>
      <c r="H1" s="228" t="s">
        <v>4</v>
      </c>
      <c r="I1" s="228" t="s">
        <v>6</v>
      </c>
      <c r="J1" s="227" t="s">
        <v>12</v>
      </c>
      <c r="K1" s="227" t="s">
        <v>13</v>
      </c>
      <c r="L1" s="227" t="s">
        <v>54</v>
      </c>
      <c r="M1" s="227" t="s">
        <v>14</v>
      </c>
      <c r="N1" s="227" t="s">
        <v>0</v>
      </c>
    </row>
    <row r="2" spans="1:14">
      <c r="J2" s="1"/>
      <c r="K2" s="219"/>
      <c r="L2" s="1"/>
      <c r="M2" s="1"/>
      <c r="N2" s="1"/>
    </row>
    <row r="3" spans="1:14">
      <c r="A3" s="1">
        <f>'Purchased Power Model'!A258</f>
        <v>1996</v>
      </c>
      <c r="B3" s="217">
        <v>106531000</v>
      </c>
      <c r="C3" s="217">
        <v>42641371.920000002</v>
      </c>
      <c r="D3" s="217">
        <v>143270000</v>
      </c>
      <c r="E3" s="217">
        <v>0</v>
      </c>
      <c r="F3" s="217">
        <v>2427120.08</v>
      </c>
      <c r="G3" s="217">
        <v>569508</v>
      </c>
      <c r="H3" s="217">
        <v>1094000</v>
      </c>
      <c r="I3" s="208">
        <f>SUM(B3:H3)</f>
        <v>296533000</v>
      </c>
      <c r="J3" s="3">
        <f>'Purchased Power Model'!B258</f>
        <v>300910932.99000001</v>
      </c>
      <c r="K3" s="222">
        <f>'Purchased Power Model'!L258</f>
        <v>300350316.64509326</v>
      </c>
      <c r="L3" s="26">
        <f>K3-J3</f>
        <v>-560616.34490674734</v>
      </c>
      <c r="M3" s="2">
        <f>L3/J3</f>
        <v>-1.8630640613027443E-3</v>
      </c>
      <c r="N3" s="16">
        <f t="shared" ref="N3:N15" si="0">1 +(J3-I3)/I3</f>
        <v>1.0147637294668721</v>
      </c>
    </row>
    <row r="4" spans="1:14">
      <c r="A4" s="1">
        <f>'Purchased Power Model'!A259</f>
        <v>1997</v>
      </c>
      <c r="B4" s="217">
        <v>102825000</v>
      </c>
      <c r="C4" s="217">
        <v>45499038.159999996</v>
      </c>
      <c r="D4" s="217">
        <v>143270000</v>
      </c>
      <c r="E4" s="217">
        <v>0</v>
      </c>
      <c r="F4" s="217">
        <v>2438258.84</v>
      </c>
      <c r="G4" s="217">
        <v>563703</v>
      </c>
      <c r="H4" s="217">
        <v>1094000</v>
      </c>
      <c r="I4" s="208">
        <f>SUM(B4:H4)</f>
        <v>295689999.99999994</v>
      </c>
      <c r="J4" s="3">
        <f>'Purchased Power Model'!B259</f>
        <v>302782938</v>
      </c>
      <c r="K4" s="222">
        <f>'Purchased Power Model'!L259</f>
        <v>302404723.68003231</v>
      </c>
      <c r="L4" s="26">
        <f t="shared" ref="L4:L15" si="1">K4-J4</f>
        <v>-378214.31996768713</v>
      </c>
      <c r="M4" s="2">
        <f t="shared" ref="M4:M15" si="2">L4/J4</f>
        <v>-1.2491269239473697E-3</v>
      </c>
      <c r="N4" s="16">
        <f t="shared" si="0"/>
        <v>1.0239877506848392</v>
      </c>
    </row>
    <row r="5" spans="1:14">
      <c r="A5" s="1">
        <f>'Purchased Power Model'!A260</f>
        <v>1998</v>
      </c>
      <c r="B5" s="217">
        <v>98269000</v>
      </c>
      <c r="C5" s="217">
        <v>47139618</v>
      </c>
      <c r="D5" s="217">
        <v>143270000</v>
      </c>
      <c r="E5" s="217">
        <v>0</v>
      </c>
      <c r="F5" s="217">
        <v>2442000</v>
      </c>
      <c r="G5" s="217">
        <v>559382</v>
      </c>
      <c r="H5" s="217">
        <v>1094000</v>
      </c>
      <c r="I5" s="208">
        <f>SUM(B5:H5)</f>
        <v>292774000</v>
      </c>
      <c r="J5" s="3">
        <f>'Purchased Power Model'!B260</f>
        <v>298894605.26938093</v>
      </c>
      <c r="K5" s="222">
        <f>'Purchased Power Model'!L260</f>
        <v>300586753.93161839</v>
      </c>
      <c r="L5" s="26">
        <f t="shared" si="1"/>
        <v>1692148.6622374654</v>
      </c>
      <c r="M5" s="2">
        <f t="shared" si="2"/>
        <v>5.661355649803061E-3</v>
      </c>
      <c r="N5" s="16">
        <f t="shared" si="0"/>
        <v>1.020905562889399</v>
      </c>
    </row>
    <row r="6" spans="1:14">
      <c r="A6" s="1">
        <f>'Purchased Power Model'!A261</f>
        <v>1999</v>
      </c>
      <c r="B6" s="217">
        <v>102462181</v>
      </c>
      <c r="C6" s="217">
        <v>51088409</v>
      </c>
      <c r="D6" s="217">
        <v>143265963.79750001</v>
      </c>
      <c r="E6" s="217">
        <v>0</v>
      </c>
      <c r="F6" s="217">
        <v>2441990</v>
      </c>
      <c r="G6" s="217">
        <v>538257</v>
      </c>
      <c r="H6" s="217">
        <v>1094000</v>
      </c>
      <c r="I6" s="208">
        <f t="shared" ref="I6:I15" si="3">ROUND(SUM(B6:H6),0)</f>
        <v>300890801</v>
      </c>
      <c r="J6" s="3">
        <f>'Purchased Power Model'!B261</f>
        <v>309673968.78091085</v>
      </c>
      <c r="K6" s="222">
        <f>'Purchased Power Model'!L261</f>
        <v>307833479.24243599</v>
      </c>
      <c r="L6" s="26">
        <f t="shared" si="1"/>
        <v>-1840489.5384748578</v>
      </c>
      <c r="M6" s="2">
        <f t="shared" si="2"/>
        <v>-5.9433136912356152E-3</v>
      </c>
      <c r="N6" s="16">
        <f t="shared" si="0"/>
        <v>1.0291905493678115</v>
      </c>
    </row>
    <row r="7" spans="1:14">
      <c r="A7" s="1">
        <f>'Purchased Power Model'!A262</f>
        <v>2000</v>
      </c>
      <c r="B7" s="217">
        <v>103741523</v>
      </c>
      <c r="C7" s="217">
        <v>47838206</v>
      </c>
      <c r="D7" s="217">
        <v>150240763.81200001</v>
      </c>
      <c r="E7" s="217">
        <v>0</v>
      </c>
      <c r="F7" s="217">
        <v>2462716</v>
      </c>
      <c r="G7" s="217">
        <v>546285</v>
      </c>
      <c r="H7" s="217">
        <v>1094000</v>
      </c>
      <c r="I7" s="208">
        <f t="shared" si="3"/>
        <v>305923494</v>
      </c>
      <c r="J7" s="3">
        <f>'Purchased Power Model'!C262</f>
        <v>315124971.38</v>
      </c>
      <c r="K7" s="222">
        <f>'Purchased Power Model'!L262</f>
        <v>315277683.99659008</v>
      </c>
      <c r="L7" s="26">
        <f>K7-J7</f>
        <v>152712.61659008265</v>
      </c>
      <c r="M7" s="2">
        <f t="shared" si="2"/>
        <v>4.8460969602415595E-4</v>
      </c>
      <c r="N7" s="16">
        <f t="shared" si="0"/>
        <v>1.0300777075329821</v>
      </c>
    </row>
    <row r="8" spans="1:14">
      <c r="A8" s="1">
        <f>'Purchased Power Model'!A263</f>
        <v>2001</v>
      </c>
      <c r="B8" s="217">
        <v>105383265</v>
      </c>
      <c r="C8" s="217">
        <v>46466503</v>
      </c>
      <c r="D8" s="217">
        <v>152091968.68650001</v>
      </c>
      <c r="E8" s="217">
        <v>0</v>
      </c>
      <c r="F8" s="217">
        <v>2474322</v>
      </c>
      <c r="G8" s="217">
        <v>542011</v>
      </c>
      <c r="H8" s="217">
        <v>1094328</v>
      </c>
      <c r="I8" s="208">
        <f t="shared" si="3"/>
        <v>308052398</v>
      </c>
      <c r="J8" s="3">
        <f>'Purchased Power Model'!C263</f>
        <v>316396656.49000001</v>
      </c>
      <c r="K8" s="222">
        <f>'Purchased Power Model'!L263</f>
        <v>318685741.02586961</v>
      </c>
      <c r="L8" s="26">
        <f t="shared" si="1"/>
        <v>2289084.5358695984</v>
      </c>
      <c r="M8" s="2">
        <f t="shared" si="2"/>
        <v>7.2348569079836245E-3</v>
      </c>
      <c r="N8" s="16">
        <f t="shared" si="0"/>
        <v>1.0270871401884039</v>
      </c>
    </row>
    <row r="9" spans="1:14">
      <c r="A9" s="1">
        <f>'Purchased Power Model'!A264</f>
        <v>2002</v>
      </c>
      <c r="B9" s="217">
        <v>109736591</v>
      </c>
      <c r="C9" s="217">
        <v>48621576</v>
      </c>
      <c r="D9" s="217">
        <v>155266858</v>
      </c>
      <c r="E9" s="217">
        <v>0</v>
      </c>
      <c r="F9" s="217">
        <v>2435691</v>
      </c>
      <c r="G9" s="217">
        <v>484493</v>
      </c>
      <c r="H9" s="217">
        <v>1127823.4285714286</v>
      </c>
      <c r="I9" s="208">
        <f t="shared" si="3"/>
        <v>317673032</v>
      </c>
      <c r="J9" s="3">
        <f>'Purchased Power Model'!C264</f>
        <v>327858855.01000005</v>
      </c>
      <c r="K9" s="222">
        <f>'Purchased Power Model'!L264</f>
        <v>328120844.52430135</v>
      </c>
      <c r="L9" s="26">
        <f t="shared" si="1"/>
        <v>261989.51430130005</v>
      </c>
      <c r="M9" s="2">
        <f t="shared" si="2"/>
        <v>7.990923847193607E-4</v>
      </c>
      <c r="N9" s="16">
        <f t="shared" si="0"/>
        <v>1.0320638580677508</v>
      </c>
    </row>
    <row r="10" spans="1:14">
      <c r="A10" s="1">
        <f>'Purchased Power Model'!A265</f>
        <v>2003</v>
      </c>
      <c r="B10" s="217">
        <v>108163534</v>
      </c>
      <c r="C10" s="217">
        <v>48794159</v>
      </c>
      <c r="D10" s="217">
        <v>153099394.90175</v>
      </c>
      <c r="E10" s="217">
        <v>0</v>
      </c>
      <c r="F10" s="217">
        <v>2491269</v>
      </c>
      <c r="G10" s="217">
        <v>495268</v>
      </c>
      <c r="H10" s="217">
        <v>1262210</v>
      </c>
      <c r="I10" s="208">
        <f t="shared" si="3"/>
        <v>314305835</v>
      </c>
      <c r="J10" s="3">
        <f>'Purchased Power Model'!C265</f>
        <v>326758736.68000007</v>
      </c>
      <c r="K10" s="222">
        <f>'Purchased Power Model'!L265</f>
        <v>328200247.079952</v>
      </c>
      <c r="L10" s="26">
        <f t="shared" si="1"/>
        <v>1441510.3999519348</v>
      </c>
      <c r="M10" s="2">
        <f t="shared" si="2"/>
        <v>4.4115435584010975E-3</v>
      </c>
      <c r="N10" s="16">
        <f t="shared" si="0"/>
        <v>1.0396203324701243</v>
      </c>
    </row>
    <row r="11" spans="1:14">
      <c r="A11" s="1">
        <f>'Purchased Power Model'!A266</f>
        <v>2004</v>
      </c>
      <c r="B11" s="217">
        <v>108386794</v>
      </c>
      <c r="C11" s="217">
        <v>49824701</v>
      </c>
      <c r="D11" s="217">
        <v>154575435.79255</v>
      </c>
      <c r="E11" s="217">
        <v>0</v>
      </c>
      <c r="F11" s="217">
        <v>2516661</v>
      </c>
      <c r="G11" s="217">
        <v>459641</v>
      </c>
      <c r="H11" s="217">
        <v>1336199</v>
      </c>
      <c r="I11" s="208">
        <f t="shared" si="3"/>
        <v>317099432</v>
      </c>
      <c r="J11" s="3">
        <f>'Purchased Power Model'!C266</f>
        <v>329583057.43000001</v>
      </c>
      <c r="K11" s="222">
        <f>'Purchased Power Model'!L266</f>
        <v>330620504.72542536</v>
      </c>
      <c r="L11" s="26">
        <f t="shared" si="1"/>
        <v>1037447.2954253554</v>
      </c>
      <c r="M11" s="2">
        <f t="shared" si="2"/>
        <v>3.1477567552018306E-3</v>
      </c>
      <c r="N11" s="16">
        <f t="shared" si="0"/>
        <v>1.0393681734188662</v>
      </c>
    </row>
    <row r="12" spans="1:14">
      <c r="A12" s="1">
        <f>'Purchased Power Model'!A267</f>
        <v>2005</v>
      </c>
      <c r="B12" s="217">
        <v>110976692</v>
      </c>
      <c r="C12" s="217">
        <v>50366915</v>
      </c>
      <c r="D12" s="217">
        <v>157311075</v>
      </c>
      <c r="E12" s="217">
        <v>0</v>
      </c>
      <c r="F12" s="217">
        <v>2520367</v>
      </c>
      <c r="G12" s="217">
        <v>434702</v>
      </c>
      <c r="H12" s="217">
        <v>1407589</v>
      </c>
      <c r="I12" s="208">
        <f t="shared" si="3"/>
        <v>323017340</v>
      </c>
      <c r="J12" s="3">
        <f>'Purchased Power Model'!C267</f>
        <v>346922941.25999999</v>
      </c>
      <c r="K12" s="222">
        <f>'Purchased Power Model'!L267</f>
        <v>341466690.62847179</v>
      </c>
      <c r="L12" s="26">
        <f t="shared" si="1"/>
        <v>-5456250.6315281987</v>
      </c>
      <c r="M12" s="2">
        <f t="shared" si="2"/>
        <v>-1.5727557859712235E-2</v>
      </c>
      <c r="N12" s="16">
        <f t="shared" si="0"/>
        <v>1.0740071763949266</v>
      </c>
    </row>
    <row r="13" spans="1:14">
      <c r="A13" s="1">
        <f>'Purchased Power Model'!A268</f>
        <v>2006</v>
      </c>
      <c r="B13" s="217">
        <v>108206276</v>
      </c>
      <c r="C13" s="217">
        <v>49863299</v>
      </c>
      <c r="D13" s="217">
        <v>158255829</v>
      </c>
      <c r="E13" s="217">
        <v>0</v>
      </c>
      <c r="F13" s="217">
        <v>2523604</v>
      </c>
      <c r="G13" s="217">
        <v>430027</v>
      </c>
      <c r="H13" s="217">
        <v>1097760</v>
      </c>
      <c r="I13" s="208">
        <f t="shared" si="3"/>
        <v>320376795</v>
      </c>
      <c r="J13" s="3">
        <f>'Purchased Power Model'!C268</f>
        <v>339836661.57000005</v>
      </c>
      <c r="K13" s="222">
        <f>'Purchased Power Model'!L268</f>
        <v>337109848.359218</v>
      </c>
      <c r="L13" s="26">
        <f t="shared" si="1"/>
        <v>-2726813.2107820511</v>
      </c>
      <c r="M13" s="2">
        <f t="shared" si="2"/>
        <v>-8.0238935910697147E-3</v>
      </c>
      <c r="N13" s="16">
        <f t="shared" si="0"/>
        <v>1.0607405619686034</v>
      </c>
    </row>
    <row r="14" spans="1:14">
      <c r="A14" s="1">
        <f>'Purchased Power Model'!A269</f>
        <v>2007</v>
      </c>
      <c r="B14" s="217">
        <v>109590116</v>
      </c>
      <c r="C14" s="217">
        <v>49217302</v>
      </c>
      <c r="D14" s="217">
        <v>158471800</v>
      </c>
      <c r="E14" s="217">
        <v>0</v>
      </c>
      <c r="F14" s="217">
        <v>2534043</v>
      </c>
      <c r="G14" s="217">
        <v>370616</v>
      </c>
      <c r="H14" s="217">
        <v>922608</v>
      </c>
      <c r="I14" s="208">
        <f t="shared" si="3"/>
        <v>321106485</v>
      </c>
      <c r="J14" s="3">
        <f>'Purchased Power Model'!C269</f>
        <v>340350915</v>
      </c>
      <c r="K14" s="222">
        <f>'Purchased Power Model'!L269</f>
        <v>342278128.91195983</v>
      </c>
      <c r="L14" s="26">
        <f t="shared" si="1"/>
        <v>1927213.9119598269</v>
      </c>
      <c r="M14" s="2">
        <f t="shared" si="2"/>
        <v>5.6624319989262463E-3</v>
      </c>
      <c r="N14" s="16">
        <f t="shared" si="0"/>
        <v>1.0599316142743116</v>
      </c>
    </row>
    <row r="15" spans="1:14">
      <c r="A15" s="1">
        <f>'Purchased Power Model'!A270</f>
        <v>2008</v>
      </c>
      <c r="B15" s="217">
        <v>109814584</v>
      </c>
      <c r="C15" s="217">
        <v>49297751</v>
      </c>
      <c r="D15" s="217">
        <v>156131676</v>
      </c>
      <c r="E15" s="217">
        <v>0</v>
      </c>
      <c r="F15" s="217">
        <v>2549242</v>
      </c>
      <c r="G15" s="217">
        <v>352408</v>
      </c>
      <c r="H15" s="217">
        <v>862308</v>
      </c>
      <c r="I15" s="208">
        <f t="shared" si="3"/>
        <v>319007969</v>
      </c>
      <c r="J15" s="3">
        <f>'Purchased Power Model'!C270</f>
        <v>337342212</v>
      </c>
      <c r="K15" s="222">
        <f>'Purchased Power Model'!L270</f>
        <v>339502489.10932589</v>
      </c>
      <c r="L15" s="26">
        <f t="shared" si="1"/>
        <v>2160277.1093258858</v>
      </c>
      <c r="M15" s="2">
        <f t="shared" si="2"/>
        <v>6.4038149762469859E-3</v>
      </c>
      <c r="N15" s="16">
        <f t="shared" si="0"/>
        <v>1.0574726802514454</v>
      </c>
    </row>
    <row r="16" spans="1:14">
      <c r="A16" s="209">
        <f>'Purchased Power Model'!A272</f>
        <v>2009</v>
      </c>
      <c r="B16" s="29"/>
      <c r="C16" s="429" t="s">
        <v>249</v>
      </c>
      <c r="D16" s="429"/>
      <c r="E16" s="429"/>
      <c r="F16" s="429"/>
      <c r="G16" s="37">
        <f>'Loss Factors'!K23</f>
        <v>1.0592999999999999</v>
      </c>
      <c r="H16" s="37" t="s">
        <v>247</v>
      </c>
      <c r="I16" s="216">
        <f>K16/$G$16</f>
        <v>312508658.6450699</v>
      </c>
      <c r="J16" s="216"/>
      <c r="K16" s="216">
        <f>'Purchased Power Model'!L272</f>
        <v>331040422.10272253</v>
      </c>
      <c r="L16" s="430" t="s">
        <v>248</v>
      </c>
      <c r="M16" s="430"/>
      <c r="N16" s="430"/>
    </row>
    <row r="17" spans="1:18">
      <c r="A17" s="209">
        <f>'Purchased Power Model'!A273</f>
        <v>2010</v>
      </c>
      <c r="B17" s="29"/>
      <c r="C17" s="429" t="s">
        <v>249</v>
      </c>
      <c r="D17" s="429"/>
      <c r="E17" s="429"/>
      <c r="F17" s="429"/>
      <c r="G17" s="37">
        <f>'Loss Factors'!K23</f>
        <v>1.0592999999999999</v>
      </c>
      <c r="H17" s="37" t="s">
        <v>247</v>
      </c>
      <c r="I17" s="216">
        <f>K17/$G$17</f>
        <v>311571132.66913474</v>
      </c>
      <c r="J17" s="216"/>
      <c r="K17" s="216">
        <f>'Purchased Power Model'!L273</f>
        <v>330047300.8364144</v>
      </c>
      <c r="L17" s="430" t="s">
        <v>248</v>
      </c>
      <c r="M17" s="430"/>
      <c r="N17" s="430"/>
    </row>
    <row r="18" spans="1:18">
      <c r="N18" s="1"/>
      <c r="O18" s="1"/>
      <c r="P18" s="1"/>
      <c r="Q18" s="1"/>
      <c r="R18" s="1"/>
    </row>
    <row r="19" spans="1:18">
      <c r="N19" s="1"/>
      <c r="O19" s="1"/>
      <c r="P19" s="1"/>
      <c r="Q19" s="1"/>
      <c r="R19" s="1"/>
    </row>
    <row r="20" spans="1:18">
      <c r="A20" s="220" t="s">
        <v>19</v>
      </c>
      <c r="O20" s="1"/>
      <c r="P20" s="1"/>
      <c r="Q20" s="1"/>
      <c r="R20" s="1"/>
    </row>
    <row r="21" spans="1:18">
      <c r="O21" s="1"/>
      <c r="P21" s="1"/>
      <c r="Q21" s="1"/>
      <c r="R21" s="1"/>
    </row>
    <row r="22" spans="1:18">
      <c r="A22" s="1">
        <f>A3</f>
        <v>1996</v>
      </c>
      <c r="B22" s="19">
        <f>B3/'Rate Class Customer Model'!B3</f>
        <v>10757.447238210643</v>
      </c>
      <c r="C22" s="19">
        <f>C3/'Rate Class Customer Model'!C3</f>
        <v>32851.596240369799</v>
      </c>
      <c r="D22" s="19">
        <f>D3/'Rate Class Customer Model'!D3</f>
        <v>994930.5555555555</v>
      </c>
      <c r="E22" s="19">
        <f>E3/'Rate Class Customer Model'!E3</f>
        <v>0</v>
      </c>
      <c r="F22" s="19">
        <f>F3/'Rate Class Customer Model'!F3</f>
        <v>723.64939773404888</v>
      </c>
      <c r="G22" s="19">
        <f>G3/'Rate Class Customer Model'!G3</f>
        <v>1977.4583333333333</v>
      </c>
      <c r="H22" s="19">
        <f>H3/'Rate Class Customer Model'!H3</f>
        <v>6077.7777777777774</v>
      </c>
      <c r="O22" s="1"/>
      <c r="P22" s="1"/>
      <c r="Q22" s="1"/>
      <c r="R22" s="1"/>
    </row>
    <row r="23" spans="1:18">
      <c r="A23" s="1">
        <f>A4</f>
        <v>1997</v>
      </c>
      <c r="B23" s="19">
        <f>B4/'Rate Class Customer Model'!B4</f>
        <v>10292.792792792792</v>
      </c>
      <c r="C23" s="19">
        <f>C4/'Rate Class Customer Model'!C4</f>
        <v>34705.597376048812</v>
      </c>
      <c r="D23" s="19">
        <f>D4/'Rate Class Customer Model'!D4</f>
        <v>994930.5555555555</v>
      </c>
      <c r="E23" s="19">
        <f>E4/'Rate Class Customer Model'!E4</f>
        <v>0</v>
      </c>
      <c r="F23" s="19">
        <f>F4/'Rate Class Customer Model'!F4</f>
        <v>726.97043530113297</v>
      </c>
      <c r="G23" s="19">
        <f>G4/'Rate Class Customer Model'!G4</f>
        <v>1957.3020833333333</v>
      </c>
      <c r="H23" s="19">
        <f>H4/'Rate Class Customer Model'!H4</f>
        <v>6077.7777777777774</v>
      </c>
      <c r="O23" s="1"/>
      <c r="P23" s="1"/>
      <c r="Q23" s="1"/>
      <c r="R23" s="1"/>
    </row>
    <row r="24" spans="1:18">
      <c r="A24" s="1">
        <f>A5</f>
        <v>1998</v>
      </c>
      <c r="B24" s="19">
        <f>B5/'Rate Class Customer Model'!B5</f>
        <v>9715.175481957489</v>
      </c>
      <c r="C24" s="19">
        <f>C5/'Rate Class Customer Model'!C5</f>
        <v>36345.117964533536</v>
      </c>
      <c r="D24" s="19">
        <f>D5/'Rate Class Customer Model'!D5</f>
        <v>994930.5555555555</v>
      </c>
      <c r="E24" s="19">
        <f>E5/'Rate Class Customer Model'!E5</f>
        <v>0</v>
      </c>
      <c r="F24" s="19">
        <f>F5/'Rate Class Customer Model'!F5</f>
        <v>728.08586762075129</v>
      </c>
      <c r="G24" s="19">
        <f>G5/'Rate Class Customer Model'!G5</f>
        <v>1942.2986111111111</v>
      </c>
      <c r="H24" s="19">
        <f>H5/'Rate Class Customer Model'!H5</f>
        <v>6077.7777777777774</v>
      </c>
      <c r="O24" s="1"/>
      <c r="P24" s="1"/>
      <c r="Q24" s="1"/>
      <c r="R24" s="1"/>
    </row>
    <row r="25" spans="1:18">
      <c r="A25" s="1">
        <f t="shared" ref="A25:A36" si="4">A6</f>
        <v>1999</v>
      </c>
      <c r="B25" s="19">
        <f>B6/'Rate Class Customer Model'!B6</f>
        <v>9991.436470014627</v>
      </c>
      <c r="C25" s="19">
        <f>C6/'Rate Class Customer Model'!C6</f>
        <v>39389.675404780261</v>
      </c>
      <c r="D25" s="19">
        <f>D6/'Rate Class Customer Model'!D6</f>
        <v>974598.39318027219</v>
      </c>
      <c r="E25" s="19">
        <f>E6/'Rate Class Customer Model'!E6</f>
        <v>0</v>
      </c>
      <c r="F25" s="19">
        <f>F6/'Rate Class Customer Model'!F6</f>
        <v>728.08288610614193</v>
      </c>
      <c r="G25" s="19">
        <f>G6/'Rate Class Customer Model'!G6</f>
        <v>1868.9479166666667</v>
      </c>
      <c r="H25" s="19">
        <f>H6/'Rate Class Customer Model'!H6</f>
        <v>6077.7777777777774</v>
      </c>
      <c r="O25" s="1"/>
      <c r="P25" s="1"/>
      <c r="Q25" s="1"/>
      <c r="R25" s="1"/>
    </row>
    <row r="26" spans="1:18">
      <c r="A26" s="1">
        <f t="shared" si="4"/>
        <v>2000</v>
      </c>
      <c r="B26" s="19">
        <f>B7/'Rate Class Customer Model'!B7</f>
        <v>10024.304087351435</v>
      </c>
      <c r="C26" s="19">
        <f>C7/'Rate Class Customer Model'!C7</f>
        <v>36969.247295208654</v>
      </c>
      <c r="D26" s="19">
        <f>D7/'Rate Class Customer Model'!D7</f>
        <v>1015140.2960270271</v>
      </c>
      <c r="E26" s="19">
        <f>E7/'Rate Class Customer Model'!E7</f>
        <v>0</v>
      </c>
      <c r="F26" s="19">
        <f>F7/'Rate Class Customer Model'!F7</f>
        <v>734.26237328562911</v>
      </c>
      <c r="G26" s="19">
        <f>G7/'Rate Class Customer Model'!G7</f>
        <v>1896.8229166666667</v>
      </c>
      <c r="H26" s="19">
        <f>H7/'Rate Class Customer Model'!H7</f>
        <v>6077.7777777777774</v>
      </c>
      <c r="O26" s="1"/>
      <c r="P26" s="1"/>
      <c r="Q26" s="1"/>
      <c r="R26" s="1"/>
    </row>
    <row r="27" spans="1:18">
      <c r="A27" s="1">
        <f t="shared" si="4"/>
        <v>2001</v>
      </c>
      <c r="B27" s="19">
        <f>B8/'Rate Class Customer Model'!B8</f>
        <v>10110.646167130384</v>
      </c>
      <c r="C27" s="19">
        <f>C8/'Rate Class Customer Model'!C8</f>
        <v>36160.702723735405</v>
      </c>
      <c r="D27" s="19">
        <f>D8/'Rate Class Customer Model'!D8</f>
        <v>1020751.467694631</v>
      </c>
      <c r="E27" s="19">
        <f>E8/'Rate Class Customer Model'!E8</f>
        <v>0</v>
      </c>
      <c r="F27" s="19">
        <f>F8/'Rate Class Customer Model'!F8</f>
        <v>727.95586937334508</v>
      </c>
      <c r="G27" s="19">
        <f>G8/'Rate Class Customer Model'!G8</f>
        <v>1881.9826388888889</v>
      </c>
      <c r="H27" s="19">
        <f>H8/'Rate Class Customer Model'!H8</f>
        <v>6079.6</v>
      </c>
      <c r="O27" s="1"/>
      <c r="P27" s="1"/>
      <c r="Q27" s="1"/>
      <c r="R27" s="1"/>
    </row>
    <row r="28" spans="1:18">
      <c r="A28" s="1">
        <f t="shared" si="4"/>
        <v>2002</v>
      </c>
      <c r="B28" s="19">
        <f>B9/'Rate Class Customer Model'!B9</f>
        <v>10472.048000763432</v>
      </c>
      <c r="C28" s="19">
        <f>C9/'Rate Class Customer Model'!C9</f>
        <v>38015.305707584048</v>
      </c>
      <c r="D28" s="19">
        <f>D9/'Rate Class Customer Model'!D9</f>
        <v>1042059.4496644295</v>
      </c>
      <c r="E28" s="19">
        <f>E9/'Rate Class Customer Model'!E9</f>
        <v>0</v>
      </c>
      <c r="F28" s="19">
        <f>F9/'Rate Class Customer Model'!F9</f>
        <v>707.43276212605281</v>
      </c>
      <c r="G28" s="19">
        <f>G9/'Rate Class Customer Model'!G9</f>
        <v>1682.2673611111111</v>
      </c>
      <c r="H28" s="19">
        <f>H9/'Rate Class Customer Model'!H9</f>
        <v>6300.68954509178</v>
      </c>
      <c r="O28" s="1"/>
      <c r="P28" s="1"/>
      <c r="Q28" s="1"/>
      <c r="R28" s="1"/>
    </row>
    <row r="29" spans="1:18">
      <c r="A29" s="1">
        <f t="shared" si="4"/>
        <v>2003</v>
      </c>
      <c r="B29" s="19">
        <f>B10/'Rate Class Customer Model'!B10</f>
        <v>10208.922510618217</v>
      </c>
      <c r="C29" s="19">
        <f>C10/'Rate Class Customer Model'!C10</f>
        <v>38180.093114241005</v>
      </c>
      <c r="D29" s="19">
        <f>D10/'Rate Class Customer Model'!D10</f>
        <v>975155.38153980894</v>
      </c>
      <c r="E29" s="19">
        <f>E10/'Rate Class Customer Model'!E10</f>
        <v>0</v>
      </c>
      <c r="F29" s="19">
        <f>F10/'Rate Class Customer Model'!F10</f>
        <v>720.01994219653182</v>
      </c>
      <c r="G29" s="19">
        <f>G10/'Rate Class Customer Model'!G10</f>
        <v>1781.5395683453237</v>
      </c>
      <c r="H29" s="19">
        <f>H10/'Rate Class Customer Model'!H10</f>
        <v>6749.7860962566847</v>
      </c>
      <c r="O29" s="1"/>
      <c r="P29" s="1"/>
      <c r="Q29" s="1"/>
      <c r="R29" s="1"/>
    </row>
    <row r="30" spans="1:18">
      <c r="A30" s="1">
        <f t="shared" si="4"/>
        <v>2004</v>
      </c>
      <c r="B30" s="19">
        <f>B11/'Rate Class Customer Model'!B11</f>
        <v>10134.342589995325</v>
      </c>
      <c r="C30" s="19">
        <f>C11/'Rate Class Customer Model'!C11</f>
        <v>38653.763382467027</v>
      </c>
      <c r="D30" s="19">
        <f>D11/'Rate Class Customer Model'!D11</f>
        <v>972172.55215440248</v>
      </c>
      <c r="E30" s="19">
        <f>E11/'Rate Class Customer Model'!E11</f>
        <v>0</v>
      </c>
      <c r="F30" s="19">
        <f>F11/'Rate Class Customer Model'!F11</f>
        <v>722.55555555555554</v>
      </c>
      <c r="G30" s="19">
        <f>G11/'Rate Class Customer Model'!G11</f>
        <v>1683.6666666666667</v>
      </c>
      <c r="H30" s="19">
        <f>H11/'Rate Class Customer Model'!H11</f>
        <v>6680.9949999999999</v>
      </c>
      <c r="O30" s="1"/>
      <c r="P30" s="1"/>
      <c r="Q30" s="1"/>
      <c r="R30" s="1"/>
    </row>
    <row r="31" spans="1:18">
      <c r="A31" s="1">
        <f t="shared" si="4"/>
        <v>2005</v>
      </c>
      <c r="B31" s="19">
        <f>B12/'Rate Class Customer Model'!B12</f>
        <v>10288.957166697572</v>
      </c>
      <c r="C31" s="19">
        <f>C12/'Rate Class Customer Model'!C12</f>
        <v>38301.83650190114</v>
      </c>
      <c r="D31" s="19">
        <f>D12/'Rate Class Customer Model'!D12</f>
        <v>1014910.1612903225</v>
      </c>
      <c r="E31" s="19">
        <f>E12/'Rate Class Customer Model'!E12</f>
        <v>0</v>
      </c>
      <c r="F31" s="19">
        <f>F12/'Rate Class Customer Model'!F12</f>
        <v>722.16819484240693</v>
      </c>
      <c r="G31" s="19">
        <f>G12/'Rate Class Customer Model'!G12</f>
        <v>1671.9307692307693</v>
      </c>
      <c r="H31" s="19">
        <f>H12/'Rate Class Customer Model'!H12</f>
        <v>6832.9563106796113</v>
      </c>
      <c r="O31" s="1"/>
      <c r="P31" s="1"/>
      <c r="Q31" s="1"/>
      <c r="R31" s="1"/>
    </row>
    <row r="32" spans="1:18">
      <c r="A32" s="1">
        <f t="shared" si="4"/>
        <v>2006</v>
      </c>
      <c r="B32" s="19">
        <f>B13/'Rate Class Customer Model'!B13</f>
        <v>9888.1728959151969</v>
      </c>
      <c r="C32" s="19">
        <f>C13/'Rate Class Customer Model'!C13</f>
        <v>37239.207617625092</v>
      </c>
      <c r="D32" s="19">
        <f>D13/'Rate Class Customer Model'!D13</f>
        <v>1001619.1708860759</v>
      </c>
      <c r="E32" s="19">
        <f>E13/'Rate Class Customer Model'!E13</f>
        <v>0</v>
      </c>
      <c r="F32" s="19">
        <f>F13/'Rate Class Customer Model'!F13</f>
        <v>722.26788780767026</v>
      </c>
      <c r="G32" s="19">
        <f>G13/'Rate Class Customer Model'!G13</f>
        <v>1762.405737704918</v>
      </c>
      <c r="H32" s="19">
        <f>H13/'Rate Class Customer Model'!H13</f>
        <v>6031.6483516483513</v>
      </c>
      <c r="O32" s="1"/>
      <c r="P32" s="1"/>
      <c r="Q32" s="1"/>
      <c r="R32" s="1"/>
    </row>
    <row r="33" spans="1:18">
      <c r="A33" s="1">
        <f t="shared" si="4"/>
        <v>2007</v>
      </c>
      <c r="B33" s="19">
        <f>B14/'Rate Class Customer Model'!B14</f>
        <v>9907.7945936172127</v>
      </c>
      <c r="C33" s="19">
        <f>C14/'Rate Class Customer Model'!C14</f>
        <v>36620.016369047618</v>
      </c>
      <c r="D33" s="19">
        <f>D14/'Rate Class Customer Model'!D14</f>
        <v>990448.75</v>
      </c>
      <c r="E33" s="19">
        <f>E14/'Rate Class Customer Model'!E14</f>
        <v>0</v>
      </c>
      <c r="F33" s="19">
        <f>F14/'Rate Class Customer Model'!F14</f>
        <v>721.53843963553527</v>
      </c>
      <c r="G33" s="19">
        <f>G14/'Rate Class Customer Model'!G14</f>
        <v>1748.1886792452831</v>
      </c>
      <c r="H33" s="19">
        <f>H14/'Rate Class Customer Model'!H14</f>
        <v>5914.1538461538457</v>
      </c>
      <c r="O33" s="1"/>
      <c r="P33" s="1"/>
      <c r="Q33" s="1"/>
      <c r="R33" s="1"/>
    </row>
    <row r="34" spans="1:18">
      <c r="A34" s="1">
        <f t="shared" si="4"/>
        <v>2008</v>
      </c>
      <c r="B34" s="19">
        <f>B15/'Rate Class Customer Model'!B15</f>
        <v>9821.535104194616</v>
      </c>
      <c r="C34" s="19">
        <f>C15/'Rate Class Customer Model'!C15</f>
        <v>36598.18188567186</v>
      </c>
      <c r="D34" s="19">
        <f>D15/'Rate Class Customer Model'!D15</f>
        <v>1007301.135483871</v>
      </c>
      <c r="E34" s="19">
        <f>E15/'Rate Class Customer Model'!E15</f>
        <v>0</v>
      </c>
      <c r="F34" s="19">
        <f>F15/'Rate Class Customer Model'!F15</f>
        <v>722.9841179807147</v>
      </c>
      <c r="G34" s="19">
        <f>G15/'Rate Class Customer Model'!G15</f>
        <v>1710.7184466019417</v>
      </c>
      <c r="H34" s="19">
        <f>H15/'Rate Class Customer Model'!H15</f>
        <v>5563.2774193548385</v>
      </c>
      <c r="O34" s="1"/>
      <c r="P34" s="1"/>
      <c r="Q34" s="1"/>
      <c r="R34" s="1"/>
    </row>
    <row r="35" spans="1:18">
      <c r="A35" s="209">
        <f t="shared" si="4"/>
        <v>2009</v>
      </c>
      <c r="B35" s="216">
        <f>B34*B54</f>
        <v>9796.4790898262017</v>
      </c>
      <c r="C35" s="216">
        <f t="shared" ref="C35:H35" si="5">C34*C54</f>
        <v>36552.061354041398</v>
      </c>
      <c r="D35" s="216">
        <f t="shared" si="5"/>
        <v>1006325.5064686068</v>
      </c>
      <c r="E35" s="216"/>
      <c r="F35" s="216">
        <f t="shared" si="5"/>
        <v>721.58657153236686</v>
      </c>
      <c r="G35" s="216">
        <f t="shared" si="5"/>
        <v>1688.7777840981651</v>
      </c>
      <c r="H35" s="216">
        <f t="shared" si="5"/>
        <v>5502.1060207622186</v>
      </c>
      <c r="O35" s="1"/>
      <c r="P35" s="1"/>
      <c r="Q35" s="1"/>
      <c r="R35" s="1"/>
    </row>
    <row r="36" spans="1:18">
      <c r="A36" s="209">
        <f t="shared" si="4"/>
        <v>2010</v>
      </c>
      <c r="B36" s="216">
        <f>B35*B54</f>
        <v>9771.4869966115966</v>
      </c>
      <c r="C36" s="216">
        <f t="shared" ref="C36:H36" si="6">C35*C54</f>
        <v>36505.998942878352</v>
      </c>
      <c r="D36" s="216">
        <f t="shared" si="6"/>
        <v>1005350.82240609</v>
      </c>
      <c r="E36" s="216"/>
      <c r="F36" s="216">
        <f t="shared" si="6"/>
        <v>720.19172657638478</v>
      </c>
      <c r="G36" s="216">
        <f t="shared" si="6"/>
        <v>1667.1185195485994</v>
      </c>
      <c r="H36" s="216">
        <f t="shared" si="6"/>
        <v>5441.6072364801412</v>
      </c>
      <c r="O36" s="1"/>
      <c r="P36" s="1"/>
      <c r="Q36" s="1"/>
      <c r="R36" s="1"/>
    </row>
    <row r="37" spans="1:18">
      <c r="J37" s="19"/>
      <c r="N37" s="1"/>
      <c r="O37" s="1"/>
      <c r="P37" s="1"/>
      <c r="Q37" s="1"/>
      <c r="R37" s="1"/>
    </row>
    <row r="38" spans="1:18">
      <c r="A38" s="218">
        <v>1996</v>
      </c>
      <c r="J38" s="70" t="s">
        <v>181</v>
      </c>
      <c r="K38" s="67"/>
      <c r="L38" s="68" t="s">
        <v>171</v>
      </c>
      <c r="M38" s="68" t="s">
        <v>179</v>
      </c>
      <c r="N38" s="68" t="s">
        <v>180</v>
      </c>
      <c r="O38" s="1"/>
      <c r="P38" s="1"/>
      <c r="Q38" s="1"/>
      <c r="R38" s="1"/>
    </row>
    <row r="39" spans="1:18">
      <c r="A39" s="218">
        <v>1997</v>
      </c>
      <c r="B39" s="17">
        <f t="shared" ref="B39:G41" si="7">B23/B22</f>
        <v>0.95680625383247153</v>
      </c>
      <c r="C39" s="17">
        <f t="shared" si="7"/>
        <v>1.0564356484267488</v>
      </c>
      <c r="D39" s="17">
        <f t="shared" si="7"/>
        <v>1</v>
      </c>
      <c r="E39" s="17"/>
      <c r="F39" s="17">
        <f t="shared" si="7"/>
        <v>1.0045892908603022</v>
      </c>
      <c r="G39" s="17">
        <f t="shared" si="7"/>
        <v>0.98980699129775174</v>
      </c>
      <c r="H39" s="17">
        <f>H23/H22</f>
        <v>1</v>
      </c>
      <c r="J39" s="67"/>
      <c r="K39" s="67"/>
      <c r="L39" s="67"/>
      <c r="M39" s="67"/>
      <c r="N39" s="67"/>
      <c r="O39" s="1"/>
      <c r="P39" s="1"/>
      <c r="Q39" s="1"/>
      <c r="R39" s="1"/>
    </row>
    <row r="40" spans="1:18">
      <c r="A40" s="218">
        <v>1998</v>
      </c>
      <c r="B40" s="17">
        <f t="shared" si="7"/>
        <v>0.9438813816168764</v>
      </c>
      <c r="C40" s="17">
        <f t="shared" si="7"/>
        <v>1.0472408116396865</v>
      </c>
      <c r="D40" s="17">
        <f t="shared" si="7"/>
        <v>1</v>
      </c>
      <c r="E40" s="17"/>
      <c r="F40" s="17">
        <f t="shared" si="7"/>
        <v>1.0015343571972859</v>
      </c>
      <c r="G40" s="17">
        <f t="shared" si="7"/>
        <v>0.99233461592363359</v>
      </c>
      <c r="H40" s="17">
        <f>H24/H23</f>
        <v>1</v>
      </c>
      <c r="J40" s="67"/>
      <c r="K40" s="67"/>
      <c r="L40" s="67"/>
      <c r="M40" s="67"/>
      <c r="N40" s="67"/>
      <c r="O40" s="1"/>
      <c r="P40" s="1"/>
      <c r="Q40" s="1"/>
      <c r="R40" s="1"/>
    </row>
    <row r="41" spans="1:18">
      <c r="A41" s="218">
        <v>1999</v>
      </c>
      <c r="B41" s="17">
        <f t="shared" si="7"/>
        <v>1.0284360265617636</v>
      </c>
      <c r="C41" s="17">
        <f t="shared" si="7"/>
        <v>1.0837679889557017</v>
      </c>
      <c r="D41" s="17">
        <f t="shared" si="7"/>
        <v>0.97956423967305928</v>
      </c>
      <c r="E41" s="17"/>
      <c r="F41" s="17">
        <f t="shared" si="7"/>
        <v>0.99999590499590507</v>
      </c>
      <c r="G41" s="17">
        <f t="shared" si="7"/>
        <v>0.96223510946008284</v>
      </c>
      <c r="H41" s="17">
        <f>H25/H24</f>
        <v>1</v>
      </c>
      <c r="J41" s="69"/>
      <c r="K41" s="67"/>
      <c r="L41" s="67"/>
      <c r="M41" s="67"/>
      <c r="N41" s="67"/>
      <c r="O41" s="1"/>
      <c r="P41" s="1"/>
      <c r="Q41" s="1"/>
      <c r="R41" s="1"/>
    </row>
    <row r="42" spans="1:18">
      <c r="A42" s="218">
        <v>2000</v>
      </c>
      <c r="B42" s="17">
        <f>B26/B25</f>
        <v>1.0032895787743281</v>
      </c>
      <c r="C42" s="17">
        <f t="shared" ref="C42:H43" si="8">C26/C25</f>
        <v>0.93855171222665446</v>
      </c>
      <c r="D42" s="17">
        <f t="shared" si="8"/>
        <v>1.0415985734538922</v>
      </c>
      <c r="E42" s="17"/>
      <c r="F42" s="17">
        <f t="shared" si="8"/>
        <v>1.0084873402429986</v>
      </c>
      <c r="G42" s="17">
        <f t="shared" si="8"/>
        <v>1.0149148083536303</v>
      </c>
      <c r="H42" s="17">
        <f t="shared" si="8"/>
        <v>1</v>
      </c>
      <c r="J42" s="70" t="s">
        <v>174</v>
      </c>
      <c r="K42" s="67"/>
      <c r="L42" s="71">
        <f>1530/2</f>
        <v>765</v>
      </c>
      <c r="M42" s="67">
        <v>1060</v>
      </c>
      <c r="N42" s="67">
        <f>M42+L42</f>
        <v>1825</v>
      </c>
      <c r="O42" s="1"/>
      <c r="P42" s="1"/>
      <c r="Q42" s="1"/>
      <c r="R42" s="1"/>
    </row>
    <row r="43" spans="1:18">
      <c r="A43" s="218">
        <v>2001</v>
      </c>
      <c r="B43" s="17">
        <f>B27/B26</f>
        <v>1.0086132742010385</v>
      </c>
      <c r="C43" s="17">
        <f t="shared" si="8"/>
        <v>0.97812926606222683</v>
      </c>
      <c r="D43" s="17">
        <f t="shared" si="8"/>
        <v>1.0055274839246993</v>
      </c>
      <c r="E43" s="17"/>
      <c r="F43" s="17">
        <f t="shared" si="8"/>
        <v>0.99141110297663204</v>
      </c>
      <c r="G43" s="17">
        <f t="shared" si="8"/>
        <v>0.99217624500032031</v>
      </c>
      <c r="H43" s="17">
        <f t="shared" si="8"/>
        <v>1.0002998171846436</v>
      </c>
      <c r="J43" s="70" t="s">
        <v>173</v>
      </c>
      <c r="K43" s="67"/>
      <c r="L43" s="67">
        <v>2</v>
      </c>
      <c r="M43" s="67">
        <v>1</v>
      </c>
      <c r="N43" s="67">
        <f t="shared" ref="N43:N51" si="9">M43+L43</f>
        <v>3</v>
      </c>
      <c r="O43" s="1"/>
      <c r="P43" s="1"/>
      <c r="Q43" s="1"/>
      <c r="R43" s="1"/>
    </row>
    <row r="44" spans="1:18">
      <c r="A44" s="218">
        <v>2002</v>
      </c>
      <c r="B44" s="17">
        <f t="shared" ref="B44:H44" si="10">B28/B27</f>
        <v>1.0357446821557224</v>
      </c>
      <c r="C44" s="17">
        <f t="shared" si="10"/>
        <v>1.051287802618706</v>
      </c>
      <c r="D44" s="17">
        <f t="shared" si="10"/>
        <v>1.0208747992475804</v>
      </c>
      <c r="E44" s="17"/>
      <c r="F44" s="17">
        <f t="shared" si="10"/>
        <v>0.97180720959780242</v>
      </c>
      <c r="G44" s="17">
        <f t="shared" si="10"/>
        <v>0.89388038250146207</v>
      </c>
      <c r="H44" s="17">
        <f t="shared" si="10"/>
        <v>1.0363658045088131</v>
      </c>
      <c r="J44" s="70"/>
      <c r="K44" s="67"/>
      <c r="L44" s="71">
        <f>L43*L42</f>
        <v>1530</v>
      </c>
      <c r="M44" s="71">
        <f>M43*M42</f>
        <v>1060</v>
      </c>
      <c r="N44" s="67">
        <f t="shared" si="9"/>
        <v>2590</v>
      </c>
      <c r="O44" s="1"/>
      <c r="P44" s="1"/>
      <c r="Q44" s="1"/>
      <c r="R44" s="1"/>
    </row>
    <row r="45" spans="1:18">
      <c r="A45" s="218">
        <v>2003</v>
      </c>
      <c r="B45" s="17">
        <f t="shared" ref="B45:H45" si="11">B29/B28</f>
        <v>0.97487354048357744</v>
      </c>
      <c r="C45" s="17">
        <f t="shared" si="11"/>
        <v>1.0043347647372485</v>
      </c>
      <c r="D45" s="17">
        <f t="shared" si="11"/>
        <v>0.93579630399574087</v>
      </c>
      <c r="E45" s="17"/>
      <c r="F45" s="17">
        <f>F29/F28</f>
        <v>1.0177927581875776</v>
      </c>
      <c r="G45" s="17">
        <f>G29/G28</f>
        <v>1.0590109571932995</v>
      </c>
      <c r="H45" s="17">
        <f t="shared" si="11"/>
        <v>1.0712773654297487</v>
      </c>
      <c r="J45" s="70" t="s">
        <v>175</v>
      </c>
      <c r="K45" s="67"/>
      <c r="L45" s="67">
        <v>8760</v>
      </c>
      <c r="M45" s="67">
        <f>L45</f>
        <v>8760</v>
      </c>
      <c r="N45" s="67">
        <f t="shared" si="9"/>
        <v>17520</v>
      </c>
      <c r="O45" s="1"/>
      <c r="P45" s="1"/>
      <c r="Q45" s="1"/>
      <c r="R45" s="1"/>
    </row>
    <row r="46" spans="1:18">
      <c r="A46" s="218">
        <v>2004</v>
      </c>
      <c r="B46" s="17">
        <f t="shared" ref="B46:H46" si="12">B30/B29</f>
        <v>0.99269463348895814</v>
      </c>
      <c r="C46" s="17">
        <f t="shared" si="12"/>
        <v>1.0124062103989302</v>
      </c>
      <c r="D46" s="17">
        <f t="shared" si="12"/>
        <v>0.99694117528152648</v>
      </c>
      <c r="E46" s="17"/>
      <c r="F46" s="17">
        <f t="shared" si="12"/>
        <v>1.0035215876817085</v>
      </c>
      <c r="G46" s="17">
        <f>G30/G29</f>
        <v>0.94506274044221183</v>
      </c>
      <c r="H46" s="17">
        <f t="shared" si="12"/>
        <v>0.98980840351447064</v>
      </c>
      <c r="J46" s="70" t="s">
        <v>176</v>
      </c>
      <c r="K46" s="67"/>
      <c r="L46" s="67">
        <f>L44*L45</f>
        <v>13402800</v>
      </c>
      <c r="M46" s="67">
        <f>M44*M45</f>
        <v>9285600</v>
      </c>
      <c r="N46" s="67">
        <f t="shared" si="9"/>
        <v>22688400</v>
      </c>
      <c r="O46" s="1"/>
      <c r="P46" s="1"/>
      <c r="Q46" s="1"/>
      <c r="R46" s="1"/>
    </row>
    <row r="47" spans="1:18">
      <c r="A47" s="218">
        <v>2005</v>
      </c>
      <c r="B47" s="17">
        <f t="shared" ref="B47:H47" si="13">B31/B30</f>
        <v>1.0152564979256653</v>
      </c>
      <c r="C47" s="17">
        <f t="shared" si="13"/>
        <v>0.99089540448924263</v>
      </c>
      <c r="D47" s="17">
        <f t="shared" si="13"/>
        <v>1.0439609296119403</v>
      </c>
      <c r="E47" s="17"/>
      <c r="F47" s="17">
        <f t="shared" si="13"/>
        <v>0.99946390182710476</v>
      </c>
      <c r="G47" s="17">
        <f>G31/G30</f>
        <v>0.99302956002619436</v>
      </c>
      <c r="H47" s="17">
        <f t="shared" si="13"/>
        <v>1.0227453112417553</v>
      </c>
      <c r="J47" s="70"/>
      <c r="K47" s="67"/>
      <c r="L47" s="67"/>
      <c r="M47" s="67"/>
      <c r="N47" s="67">
        <f t="shared" si="9"/>
        <v>0</v>
      </c>
      <c r="O47" s="1"/>
      <c r="P47" s="1"/>
      <c r="Q47" s="1"/>
      <c r="R47" s="1"/>
    </row>
    <row r="48" spans="1:18">
      <c r="A48" s="218">
        <v>2006</v>
      </c>
      <c r="B48" s="17">
        <f t="shared" ref="B48:H48" si="14">B32/B31</f>
        <v>0.96104714362310695</v>
      </c>
      <c r="C48" s="17">
        <f t="shared" si="14"/>
        <v>0.97225645083041112</v>
      </c>
      <c r="D48" s="17">
        <f t="shared" si="14"/>
        <v>0.9869042690563381</v>
      </c>
      <c r="E48" s="17"/>
      <c r="F48" s="17">
        <f>F32/F31</f>
        <v>1.0001380467403236</v>
      </c>
      <c r="G48" s="17">
        <f>G32/G31</f>
        <v>1.0541140638949871</v>
      </c>
      <c r="H48" s="17">
        <f t="shared" si="14"/>
        <v>0.88272895031117782</v>
      </c>
      <c r="J48" s="70" t="s">
        <v>172</v>
      </c>
      <c r="K48" s="67"/>
      <c r="L48" s="67">
        <v>2800</v>
      </c>
      <c r="M48" s="67">
        <f>5*16*52</f>
        <v>4160</v>
      </c>
      <c r="N48" s="67">
        <f t="shared" si="9"/>
        <v>6960</v>
      </c>
      <c r="O48" s="1"/>
      <c r="P48" s="1"/>
      <c r="Q48" s="1"/>
      <c r="R48" s="1"/>
    </row>
    <row r="49" spans="1:18">
      <c r="A49" s="218">
        <v>2007</v>
      </c>
      <c r="B49" s="17">
        <f t="shared" ref="B49:H50" si="15">B33/B32</f>
        <v>1.0019843602967462</v>
      </c>
      <c r="C49" s="17">
        <f t="shared" si="15"/>
        <v>0.98337259871543525</v>
      </c>
      <c r="D49" s="17">
        <f t="shared" si="15"/>
        <v>0.98884763669589704</v>
      </c>
      <c r="E49" s="17"/>
      <c r="F49" s="17">
        <f t="shared" si="15"/>
        <v>0.99899005869643587</v>
      </c>
      <c r="G49" s="17">
        <f>G33/G32</f>
        <v>0.99193315242031099</v>
      </c>
      <c r="H49" s="17">
        <f t="shared" si="15"/>
        <v>0.98052033231307389</v>
      </c>
      <c r="J49" s="70" t="s">
        <v>177</v>
      </c>
      <c r="K49" s="67"/>
      <c r="L49" s="72">
        <f>L48/L45</f>
        <v>0.31963470319634701</v>
      </c>
      <c r="M49" s="72">
        <f>M48/M45</f>
        <v>0.47488584474885842</v>
      </c>
      <c r="N49" s="67"/>
      <c r="O49" s="1"/>
      <c r="P49" s="1"/>
      <c r="Q49" s="1"/>
      <c r="R49" s="1"/>
    </row>
    <row r="50" spans="1:18">
      <c r="A50" s="218">
        <v>2008</v>
      </c>
      <c r="B50" s="17">
        <f t="shared" si="15"/>
        <v>0.99129377495591531</v>
      </c>
      <c r="C50" s="17">
        <f t="shared" si="15"/>
        <v>0.99940375549929539</v>
      </c>
      <c r="D50" s="17">
        <f t="shared" si="15"/>
        <v>1.0170148990383105</v>
      </c>
      <c r="E50" s="17"/>
      <c r="F50" s="17">
        <f t="shared" si="15"/>
        <v>1.0020036054432659</v>
      </c>
      <c r="G50" s="17">
        <f>G34/G33</f>
        <v>0.97856625369550054</v>
      </c>
      <c r="H50" s="17">
        <f t="shared" si="15"/>
        <v>0.94067174511748741</v>
      </c>
      <c r="J50" s="70"/>
      <c r="K50" s="67"/>
      <c r="L50" s="67"/>
      <c r="M50" s="67"/>
      <c r="N50" s="67"/>
      <c r="O50" s="1"/>
      <c r="P50" s="1"/>
      <c r="Q50" s="1"/>
      <c r="R50" s="1"/>
    </row>
    <row r="51" spans="1:18">
      <c r="A51" s="171"/>
      <c r="J51" s="70" t="s">
        <v>178</v>
      </c>
      <c r="K51" s="67"/>
      <c r="L51" s="67">
        <f>L46*L49</f>
        <v>4284000</v>
      </c>
      <c r="M51" s="67">
        <f>M46*M49</f>
        <v>4409600</v>
      </c>
      <c r="N51" s="67">
        <f t="shared" si="9"/>
        <v>8693600</v>
      </c>
      <c r="O51" s="1"/>
      <c r="P51" s="1"/>
      <c r="Q51" s="1"/>
      <c r="R51" s="1"/>
    </row>
    <row r="52" spans="1:18">
      <c r="A52" s="219" t="s">
        <v>18</v>
      </c>
      <c r="B52" s="223">
        <f>GEOMEAN(B43:B50)</f>
        <v>0.99744886984543657</v>
      </c>
      <c r="C52" s="223">
        <f>GEOMEAN(C43:C50)</f>
        <v>0.99873981358487862</v>
      </c>
      <c r="D52" s="223">
        <f>GEOMEAN(D43:D50)</f>
        <v>0.99903144255387388</v>
      </c>
      <c r="E52" s="223"/>
      <c r="F52" s="223">
        <f>GEOMEAN(F43:F50)</f>
        <v>0.99806697489807772</v>
      </c>
      <c r="G52" s="223">
        <f>GEOMEAN(G43:G50)</f>
        <v>0.98717459173521038</v>
      </c>
      <c r="H52" s="223">
        <f>GEOMEAN(H43:H50)</f>
        <v>0.98900443138431271</v>
      </c>
      <c r="J52" s="70"/>
      <c r="K52" s="67"/>
      <c r="L52" s="67"/>
      <c r="M52" s="67"/>
      <c r="N52" s="67"/>
      <c r="O52" s="1"/>
      <c r="P52" s="1"/>
      <c r="Q52" s="1"/>
      <c r="R52" s="1"/>
    </row>
    <row r="53" spans="1:18">
      <c r="A53" s="171"/>
      <c r="J53" s="230" t="s">
        <v>241</v>
      </c>
      <c r="K53" s="216"/>
      <c r="L53" s="216">
        <v>0</v>
      </c>
      <c r="M53" s="216">
        <f>M51/2</f>
        <v>2204800</v>
      </c>
      <c r="N53" s="216">
        <f>SUM(L53:M53)</f>
        <v>2204800</v>
      </c>
      <c r="O53" s="1"/>
      <c r="P53" s="1"/>
      <c r="Q53" s="1"/>
      <c r="R53" s="1"/>
    </row>
    <row r="54" spans="1:18">
      <c r="A54" s="209" t="s">
        <v>28</v>
      </c>
      <c r="B54" s="221">
        <f>B52</f>
        <v>0.99744886984543657</v>
      </c>
      <c r="C54" s="221">
        <f>C52</f>
        <v>0.99873981358487862</v>
      </c>
      <c r="D54" s="221">
        <f>D52</f>
        <v>0.99903144255387388</v>
      </c>
      <c r="E54" s="221"/>
      <c r="F54" s="221">
        <f>F52</f>
        <v>0.99806697489807772</v>
      </c>
      <c r="G54" s="221">
        <f>G52</f>
        <v>0.98717459173521038</v>
      </c>
      <c r="H54" s="221">
        <f>H52</f>
        <v>0.98900443138431271</v>
      </c>
      <c r="J54" s="230" t="s">
        <v>242</v>
      </c>
      <c r="K54" s="216"/>
      <c r="L54" s="216">
        <v>0</v>
      </c>
      <c r="M54" s="216">
        <f>M51</f>
        <v>4409600</v>
      </c>
      <c r="N54" s="216">
        <f>SUM(L54:M54)</f>
        <v>4409600</v>
      </c>
      <c r="O54" s="1"/>
      <c r="P54" s="1"/>
      <c r="Q54" s="1"/>
      <c r="R54" s="1"/>
    </row>
    <row r="55" spans="1:18">
      <c r="A55" s="171"/>
      <c r="B55" s="10"/>
      <c r="C55" s="10"/>
      <c r="E55" s="8"/>
      <c r="F55" s="8"/>
      <c r="G55" s="8"/>
      <c r="H55" s="8"/>
      <c r="N55" s="1"/>
      <c r="O55" s="1"/>
      <c r="P55" s="1"/>
      <c r="Q55" s="1"/>
      <c r="R55" s="1"/>
    </row>
    <row r="56" spans="1:18">
      <c r="N56" s="1"/>
      <c r="O56" s="1"/>
      <c r="P56" s="1"/>
      <c r="Q56" s="1"/>
      <c r="R56" s="1"/>
    </row>
    <row r="57" spans="1:18">
      <c r="B57" s="17"/>
      <c r="C57" s="17"/>
      <c r="D57" s="17"/>
      <c r="E57" s="17"/>
      <c r="F57" s="17"/>
      <c r="G57" s="17"/>
      <c r="H57" s="17"/>
      <c r="I57" s="222"/>
      <c r="J57" s="17"/>
      <c r="N57" s="1"/>
      <c r="O57" s="1"/>
      <c r="P57" s="1"/>
      <c r="Q57" s="1"/>
      <c r="R57" s="1"/>
    </row>
    <row r="58" spans="1:18">
      <c r="B58" s="17"/>
      <c r="C58" s="17"/>
      <c r="D58" s="17"/>
      <c r="E58" s="17"/>
      <c r="F58" s="17"/>
      <c r="G58" s="17"/>
      <c r="H58" s="17"/>
      <c r="I58" s="222"/>
      <c r="J58" s="222"/>
      <c r="K58" s="222"/>
      <c r="L58" s="222"/>
      <c r="M58" s="222"/>
      <c r="O58" s="1"/>
      <c r="P58" s="1"/>
      <c r="Q58" s="1"/>
      <c r="R58" s="1"/>
    </row>
    <row r="59" spans="1:18">
      <c r="A59" s="215" t="s">
        <v>59</v>
      </c>
      <c r="O59" s="1"/>
      <c r="P59" s="1"/>
      <c r="Q59" s="1"/>
      <c r="R59" s="1"/>
    </row>
    <row r="60" spans="1:18">
      <c r="A60" s="219">
        <v>2009</v>
      </c>
      <c r="B60" s="3">
        <f>B35*'Rate Class Customer Model'!B16</f>
        <v>110647978.94566755</v>
      </c>
      <c r="C60" s="3">
        <f>C35*'Rate Class Customer Model'!C16</f>
        <v>49387898.283170179</v>
      </c>
      <c r="D60" s="3">
        <f>D35*'Rate Class Customer Model'!D16</f>
        <v>156940227.99500978</v>
      </c>
      <c r="E60" s="3">
        <f>E35*'Rate Class Customer Model'!E16</f>
        <v>0</v>
      </c>
      <c r="F60" s="3">
        <f>F35*'Rate Class Customer Model'!F16</f>
        <v>2554939.8960323604</v>
      </c>
      <c r="G60" s="3">
        <f>G35*'Rate Class Customer Model'!G16</f>
        <v>338308.27593798569</v>
      </c>
      <c r="H60" s="3">
        <f>H35*'Rate Class Customer Model'!H16</f>
        <v>842265.3194990668</v>
      </c>
      <c r="I60" s="13"/>
      <c r="J60" s="216">
        <f>SUM(B60:H60)</f>
        <v>320711618.71531689</v>
      </c>
      <c r="K60" s="428" t="s">
        <v>254</v>
      </c>
      <c r="L60" s="428"/>
      <c r="M60" s="428"/>
      <c r="O60" s="1"/>
      <c r="P60" s="1"/>
      <c r="Q60" s="1"/>
      <c r="R60" s="1"/>
    </row>
    <row r="61" spans="1:18">
      <c r="A61" s="219">
        <v>2010</v>
      </c>
      <c r="B61" s="3">
        <f>B36*'Rate Class Customer Model'!B17</f>
        <v>111487698.61716081</v>
      </c>
      <c r="C61" s="3">
        <f>C36*'Rate Class Customer Model'!C17</f>
        <v>49478210.412251145</v>
      </c>
      <c r="D61" s="3">
        <f>D36*'Rate Class Customer Model'!D17</f>
        <v>157752967.20138741</v>
      </c>
      <c r="E61" s="3">
        <f>E36*'Rate Class Customer Model'!E17</f>
        <v>0</v>
      </c>
      <c r="F61" s="3">
        <f>F36*'Rate Class Customer Model'!F17</f>
        <v>2560650.5276226616</v>
      </c>
      <c r="G61" s="3">
        <f>G36*'Rate Class Customer Model'!G17</f>
        <v>324772.67703381384</v>
      </c>
      <c r="H61" s="3">
        <f>H36*'Rate Class Customer Model'!H17</f>
        <v>822688.4923146544</v>
      </c>
      <c r="I61" s="13"/>
      <c r="J61" s="216">
        <f>SUM(B61:H61)</f>
        <v>322426987.9277705</v>
      </c>
      <c r="K61" s="428" t="s">
        <v>254</v>
      </c>
      <c r="L61" s="428"/>
      <c r="M61" s="428"/>
      <c r="O61" s="1"/>
      <c r="P61" s="1"/>
      <c r="Q61" s="1"/>
      <c r="R61" s="1"/>
    </row>
    <row r="62" spans="1:18">
      <c r="A62" s="219"/>
      <c r="K62" s="239"/>
      <c r="L62" s="239"/>
      <c r="M62" s="239"/>
      <c r="O62" s="1"/>
      <c r="P62" s="1"/>
      <c r="Q62" s="1"/>
      <c r="R62" s="1"/>
    </row>
    <row r="63" spans="1:18">
      <c r="A63" s="215" t="s">
        <v>61</v>
      </c>
      <c r="I63" s="222" t="s">
        <v>26</v>
      </c>
      <c r="K63" s="239"/>
      <c r="L63" s="239"/>
      <c r="M63" s="239"/>
      <c r="O63" s="1"/>
      <c r="P63" s="1"/>
      <c r="Q63" s="1"/>
      <c r="R63" s="1"/>
    </row>
    <row r="64" spans="1:18">
      <c r="A64" s="219">
        <f>A76</f>
        <v>2009</v>
      </c>
      <c r="B64" s="3">
        <f>B76/$I$76*$J$64</f>
        <v>-2610874.3215803239</v>
      </c>
      <c r="C64" s="3">
        <f t="shared" ref="C64:H64" si="16">C76/$I$76*$J$64</f>
        <v>-1165367.8327705134</v>
      </c>
      <c r="D64" s="3">
        <f t="shared" si="16"/>
        <v>-2221917.9158961573</v>
      </c>
      <c r="E64" s="3">
        <f t="shared" si="16"/>
        <v>0</v>
      </c>
      <c r="F64" s="3">
        <f t="shared" si="16"/>
        <v>0</v>
      </c>
      <c r="G64" s="3">
        <f t="shared" si="16"/>
        <v>0</v>
      </c>
      <c r="H64" s="3">
        <f t="shared" si="16"/>
        <v>0</v>
      </c>
      <c r="I64" s="222">
        <f>SUM(B64:H64)</f>
        <v>-5998160.0702469945</v>
      </c>
      <c r="J64" s="216">
        <f>J68-J60+N53</f>
        <v>-5998160.0702469945</v>
      </c>
      <c r="K64" s="428" t="s">
        <v>255</v>
      </c>
      <c r="L64" s="428"/>
      <c r="M64" s="428"/>
      <c r="O64" s="1"/>
      <c r="P64" s="1"/>
      <c r="Q64" s="1"/>
      <c r="R64" s="1"/>
    </row>
    <row r="65" spans="1:18">
      <c r="A65" s="219">
        <v>2010</v>
      </c>
      <c r="B65" s="3">
        <f t="shared" ref="B65:H65" si="17">B77/$I$77*$J$65</f>
        <v>-2811535.3257080223</v>
      </c>
      <c r="C65" s="3">
        <f t="shared" si="17"/>
        <v>-1247758.6150966261</v>
      </c>
      <c r="D65" s="3">
        <f t="shared" si="17"/>
        <v>-2386961.3178311107</v>
      </c>
      <c r="E65" s="3">
        <f t="shared" si="17"/>
        <v>0</v>
      </c>
      <c r="F65" s="3">
        <f t="shared" si="17"/>
        <v>0</v>
      </c>
      <c r="G65" s="3">
        <f t="shared" si="17"/>
        <v>0</v>
      </c>
      <c r="H65" s="3">
        <f t="shared" si="17"/>
        <v>0</v>
      </c>
      <c r="I65" s="222">
        <f>SUM(B65:H65)</f>
        <v>-6446255.2586357594</v>
      </c>
      <c r="J65" s="216">
        <f>J69-J61+N54</f>
        <v>-6446255.2586357594</v>
      </c>
      <c r="K65" s="428" t="s">
        <v>255</v>
      </c>
      <c r="L65" s="428"/>
      <c r="M65" s="428"/>
      <c r="O65" s="1"/>
      <c r="P65" s="1"/>
      <c r="Q65" s="1"/>
      <c r="R65" s="1"/>
    </row>
    <row r="66" spans="1:18">
      <c r="A66" s="219"/>
      <c r="K66" s="239"/>
      <c r="L66" s="239"/>
      <c r="M66" s="239"/>
      <c r="O66" s="1"/>
      <c r="P66" s="1"/>
      <c r="Q66" s="1"/>
      <c r="R66" s="1"/>
    </row>
    <row r="67" spans="1:18">
      <c r="A67" s="215" t="s">
        <v>58</v>
      </c>
      <c r="K67" s="239"/>
      <c r="L67" s="239"/>
      <c r="M67" s="239"/>
      <c r="O67" s="1"/>
      <c r="P67" s="1"/>
      <c r="Q67" s="1"/>
      <c r="R67" s="1"/>
    </row>
    <row r="68" spans="1:18">
      <c r="A68" s="219">
        <f>A60</f>
        <v>2009</v>
      </c>
      <c r="B68" s="3">
        <f>B60+B64-B72</f>
        <v>108037104.62408723</v>
      </c>
      <c r="C68" s="3">
        <f t="shared" ref="B68:H69" si="18">C60+C64-C72</f>
        <v>48222530.450399667</v>
      </c>
      <c r="D68" s="3">
        <f t="shared" si="18"/>
        <v>152513510.07911363</v>
      </c>
      <c r="E68" s="3">
        <f t="shared" si="18"/>
        <v>0</v>
      </c>
      <c r="F68" s="3">
        <f t="shared" si="18"/>
        <v>2554939.8960323604</v>
      </c>
      <c r="G68" s="3">
        <f t="shared" si="18"/>
        <v>338308.27593798569</v>
      </c>
      <c r="H68" s="3">
        <f t="shared" si="18"/>
        <v>842265.3194990668</v>
      </c>
      <c r="J68" s="216">
        <f>I16</f>
        <v>312508658.6450699</v>
      </c>
      <c r="K68" s="428" t="s">
        <v>253</v>
      </c>
      <c r="L68" s="428"/>
      <c r="M68" s="428"/>
      <c r="O68" s="1"/>
      <c r="P68" s="1"/>
      <c r="Q68" s="1"/>
      <c r="R68" s="1"/>
    </row>
    <row r="69" spans="1:18">
      <c r="A69" s="219">
        <v>2010</v>
      </c>
      <c r="B69" s="3">
        <f t="shared" si="18"/>
        <v>108676163.2914528</v>
      </c>
      <c r="C69" s="3">
        <f t="shared" si="18"/>
        <v>48230451.797154516</v>
      </c>
      <c r="D69" s="3">
        <f t="shared" si="18"/>
        <v>150956405.88355631</v>
      </c>
      <c r="E69" s="3">
        <f t="shared" si="18"/>
        <v>0</v>
      </c>
      <c r="F69" s="3">
        <f t="shared" si="18"/>
        <v>2560650.5276226616</v>
      </c>
      <c r="G69" s="3">
        <f t="shared" si="18"/>
        <v>324772.67703381384</v>
      </c>
      <c r="H69" s="3">
        <f t="shared" si="18"/>
        <v>822688.4923146544</v>
      </c>
      <c r="J69" s="216">
        <f>I17</f>
        <v>311571132.66913474</v>
      </c>
      <c r="K69" s="428" t="s">
        <v>253</v>
      </c>
      <c r="L69" s="428"/>
      <c r="M69" s="428"/>
      <c r="O69" s="1"/>
      <c r="P69" s="1"/>
      <c r="Q69" s="1"/>
      <c r="R69" s="1"/>
    </row>
    <row r="70" spans="1:18">
      <c r="A70" s="219"/>
      <c r="K70" s="239"/>
      <c r="L70" s="239"/>
      <c r="M70" s="239"/>
      <c r="N70" s="222"/>
      <c r="O70" s="1"/>
      <c r="P70" s="1"/>
      <c r="Q70" s="1"/>
      <c r="R70" s="1"/>
    </row>
    <row r="71" spans="1:18">
      <c r="A71" s="215" t="s">
        <v>170</v>
      </c>
      <c r="I71" s="222" t="s">
        <v>26</v>
      </c>
      <c r="K71" s="239"/>
      <c r="L71" s="239"/>
      <c r="M71" s="239"/>
      <c r="O71" s="1"/>
      <c r="P71" s="1"/>
      <c r="Q71" s="1"/>
      <c r="R71" s="1"/>
    </row>
    <row r="72" spans="1:18">
      <c r="A72" s="219">
        <v>2009</v>
      </c>
      <c r="B72" s="231">
        <v>0</v>
      </c>
      <c r="C72" s="231">
        <v>0</v>
      </c>
      <c r="D72" s="3">
        <f>N53</f>
        <v>2204800</v>
      </c>
      <c r="E72" s="231">
        <v>0</v>
      </c>
      <c r="F72" s="231">
        <v>0</v>
      </c>
      <c r="G72" s="231">
        <v>0</v>
      </c>
      <c r="H72" s="231">
        <v>0</v>
      </c>
      <c r="I72" s="222">
        <f>SUM(B72:H72)</f>
        <v>2204800</v>
      </c>
      <c r="J72" s="216">
        <f>J68-J76</f>
        <v>0</v>
      </c>
      <c r="K72" s="428" t="s">
        <v>256</v>
      </c>
      <c r="L72" s="428"/>
      <c r="M72" s="428"/>
      <c r="O72" s="1"/>
      <c r="P72" s="1"/>
      <c r="Q72" s="1"/>
      <c r="R72" s="1"/>
    </row>
    <row r="73" spans="1:18">
      <c r="A73" s="219">
        <v>2010</v>
      </c>
      <c r="B73" s="231">
        <v>0</v>
      </c>
      <c r="C73" s="231">
        <v>0</v>
      </c>
      <c r="D73" s="3">
        <f>N54</f>
        <v>4409600</v>
      </c>
      <c r="E73" s="231">
        <v>0</v>
      </c>
      <c r="F73" s="231">
        <v>0</v>
      </c>
      <c r="G73" s="231">
        <v>0</v>
      </c>
      <c r="H73" s="231">
        <v>0</v>
      </c>
      <c r="I73" s="222">
        <f>SUM(B73:H73)</f>
        <v>4409600</v>
      </c>
      <c r="J73" s="216">
        <f>J69-J77</f>
        <v>0</v>
      </c>
      <c r="K73" s="428" t="s">
        <v>256</v>
      </c>
      <c r="L73" s="428"/>
      <c r="M73" s="428"/>
      <c r="O73" s="1"/>
      <c r="P73" s="1"/>
      <c r="Q73" s="1"/>
      <c r="R73" s="1"/>
    </row>
    <row r="74" spans="1:18">
      <c r="A74" s="219"/>
      <c r="K74" s="239"/>
      <c r="L74" s="239"/>
      <c r="M74" s="239"/>
      <c r="O74" s="1"/>
      <c r="P74" s="1"/>
      <c r="Q74" s="1"/>
      <c r="R74" s="1"/>
    </row>
    <row r="75" spans="1:18">
      <c r="A75" s="203" t="s">
        <v>60</v>
      </c>
      <c r="B75" s="30">
        <v>1</v>
      </c>
      <c r="C75" s="30">
        <v>1</v>
      </c>
      <c r="D75" s="30">
        <v>0.6</v>
      </c>
      <c r="E75" s="30">
        <v>0</v>
      </c>
      <c r="F75" s="30">
        <v>0</v>
      </c>
      <c r="G75" s="30">
        <v>0</v>
      </c>
      <c r="H75" s="30">
        <v>0</v>
      </c>
      <c r="I75" s="222" t="s">
        <v>26</v>
      </c>
      <c r="K75" s="239"/>
      <c r="L75" s="239"/>
      <c r="M75" s="239"/>
      <c r="N75" s="1"/>
      <c r="O75" s="1"/>
      <c r="P75" s="1"/>
      <c r="Q75" s="1"/>
      <c r="R75" s="1"/>
    </row>
    <row r="76" spans="1:18">
      <c r="A76" s="219">
        <f>A68</f>
        <v>2009</v>
      </c>
      <c r="B76" s="3">
        <f t="shared" ref="B76:H76" si="19">B60*B75</f>
        <v>110647978.94566755</v>
      </c>
      <c r="C76" s="3">
        <f t="shared" si="19"/>
        <v>49387898.283170179</v>
      </c>
      <c r="D76" s="3">
        <f t="shared" si="19"/>
        <v>94164136.797005862</v>
      </c>
      <c r="E76" s="3">
        <f t="shared" si="19"/>
        <v>0</v>
      </c>
      <c r="F76" s="3">
        <f t="shared" si="19"/>
        <v>0</v>
      </c>
      <c r="G76" s="3">
        <f t="shared" si="19"/>
        <v>0</v>
      </c>
      <c r="H76" s="3">
        <f t="shared" si="19"/>
        <v>0</v>
      </c>
      <c r="I76" s="222">
        <f>SUM(B76:H76)</f>
        <v>254200014.02584359</v>
      </c>
      <c r="J76" s="216">
        <f>SUM(B68:H68)</f>
        <v>312508658.64506996</v>
      </c>
      <c r="K76" s="428" t="s">
        <v>257</v>
      </c>
      <c r="L76" s="428"/>
      <c r="M76" s="428"/>
      <c r="N76" s="1"/>
      <c r="O76" s="1"/>
      <c r="P76" s="1"/>
      <c r="Q76" s="1"/>
      <c r="R76" s="1"/>
    </row>
    <row r="77" spans="1:18">
      <c r="A77" s="219">
        <v>2010</v>
      </c>
      <c r="B77" s="3">
        <f t="shared" ref="B77:H77" si="20">B61*B75</f>
        <v>111487698.61716081</v>
      </c>
      <c r="C77" s="3">
        <f t="shared" si="20"/>
        <v>49478210.412251145</v>
      </c>
      <c r="D77" s="3">
        <f t="shared" si="20"/>
        <v>94651780.320832446</v>
      </c>
      <c r="E77" s="3">
        <f t="shared" si="20"/>
        <v>0</v>
      </c>
      <c r="F77" s="3">
        <f t="shared" si="20"/>
        <v>0</v>
      </c>
      <c r="G77" s="3">
        <f t="shared" si="20"/>
        <v>0</v>
      </c>
      <c r="H77" s="3">
        <f t="shared" si="20"/>
        <v>0</v>
      </c>
      <c r="I77" s="222">
        <f>SUM(B77:H77)</f>
        <v>255617689.3502444</v>
      </c>
      <c r="J77" s="216">
        <f>SUM(B69:H69)</f>
        <v>311571132.66913474</v>
      </c>
      <c r="K77" s="428" t="s">
        <v>257</v>
      </c>
      <c r="L77" s="428"/>
      <c r="M77" s="428"/>
      <c r="N77" s="1"/>
      <c r="O77" s="1"/>
      <c r="P77" s="1"/>
      <c r="Q77" s="1"/>
      <c r="R77" s="1"/>
    </row>
    <row r="78" spans="1:18">
      <c r="N78" s="1"/>
      <c r="O78" s="1"/>
      <c r="P78" s="1"/>
      <c r="Q78" s="1"/>
      <c r="R78" s="1"/>
    </row>
    <row r="79" spans="1:18">
      <c r="J79" s="3">
        <f>Summary!N17</f>
        <v>312508659</v>
      </c>
      <c r="N79" s="1"/>
      <c r="O79" s="1"/>
      <c r="P79" s="1"/>
      <c r="Q79" s="1"/>
      <c r="R79" s="1"/>
    </row>
    <row r="80" spans="1:18">
      <c r="J80" s="3">
        <f>Summary!O17</f>
        <v>311571133</v>
      </c>
      <c r="N80" s="1"/>
      <c r="O80" s="1"/>
      <c r="P80" s="1"/>
      <c r="Q80" s="1"/>
      <c r="R80" s="1"/>
    </row>
    <row r="81" spans="6:18">
      <c r="N81" s="1"/>
      <c r="O81" s="1"/>
      <c r="P81" s="1"/>
      <c r="Q81" s="1"/>
      <c r="R81" s="1"/>
    </row>
    <row r="82" spans="6:18">
      <c r="N82" s="1"/>
      <c r="O82" s="1"/>
      <c r="P82" s="1"/>
      <c r="Q82" s="1"/>
      <c r="R82" s="1"/>
    </row>
    <row r="83" spans="6:18">
      <c r="N83" s="1"/>
      <c r="O83" s="1"/>
      <c r="P83" s="1"/>
      <c r="Q83" s="1"/>
      <c r="R83" s="1"/>
    </row>
    <row r="84" spans="6:18">
      <c r="N84" s="1"/>
      <c r="O84" s="1"/>
      <c r="P84" s="1"/>
      <c r="Q84" s="1"/>
      <c r="R84" s="1"/>
    </row>
    <row r="85" spans="6:18">
      <c r="N85" s="1"/>
      <c r="O85" s="1"/>
      <c r="P85" s="1"/>
      <c r="Q85" s="1"/>
      <c r="R85" s="1"/>
    </row>
    <row r="86" spans="6:18">
      <c r="N86" s="1"/>
      <c r="O86" s="1"/>
      <c r="P86" s="1"/>
      <c r="Q86" s="1"/>
      <c r="R86" s="1"/>
    </row>
    <row r="87" spans="6:18">
      <c r="N87" s="1"/>
      <c r="O87" s="1"/>
      <c r="P87" s="1"/>
      <c r="Q87" s="1"/>
      <c r="R87" s="1"/>
    </row>
    <row r="88" spans="6:18">
      <c r="N88" s="1"/>
      <c r="O88" s="1"/>
      <c r="P88" s="1"/>
      <c r="Q88" s="1"/>
      <c r="R88" s="1"/>
    </row>
    <row r="89" spans="6:18">
      <c r="N89" s="1"/>
      <c r="O89" s="1"/>
      <c r="P89" s="1"/>
      <c r="Q89" s="1"/>
      <c r="R89" s="1"/>
    </row>
    <row r="90" spans="6:18">
      <c r="N90" s="1"/>
      <c r="O90" s="1"/>
      <c r="P90" s="1"/>
      <c r="Q90" s="1"/>
      <c r="R90" s="1"/>
    </row>
    <row r="91" spans="6:18">
      <c r="N91" s="1"/>
      <c r="O91" s="1"/>
      <c r="P91" s="1"/>
      <c r="Q91" s="1"/>
      <c r="R91" s="1"/>
    </row>
    <row r="92" spans="6:18">
      <c r="N92" s="1"/>
      <c r="O92" s="1"/>
      <c r="P92" s="1"/>
      <c r="Q92" s="1"/>
      <c r="R92" s="1"/>
    </row>
    <row r="93" spans="6:18">
      <c r="F93" s="3">
        <f>N42*1.01*12</f>
        <v>22119</v>
      </c>
      <c r="N93" s="1"/>
      <c r="O93" s="1"/>
      <c r="P93" s="1"/>
      <c r="Q93" s="1"/>
      <c r="R93" s="1"/>
    </row>
    <row r="94" spans="6:18">
      <c r="N94" s="1"/>
      <c r="O94" s="1"/>
      <c r="P94" s="1"/>
      <c r="Q94" s="1"/>
      <c r="R94" s="1"/>
    </row>
    <row r="95" spans="6:18">
      <c r="N95" s="1"/>
      <c r="O95" s="1"/>
      <c r="P95" s="1"/>
      <c r="Q95" s="1"/>
      <c r="R95" s="1"/>
    </row>
    <row r="96" spans="6:18">
      <c r="N96" s="1"/>
      <c r="O96" s="1"/>
      <c r="P96" s="1"/>
      <c r="Q96" s="1"/>
      <c r="R96" s="1"/>
    </row>
    <row r="97" spans="14:18">
      <c r="N97" s="1"/>
      <c r="O97" s="1"/>
      <c r="P97" s="1"/>
      <c r="Q97" s="1"/>
      <c r="R97" s="1"/>
    </row>
    <row r="98" spans="14:18">
      <c r="N98" s="1"/>
      <c r="O98" s="1"/>
      <c r="P98" s="1"/>
      <c r="Q98" s="1"/>
      <c r="R98" s="1"/>
    </row>
    <row r="99" spans="14:18">
      <c r="N99" s="1"/>
      <c r="O99" s="1"/>
      <c r="P99" s="1"/>
      <c r="Q99" s="1"/>
      <c r="R99" s="1"/>
    </row>
    <row r="100" spans="14:18">
      <c r="N100" s="1"/>
      <c r="O100" s="1"/>
      <c r="P100" s="1"/>
      <c r="Q100" s="1"/>
      <c r="R100" s="1"/>
    </row>
    <row r="101" spans="14:18">
      <c r="N101" s="1"/>
      <c r="O101" s="1"/>
      <c r="P101" s="1"/>
      <c r="Q101" s="1"/>
      <c r="R101" s="1"/>
    </row>
    <row r="102" spans="14:18">
      <c r="N102" s="1"/>
      <c r="O102" s="1"/>
      <c r="P102" s="1"/>
      <c r="Q102" s="1"/>
      <c r="R102" s="1"/>
    </row>
    <row r="103" spans="14:18">
      <c r="N103" s="1"/>
      <c r="O103" s="1"/>
      <c r="P103" s="1"/>
      <c r="Q103" s="1"/>
      <c r="R103" s="1"/>
    </row>
    <row r="104" spans="14:18">
      <c r="N104" s="1"/>
      <c r="O104" s="1"/>
      <c r="P104" s="1"/>
      <c r="Q104" s="1"/>
      <c r="R104" s="1"/>
    </row>
    <row r="105" spans="14:18">
      <c r="N105" s="1"/>
      <c r="O105" s="1"/>
      <c r="P105" s="1"/>
      <c r="Q105" s="1"/>
      <c r="R105" s="1"/>
    </row>
    <row r="106" spans="14:18">
      <c r="N106" s="1"/>
      <c r="O106" s="1"/>
      <c r="P106" s="1"/>
      <c r="Q106" s="1"/>
      <c r="R106" s="1"/>
    </row>
    <row r="107" spans="14:18">
      <c r="N107" s="1"/>
      <c r="O107" s="1"/>
      <c r="P107" s="1"/>
      <c r="Q107" s="1"/>
      <c r="R107" s="1"/>
    </row>
    <row r="108" spans="14:18">
      <c r="N108" s="1"/>
      <c r="O108" s="1"/>
      <c r="P108" s="1"/>
      <c r="Q108" s="1"/>
      <c r="R108" s="1"/>
    </row>
    <row r="109" spans="14:18">
      <c r="N109" s="1"/>
      <c r="O109" s="1"/>
      <c r="P109" s="1"/>
      <c r="Q109" s="1"/>
      <c r="R109" s="1"/>
    </row>
    <row r="110" spans="14:18">
      <c r="N110" s="1"/>
      <c r="O110" s="1"/>
      <c r="P110" s="1"/>
      <c r="Q110" s="1"/>
      <c r="R110" s="1"/>
    </row>
    <row r="111" spans="14:18">
      <c r="N111" s="1"/>
      <c r="O111" s="1"/>
      <c r="P111" s="1"/>
      <c r="Q111" s="1"/>
      <c r="R111" s="1"/>
    </row>
    <row r="112" spans="14:18">
      <c r="N112" s="1"/>
      <c r="O112" s="1"/>
      <c r="P112" s="1"/>
      <c r="Q112" s="1"/>
      <c r="R112" s="1"/>
    </row>
    <row r="113" spans="14:18">
      <c r="N113" s="1"/>
      <c r="O113" s="1"/>
      <c r="P113" s="1"/>
      <c r="Q113" s="1"/>
      <c r="R113" s="1"/>
    </row>
    <row r="114" spans="14:18">
      <c r="N114" s="1"/>
      <c r="O114" s="1"/>
      <c r="P114" s="1"/>
      <c r="Q114" s="1"/>
      <c r="R114" s="1"/>
    </row>
    <row r="115" spans="14:18">
      <c r="N115" s="1"/>
      <c r="O115" s="1"/>
      <c r="P115" s="1"/>
      <c r="Q115" s="1"/>
      <c r="R115" s="1"/>
    </row>
    <row r="116" spans="14:18">
      <c r="N116" s="1"/>
      <c r="O116" s="1"/>
      <c r="P116" s="1"/>
      <c r="Q116" s="1"/>
      <c r="R116" s="1"/>
    </row>
    <row r="117" spans="14:18">
      <c r="N117" s="1"/>
      <c r="O117" s="1"/>
      <c r="P117" s="1"/>
      <c r="Q117" s="1"/>
      <c r="R117" s="1"/>
    </row>
    <row r="118" spans="14:18">
      <c r="N118" s="1"/>
      <c r="O118" s="1"/>
      <c r="P118" s="1"/>
      <c r="Q118" s="1"/>
      <c r="R118" s="1"/>
    </row>
    <row r="119" spans="14:18">
      <c r="N119" s="1"/>
      <c r="O119" s="1"/>
      <c r="P119" s="1"/>
      <c r="Q119" s="1"/>
      <c r="R119" s="1"/>
    </row>
    <row r="120" spans="14:18">
      <c r="N120" s="1"/>
      <c r="O120" s="1"/>
      <c r="P120" s="1"/>
      <c r="Q120" s="1"/>
      <c r="R120" s="1"/>
    </row>
    <row r="121" spans="14:18">
      <c r="N121" s="1"/>
      <c r="O121" s="1"/>
      <c r="P121" s="1"/>
      <c r="Q121" s="1"/>
      <c r="R121" s="1"/>
    </row>
    <row r="122" spans="14:18">
      <c r="N122" s="1"/>
      <c r="O122" s="1"/>
      <c r="P122" s="1"/>
      <c r="Q122" s="1"/>
      <c r="R122" s="1"/>
    </row>
    <row r="123" spans="14:18">
      <c r="N123" s="1"/>
      <c r="O123" s="1"/>
      <c r="P123" s="1"/>
      <c r="Q123" s="1"/>
      <c r="R123" s="1"/>
    </row>
    <row r="124" spans="14:18">
      <c r="N124" s="1"/>
      <c r="O124" s="1"/>
      <c r="P124" s="1"/>
      <c r="Q124" s="1"/>
      <c r="R124" s="1"/>
    </row>
    <row r="125" spans="14:18">
      <c r="N125" s="1"/>
      <c r="O125" s="1"/>
      <c r="P125" s="1"/>
      <c r="Q125" s="1"/>
      <c r="R125" s="1"/>
    </row>
    <row r="126" spans="14:18">
      <c r="N126" s="1"/>
      <c r="O126" s="1"/>
      <c r="P126" s="1"/>
      <c r="Q126" s="1"/>
      <c r="R126" s="1"/>
    </row>
    <row r="127" spans="14:18">
      <c r="N127" s="1"/>
      <c r="O127" s="1"/>
      <c r="P127" s="1"/>
      <c r="Q127" s="1"/>
      <c r="R127" s="1"/>
    </row>
    <row r="128" spans="14:18">
      <c r="N128" s="1"/>
      <c r="O128" s="1"/>
      <c r="P128" s="1"/>
      <c r="Q128" s="1"/>
      <c r="R128" s="1"/>
    </row>
    <row r="129" spans="14:18">
      <c r="N129" s="1"/>
      <c r="O129" s="1"/>
      <c r="P129" s="1"/>
      <c r="Q129" s="1"/>
      <c r="R129" s="1"/>
    </row>
  </sheetData>
  <mergeCells count="14">
    <mergeCell ref="C16:F16"/>
    <mergeCell ref="C17:F17"/>
    <mergeCell ref="K60:M60"/>
    <mergeCell ref="K61:M61"/>
    <mergeCell ref="L16:N16"/>
    <mergeCell ref="L17:N17"/>
    <mergeCell ref="K76:M76"/>
    <mergeCell ref="K77:M77"/>
    <mergeCell ref="K64:M64"/>
    <mergeCell ref="K65:M65"/>
    <mergeCell ref="K68:M68"/>
    <mergeCell ref="K69:M69"/>
    <mergeCell ref="K72:M72"/>
    <mergeCell ref="K73:M73"/>
  </mergeCells>
  <phoneticPr fontId="0" type="noConversion"/>
  <pageMargins left="0.38" right="0.75" top="0.73" bottom="0.74" header="0.5" footer="0.5"/>
  <pageSetup scale="80" orientation="landscape"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sheetPr enableFormatConditionsCalculation="0">
    <tabColor indexed="48"/>
    <pageSetUpPr fitToPage="1"/>
  </sheetPr>
  <dimension ref="A1:N111"/>
  <sheetViews>
    <sheetView showGridLines="0" topLeftCell="A7" workbookViewId="0">
      <selection activeCell="D17" sqref="D17"/>
    </sheetView>
  </sheetViews>
  <sheetFormatPr defaultRowHeight="12.75"/>
  <cols>
    <col min="1" max="1" width="13.7109375" style="1" customWidth="1"/>
    <col min="2" max="9" width="13.7109375" style="3" customWidth="1"/>
    <col min="10" max="10" width="12.7109375" style="3" bestFit="1" customWidth="1"/>
    <col min="11" max="11" width="11.7109375" style="3" bestFit="1" customWidth="1"/>
    <col min="12" max="12" width="10.7109375" style="3" bestFit="1" customWidth="1"/>
    <col min="13" max="14" width="9.140625" style="3"/>
  </cols>
  <sheetData>
    <row r="1" spans="1:10" ht="50.25" customHeight="1">
      <c r="A1" s="296" t="s">
        <v>314</v>
      </c>
      <c r="B1" s="4" t="s">
        <v>1</v>
      </c>
      <c r="C1" s="5" t="s">
        <v>2</v>
      </c>
      <c r="D1" s="5" t="s">
        <v>55</v>
      </c>
      <c r="E1" s="5" t="s">
        <v>56</v>
      </c>
      <c r="F1" s="6" t="s">
        <v>243</v>
      </c>
      <c r="G1" s="6" t="s">
        <v>244</v>
      </c>
      <c r="H1" s="6" t="s">
        <v>245</v>
      </c>
      <c r="I1" s="3" t="s">
        <v>15</v>
      </c>
    </row>
    <row r="2" spans="1:10" ht="12.75" customHeight="1">
      <c r="A2" s="3"/>
      <c r="B2" s="4"/>
      <c r="C2" s="5"/>
      <c r="D2" s="5"/>
      <c r="E2" s="5"/>
      <c r="F2" s="6"/>
      <c r="G2" s="6"/>
      <c r="H2" s="6"/>
    </row>
    <row r="3" spans="1:10">
      <c r="A3" s="1">
        <v>1996</v>
      </c>
      <c r="B3" s="295">
        <v>9903</v>
      </c>
      <c r="C3" s="177">
        <f>1570-144-128</f>
        <v>1298</v>
      </c>
      <c r="D3" s="177">
        <v>144</v>
      </c>
      <c r="E3" s="177">
        <v>1.0000000000000001E-9</v>
      </c>
      <c r="F3" s="177">
        <v>3354</v>
      </c>
      <c r="G3" s="177">
        <v>288</v>
      </c>
      <c r="H3" s="177">
        <v>180</v>
      </c>
      <c r="I3" s="208">
        <f>SUM(B3:H3)</f>
        <v>15167.000000001</v>
      </c>
      <c r="J3" s="28"/>
    </row>
    <row r="4" spans="1:10">
      <c r="A4" s="1">
        <v>1997</v>
      </c>
      <c r="B4" s="295">
        <v>9990</v>
      </c>
      <c r="C4" s="177">
        <f>1439-128</f>
        <v>1311</v>
      </c>
      <c r="D4" s="177">
        <v>144</v>
      </c>
      <c r="E4" s="177">
        <v>1.0000000000000001E-9</v>
      </c>
      <c r="F4" s="177">
        <v>3354</v>
      </c>
      <c r="G4" s="177">
        <v>288</v>
      </c>
      <c r="H4" s="177">
        <v>180</v>
      </c>
      <c r="I4" s="208">
        <f>SUM(B4:H4)</f>
        <v>15267.000000001</v>
      </c>
      <c r="J4" s="28"/>
    </row>
    <row r="5" spans="1:10">
      <c r="A5" s="1">
        <v>1998</v>
      </c>
      <c r="B5" s="295">
        <v>10115</v>
      </c>
      <c r="C5" s="177">
        <f>1569-144-128</f>
        <v>1297</v>
      </c>
      <c r="D5" s="177">
        <v>144</v>
      </c>
      <c r="E5" s="177">
        <v>1.0000000000000001E-9</v>
      </c>
      <c r="F5" s="177">
        <v>3354</v>
      </c>
      <c r="G5" s="177">
        <v>288</v>
      </c>
      <c r="H5" s="177">
        <v>180</v>
      </c>
      <c r="I5" s="208">
        <f>SUM(B5:H5)</f>
        <v>15378.000000001</v>
      </c>
      <c r="J5" s="28"/>
    </row>
    <row r="6" spans="1:10">
      <c r="A6" s="1">
        <v>1999</v>
      </c>
      <c r="B6" s="295">
        <v>10255</v>
      </c>
      <c r="C6" s="177">
        <f>1477-180</f>
        <v>1297</v>
      </c>
      <c r="D6" s="177">
        <v>147</v>
      </c>
      <c r="E6" s="177">
        <v>1.0000000000000001E-9</v>
      </c>
      <c r="F6" s="177">
        <v>3354</v>
      </c>
      <c r="G6" s="177">
        <v>288</v>
      </c>
      <c r="H6" s="177">
        <v>180</v>
      </c>
      <c r="I6" s="208">
        <f>SUM(B6:H6)</f>
        <v>15521.000000001</v>
      </c>
      <c r="J6" s="28"/>
    </row>
    <row r="7" spans="1:10">
      <c r="A7" s="1">
        <v>2000</v>
      </c>
      <c r="B7" s="295">
        <v>10349</v>
      </c>
      <c r="C7" s="177">
        <f>1474-180</f>
        <v>1294</v>
      </c>
      <c r="D7" s="177">
        <v>148</v>
      </c>
      <c r="E7" s="177">
        <v>1.0000000000000001E-9</v>
      </c>
      <c r="F7" s="177">
        <v>3354</v>
      </c>
      <c r="G7" s="177">
        <v>288</v>
      </c>
      <c r="H7" s="295">
        <v>180</v>
      </c>
      <c r="I7" s="208">
        <f t="shared" ref="I7:I17" si="0">SUM(B7:H7)</f>
        <v>15613.000000001</v>
      </c>
      <c r="J7" s="28"/>
    </row>
    <row r="8" spans="1:10">
      <c r="A8" s="1">
        <v>2001</v>
      </c>
      <c r="B8" s="295">
        <v>10423</v>
      </c>
      <c r="C8" s="177">
        <v>1285</v>
      </c>
      <c r="D8" s="177">
        <v>149</v>
      </c>
      <c r="E8" s="177">
        <v>1.0000000000000001E-9</v>
      </c>
      <c r="F8" s="295">
        <v>3399</v>
      </c>
      <c r="G8" s="177">
        <v>288</v>
      </c>
      <c r="H8" s="295">
        <v>180</v>
      </c>
      <c r="I8" s="208">
        <f t="shared" si="0"/>
        <v>15724.000000001</v>
      </c>
      <c r="J8" s="28"/>
    </row>
    <row r="9" spans="1:10">
      <c r="A9" s="1">
        <v>2002</v>
      </c>
      <c r="B9" s="295">
        <v>10479</v>
      </c>
      <c r="C9" s="295">
        <v>1279</v>
      </c>
      <c r="D9" s="295">
        <v>149</v>
      </c>
      <c r="E9" s="295">
        <v>1.0000000000000001E-9</v>
      </c>
      <c r="F9" s="295">
        <v>3443</v>
      </c>
      <c r="G9" s="295">
        <v>288</v>
      </c>
      <c r="H9" s="295">
        <v>179</v>
      </c>
      <c r="I9" s="208">
        <f t="shared" si="0"/>
        <v>15817.000000001</v>
      </c>
    </row>
    <row r="10" spans="1:10">
      <c r="A10" s="1">
        <v>2003</v>
      </c>
      <c r="B10" s="295">
        <v>10595</v>
      </c>
      <c r="C10" s="295">
        <v>1278</v>
      </c>
      <c r="D10" s="295">
        <v>157</v>
      </c>
      <c r="E10" s="295">
        <v>1.0000000000000001E-9</v>
      </c>
      <c r="F10" s="295">
        <v>3460</v>
      </c>
      <c r="G10" s="295">
        <v>278</v>
      </c>
      <c r="H10" s="295">
        <v>187</v>
      </c>
      <c r="I10" s="208">
        <f t="shared" si="0"/>
        <v>15955.000000001</v>
      </c>
    </row>
    <row r="11" spans="1:10">
      <c r="A11" s="1">
        <v>2004</v>
      </c>
      <c r="B11" s="295">
        <v>10695</v>
      </c>
      <c r="C11" s="295">
        <v>1289</v>
      </c>
      <c r="D11" s="295">
        <v>159</v>
      </c>
      <c r="E11" s="295">
        <v>1.0000000000000001E-9</v>
      </c>
      <c r="F11" s="295">
        <v>3483</v>
      </c>
      <c r="G11" s="295">
        <v>273</v>
      </c>
      <c r="H11" s="295">
        <v>200</v>
      </c>
      <c r="I11" s="208">
        <f t="shared" si="0"/>
        <v>16099.000000001</v>
      </c>
    </row>
    <row r="12" spans="1:10">
      <c r="A12" s="1">
        <v>2005</v>
      </c>
      <c r="B12" s="295">
        <v>10786</v>
      </c>
      <c r="C12" s="295">
        <v>1315</v>
      </c>
      <c r="D12" s="295">
        <v>155</v>
      </c>
      <c r="E12" s="295">
        <v>1.0000000000000001E-9</v>
      </c>
      <c r="F12" s="295">
        <v>3490</v>
      </c>
      <c r="G12" s="295">
        <v>260</v>
      </c>
      <c r="H12" s="295">
        <v>206</v>
      </c>
      <c r="I12" s="208">
        <f t="shared" si="0"/>
        <v>16212.000000001</v>
      </c>
    </row>
    <row r="13" spans="1:10">
      <c r="A13" s="1">
        <v>2006</v>
      </c>
      <c r="B13" s="295">
        <v>10943</v>
      </c>
      <c r="C13" s="295">
        <v>1339</v>
      </c>
      <c r="D13" s="295">
        <v>158</v>
      </c>
      <c r="E13" s="295">
        <v>1.0000000000000001E-9</v>
      </c>
      <c r="F13" s="295">
        <v>3494</v>
      </c>
      <c r="G13" s="295">
        <v>244</v>
      </c>
      <c r="H13" s="295">
        <v>182</v>
      </c>
      <c r="I13" s="208">
        <f t="shared" si="0"/>
        <v>16360.000000001</v>
      </c>
    </row>
    <row r="14" spans="1:10">
      <c r="A14" s="1">
        <v>2007</v>
      </c>
      <c r="B14" s="295">
        <v>11061</v>
      </c>
      <c r="C14" s="295">
        <v>1344</v>
      </c>
      <c r="D14" s="295">
        <v>160</v>
      </c>
      <c r="E14" s="295">
        <v>1.0000000000000001E-9</v>
      </c>
      <c r="F14" s="295">
        <v>3512</v>
      </c>
      <c r="G14" s="295">
        <v>212</v>
      </c>
      <c r="H14" s="295">
        <v>156</v>
      </c>
      <c r="I14" s="208">
        <f t="shared" si="0"/>
        <v>16445.000000001</v>
      </c>
    </row>
    <row r="15" spans="1:10">
      <c r="A15" s="1">
        <v>2008</v>
      </c>
      <c r="B15" s="295">
        <v>11181</v>
      </c>
      <c r="C15" s="295">
        <v>1347</v>
      </c>
      <c r="D15" s="295">
        <v>155</v>
      </c>
      <c r="E15" s="295">
        <v>1.0000000000000001E-9</v>
      </c>
      <c r="F15" s="295">
        <v>3526</v>
      </c>
      <c r="G15" s="295">
        <v>206</v>
      </c>
      <c r="H15" s="295">
        <v>155</v>
      </c>
      <c r="I15" s="208">
        <f t="shared" si="0"/>
        <v>16570.000000001</v>
      </c>
    </row>
    <row r="16" spans="1:10">
      <c r="A16" s="209">
        <v>2009</v>
      </c>
      <c r="B16" s="216">
        <f>B15*B36</f>
        <v>11294.668005832547</v>
      </c>
      <c r="C16" s="216">
        <f t="shared" ref="C16:H16" si="1">C15*C36</f>
        <v>1351.165883773326</v>
      </c>
      <c r="D16" s="216">
        <f t="shared" si="1"/>
        <v>155.95374159375504</v>
      </c>
      <c r="E16" s="216">
        <f t="shared" si="1"/>
        <v>1.0000000000000001E-9</v>
      </c>
      <c r="F16" s="216">
        <f t="shared" si="1"/>
        <v>3540.7253915585902</v>
      </c>
      <c r="G16" s="216">
        <f t="shared" si="1"/>
        <v>200.32728942999913</v>
      </c>
      <c r="H16" s="216">
        <f t="shared" si="1"/>
        <v>153.08053249442582</v>
      </c>
      <c r="I16" s="216">
        <f t="shared" si="0"/>
        <v>16695.920844683646</v>
      </c>
    </row>
    <row r="17" spans="1:9">
      <c r="A17" s="209">
        <v>2010</v>
      </c>
      <c r="B17" s="216">
        <f>B16*B36</f>
        <v>11409.491580536389</v>
      </c>
      <c r="C17" s="216">
        <f t="shared" ref="C17:H17" si="2">C16*C36</f>
        <v>1355.3446514275822</v>
      </c>
      <c r="D17" s="216">
        <f t="shared" si="2"/>
        <v>156.91335172317238</v>
      </c>
      <c r="E17" s="216">
        <f t="shared" si="2"/>
        <v>1.0000000000000001E-9</v>
      </c>
      <c r="F17" s="216">
        <f t="shared" si="2"/>
        <v>3555.5122797582908</v>
      </c>
      <c r="G17" s="216">
        <f t="shared" si="2"/>
        <v>194.81079072995456</v>
      </c>
      <c r="H17" s="216">
        <f t="shared" si="2"/>
        <v>151.18483502436749</v>
      </c>
      <c r="I17" s="216">
        <f t="shared" si="0"/>
        <v>16823.257489200758</v>
      </c>
    </row>
    <row r="18" spans="1:9">
      <c r="A18" s="219"/>
    </row>
    <row r="19" spans="1:9">
      <c r="A19" s="215" t="s">
        <v>57</v>
      </c>
      <c r="B19" s="2"/>
      <c r="C19" s="2"/>
      <c r="D19" s="2"/>
      <c r="E19" s="2"/>
      <c r="F19" s="2"/>
      <c r="G19" s="2"/>
      <c r="H19" s="2"/>
    </row>
    <row r="20" spans="1:9">
      <c r="A20" s="1">
        <v>1996</v>
      </c>
      <c r="B20" s="2"/>
      <c r="C20" s="2"/>
      <c r="D20" s="2"/>
      <c r="E20" s="2"/>
      <c r="F20" s="2"/>
      <c r="G20" s="2"/>
      <c r="H20" s="2"/>
    </row>
    <row r="21" spans="1:9">
      <c r="A21" s="1">
        <v>1997</v>
      </c>
      <c r="B21" s="16">
        <f>B4/B3</f>
        <v>1.00878521660103</v>
      </c>
      <c r="C21" s="16">
        <f t="shared" ref="C21:H21" si="3">C4/C3</f>
        <v>1.0100154083204931</v>
      </c>
      <c r="D21" s="16">
        <f t="shared" si="3"/>
        <v>1</v>
      </c>
      <c r="E21" s="16">
        <f t="shared" si="3"/>
        <v>1</v>
      </c>
      <c r="F21" s="16">
        <f t="shared" si="3"/>
        <v>1</v>
      </c>
      <c r="G21" s="16">
        <f t="shared" si="3"/>
        <v>1</v>
      </c>
      <c r="H21" s="16">
        <f t="shared" si="3"/>
        <v>1</v>
      </c>
    </row>
    <row r="22" spans="1:9">
      <c r="A22" s="1">
        <v>1998</v>
      </c>
      <c r="B22" s="16">
        <f t="shared" ref="B22:H22" si="4">B5/B4</f>
        <v>1.0125125125125125</v>
      </c>
      <c r="C22" s="16">
        <f t="shared" si="4"/>
        <v>0.98932112890922963</v>
      </c>
      <c r="D22" s="16">
        <f t="shared" si="4"/>
        <v>1</v>
      </c>
      <c r="E22" s="16">
        <f t="shared" si="4"/>
        <v>1</v>
      </c>
      <c r="F22" s="16">
        <f t="shared" si="4"/>
        <v>1</v>
      </c>
      <c r="G22" s="16">
        <f t="shared" si="4"/>
        <v>1</v>
      </c>
      <c r="H22" s="16">
        <f t="shared" si="4"/>
        <v>1</v>
      </c>
    </row>
    <row r="23" spans="1:9">
      <c r="A23" s="1">
        <v>1999</v>
      </c>
      <c r="B23" s="16">
        <f t="shared" ref="B23:H23" si="5">B6/B5</f>
        <v>1.013840830449827</v>
      </c>
      <c r="C23" s="16">
        <f t="shared" si="5"/>
        <v>1</v>
      </c>
      <c r="D23" s="16">
        <f t="shared" si="5"/>
        <v>1.0208333333333333</v>
      </c>
      <c r="E23" s="16">
        <f t="shared" si="5"/>
        <v>1</v>
      </c>
      <c r="F23" s="16">
        <f t="shared" si="5"/>
        <v>1</v>
      </c>
      <c r="G23" s="16">
        <f t="shared" si="5"/>
        <v>1</v>
      </c>
      <c r="H23" s="16">
        <f t="shared" si="5"/>
        <v>1</v>
      </c>
    </row>
    <row r="24" spans="1:9">
      <c r="A24" s="1">
        <v>2000</v>
      </c>
      <c r="B24" s="16">
        <f>B7/B6</f>
        <v>1.0091662603607996</v>
      </c>
      <c r="C24" s="16">
        <f t="shared" ref="B24:H32" si="6">C7/C6</f>
        <v>0.99768696993060912</v>
      </c>
      <c r="D24" s="16">
        <f t="shared" si="6"/>
        <v>1.0068027210884354</v>
      </c>
      <c r="E24" s="16">
        <f t="shared" si="6"/>
        <v>1</v>
      </c>
      <c r="F24" s="16">
        <f t="shared" si="6"/>
        <v>1</v>
      </c>
      <c r="G24" s="16">
        <f t="shared" si="6"/>
        <v>1</v>
      </c>
      <c r="H24" s="16">
        <f t="shared" si="6"/>
        <v>1</v>
      </c>
    </row>
    <row r="25" spans="1:9">
      <c r="A25" s="1">
        <v>2001</v>
      </c>
      <c r="B25" s="16">
        <f t="shared" si="6"/>
        <v>1.0071504493187748</v>
      </c>
      <c r="C25" s="16">
        <f t="shared" si="6"/>
        <v>0.99304482225656876</v>
      </c>
      <c r="D25" s="16">
        <f t="shared" si="6"/>
        <v>1.0067567567567568</v>
      </c>
      <c r="E25" s="16">
        <f t="shared" ref="E25:E32" si="7">E8/E7</f>
        <v>1</v>
      </c>
      <c r="F25" s="16">
        <f t="shared" si="6"/>
        <v>1.0134168157423971</v>
      </c>
      <c r="G25" s="16">
        <f t="shared" si="6"/>
        <v>1</v>
      </c>
      <c r="H25" s="16">
        <f t="shared" si="6"/>
        <v>1</v>
      </c>
    </row>
    <row r="26" spans="1:9">
      <c r="A26" s="1">
        <v>2002</v>
      </c>
      <c r="B26" s="16">
        <f t="shared" si="6"/>
        <v>1.0053727333781062</v>
      </c>
      <c r="C26" s="16">
        <f t="shared" si="6"/>
        <v>0.99533073929961091</v>
      </c>
      <c r="D26" s="16">
        <f t="shared" si="6"/>
        <v>1</v>
      </c>
      <c r="E26" s="16">
        <f t="shared" si="7"/>
        <v>1</v>
      </c>
      <c r="F26" s="16">
        <f t="shared" si="6"/>
        <v>1.0129449838187703</v>
      </c>
      <c r="G26" s="16">
        <f t="shared" si="6"/>
        <v>1</v>
      </c>
      <c r="H26" s="16">
        <f t="shared" si="6"/>
        <v>0.99444444444444446</v>
      </c>
    </row>
    <row r="27" spans="1:9">
      <c r="A27" s="1">
        <v>2003</v>
      </c>
      <c r="B27" s="16">
        <f t="shared" si="6"/>
        <v>1.0110697585647486</v>
      </c>
      <c r="C27" s="16">
        <f t="shared" si="6"/>
        <v>0.99921813917122748</v>
      </c>
      <c r="D27" s="16">
        <f t="shared" si="6"/>
        <v>1.0536912751677852</v>
      </c>
      <c r="E27" s="16">
        <f t="shared" si="7"/>
        <v>1</v>
      </c>
      <c r="F27" s="16">
        <f t="shared" si="6"/>
        <v>1.0049375544583212</v>
      </c>
      <c r="G27" s="16">
        <f t="shared" si="6"/>
        <v>0.96527777777777779</v>
      </c>
      <c r="H27" s="16">
        <f t="shared" si="6"/>
        <v>1.0446927374301676</v>
      </c>
    </row>
    <row r="28" spans="1:9">
      <c r="A28" s="1">
        <v>2004</v>
      </c>
      <c r="B28" s="16">
        <f t="shared" si="6"/>
        <v>1.0094384143463897</v>
      </c>
      <c r="C28" s="16">
        <f t="shared" si="6"/>
        <v>1.0086071987480438</v>
      </c>
      <c r="D28" s="16">
        <f t="shared" si="6"/>
        <v>1.0127388535031847</v>
      </c>
      <c r="E28" s="16">
        <f t="shared" si="7"/>
        <v>1</v>
      </c>
      <c r="F28" s="16">
        <f t="shared" si="6"/>
        <v>1.0066473988439306</v>
      </c>
      <c r="G28" s="16">
        <f t="shared" si="6"/>
        <v>0.98201438848920863</v>
      </c>
      <c r="H28" s="16">
        <f t="shared" si="6"/>
        <v>1.0695187165775402</v>
      </c>
    </row>
    <row r="29" spans="1:9">
      <c r="A29" s="1">
        <v>2005</v>
      </c>
      <c r="B29" s="16">
        <f t="shared" si="6"/>
        <v>1.0085086489013557</v>
      </c>
      <c r="C29" s="16">
        <f t="shared" si="6"/>
        <v>1.0201706749418153</v>
      </c>
      <c r="D29" s="16">
        <f t="shared" si="6"/>
        <v>0.97484276729559749</v>
      </c>
      <c r="E29" s="16">
        <f t="shared" si="7"/>
        <v>1</v>
      </c>
      <c r="F29" s="16">
        <f t="shared" si="6"/>
        <v>1.0020097616996841</v>
      </c>
      <c r="G29" s="16">
        <f t="shared" si="6"/>
        <v>0.95238095238095233</v>
      </c>
      <c r="H29" s="16">
        <f t="shared" si="6"/>
        <v>1.03</v>
      </c>
    </row>
    <row r="30" spans="1:9">
      <c r="A30" s="1">
        <v>2006</v>
      </c>
      <c r="B30" s="16">
        <f t="shared" si="6"/>
        <v>1.0145559058038198</v>
      </c>
      <c r="C30" s="16">
        <f t="shared" si="6"/>
        <v>1.0182509505703421</v>
      </c>
      <c r="D30" s="16">
        <f t="shared" si="6"/>
        <v>1.0193548387096774</v>
      </c>
      <c r="E30" s="16">
        <f t="shared" si="7"/>
        <v>1</v>
      </c>
      <c r="F30" s="16">
        <f t="shared" si="6"/>
        <v>1.0011461318051575</v>
      </c>
      <c r="G30" s="16">
        <f t="shared" si="6"/>
        <v>0.93846153846153846</v>
      </c>
      <c r="H30" s="16">
        <f t="shared" si="6"/>
        <v>0.88349514563106801</v>
      </c>
    </row>
    <row r="31" spans="1:9">
      <c r="A31" s="1">
        <v>2007</v>
      </c>
      <c r="B31" s="16">
        <f>B14/B13</f>
        <v>1.0107831490450516</v>
      </c>
      <c r="C31" s="16">
        <f t="shared" si="6"/>
        <v>1.0037341299477223</v>
      </c>
      <c r="D31" s="16">
        <f t="shared" si="6"/>
        <v>1.0126582278481013</v>
      </c>
      <c r="E31" s="16">
        <f t="shared" si="7"/>
        <v>1</v>
      </c>
      <c r="F31" s="16">
        <f t="shared" si="6"/>
        <v>1.0051516886090441</v>
      </c>
      <c r="G31" s="16">
        <f t="shared" si="6"/>
        <v>0.86885245901639341</v>
      </c>
      <c r="H31" s="16">
        <f t="shared" si="6"/>
        <v>0.8571428571428571</v>
      </c>
    </row>
    <row r="32" spans="1:9">
      <c r="A32" s="1">
        <v>2008</v>
      </c>
      <c r="B32" s="16">
        <f>B15/B14</f>
        <v>1.010848928668294</v>
      </c>
      <c r="C32" s="16">
        <f t="shared" si="6"/>
        <v>1.0022321428571428</v>
      </c>
      <c r="D32" s="16">
        <f t="shared" si="6"/>
        <v>0.96875</v>
      </c>
      <c r="E32" s="16">
        <f t="shared" si="7"/>
        <v>1</v>
      </c>
      <c r="F32" s="16">
        <f t="shared" si="6"/>
        <v>1.0039863325740319</v>
      </c>
      <c r="G32" s="16">
        <f t="shared" si="6"/>
        <v>0.97169811320754718</v>
      </c>
      <c r="H32" s="16">
        <f t="shared" si="6"/>
        <v>0.99358974358974361</v>
      </c>
    </row>
    <row r="34" spans="1:9">
      <c r="A34" s="219" t="s">
        <v>18</v>
      </c>
      <c r="B34" s="223">
        <f t="shared" ref="B34:H34" si="8">GEOMEAN(B21:B32)</f>
        <v>1.0101661752824029</v>
      </c>
      <c r="C34" s="223">
        <f t="shared" si="8"/>
        <v>1.0030927125265969</v>
      </c>
      <c r="D34" s="223">
        <f t="shared" si="8"/>
        <v>1.0061531715726131</v>
      </c>
      <c r="E34" s="223">
        <f t="shared" si="8"/>
        <v>1</v>
      </c>
      <c r="F34" s="223">
        <f t="shared" si="8"/>
        <v>1.0041762312985225</v>
      </c>
      <c r="G34" s="223">
        <f t="shared" si="8"/>
        <v>0.97246257004853942</v>
      </c>
      <c r="H34" s="223">
        <f t="shared" si="8"/>
        <v>0.98761633867371501</v>
      </c>
    </row>
    <row r="36" spans="1:9">
      <c r="A36" s="209" t="s">
        <v>76</v>
      </c>
      <c r="B36" s="221">
        <f t="shared" ref="B36:H36" si="9">B34</f>
        <v>1.0101661752824029</v>
      </c>
      <c r="C36" s="221">
        <f t="shared" si="9"/>
        <v>1.0030927125265969</v>
      </c>
      <c r="D36" s="221">
        <f t="shared" si="9"/>
        <v>1.0061531715726131</v>
      </c>
      <c r="E36" s="221">
        <f t="shared" si="9"/>
        <v>1</v>
      </c>
      <c r="F36" s="221">
        <f t="shared" si="9"/>
        <v>1.0041762312985225</v>
      </c>
      <c r="G36" s="221">
        <f t="shared" si="9"/>
        <v>0.97246257004853942</v>
      </c>
      <c r="H36" s="221">
        <f t="shared" si="9"/>
        <v>0.98761633867371501</v>
      </c>
    </row>
    <row r="37" spans="1:9">
      <c r="B37" s="17"/>
      <c r="C37" s="17"/>
      <c r="D37" s="17"/>
      <c r="E37" s="17"/>
      <c r="F37" s="17"/>
      <c r="G37" s="17"/>
      <c r="H37" s="17"/>
    </row>
    <row r="38" spans="1:9">
      <c r="A38" s="300" t="s">
        <v>315</v>
      </c>
    </row>
    <row r="39" spans="1:9" ht="51">
      <c r="A39" s="297" t="s">
        <v>246</v>
      </c>
      <c r="B39" s="298" t="s">
        <v>1</v>
      </c>
      <c r="C39" s="297" t="s">
        <v>2</v>
      </c>
      <c r="D39" s="297" t="s">
        <v>55</v>
      </c>
      <c r="E39" s="297" t="s">
        <v>56</v>
      </c>
      <c r="F39" s="299" t="s">
        <v>243</v>
      </c>
      <c r="G39" s="299" t="s">
        <v>244</v>
      </c>
      <c r="H39" s="299" t="s">
        <v>245</v>
      </c>
      <c r="I39" s="19"/>
    </row>
    <row r="40" spans="1:9">
      <c r="A40" s="19"/>
      <c r="B40" s="298"/>
      <c r="C40" s="297"/>
      <c r="D40" s="297"/>
      <c r="E40" s="297"/>
      <c r="F40" s="299"/>
      <c r="G40" s="299"/>
      <c r="H40" s="299"/>
      <c r="I40" s="19"/>
    </row>
    <row r="41" spans="1:9">
      <c r="A41" s="15">
        <v>1996</v>
      </c>
      <c r="B41" s="177">
        <v>9963</v>
      </c>
      <c r="C41" s="177">
        <f>1570-144-128</f>
        <v>1298</v>
      </c>
      <c r="D41" s="177">
        <v>144</v>
      </c>
      <c r="E41" s="177">
        <v>1.0000000000000001E-9</v>
      </c>
      <c r="F41" s="177">
        <v>3354</v>
      </c>
      <c r="G41" s="177">
        <v>288</v>
      </c>
      <c r="H41" s="177">
        <v>180</v>
      </c>
      <c r="I41" s="193"/>
    </row>
    <row r="42" spans="1:9">
      <c r="A42" s="15">
        <v>1997</v>
      </c>
      <c r="B42" s="177">
        <v>10042</v>
      </c>
      <c r="C42" s="177">
        <f>1439-128</f>
        <v>1311</v>
      </c>
      <c r="D42" s="177">
        <v>144</v>
      </c>
      <c r="E42" s="177">
        <v>1.0000000000000001E-9</v>
      </c>
      <c r="F42" s="177">
        <v>3354</v>
      </c>
      <c r="G42" s="177">
        <v>288</v>
      </c>
      <c r="H42" s="177">
        <v>180</v>
      </c>
      <c r="I42" s="193"/>
    </row>
    <row r="43" spans="1:9">
      <c r="A43" s="15">
        <v>1998</v>
      </c>
      <c r="B43" s="177">
        <v>10206</v>
      </c>
      <c r="C43" s="177">
        <f>1569-144-128</f>
        <v>1297</v>
      </c>
      <c r="D43" s="177">
        <v>144</v>
      </c>
      <c r="E43" s="177">
        <v>1.0000000000000001E-9</v>
      </c>
      <c r="F43" s="177">
        <v>3354</v>
      </c>
      <c r="G43" s="177">
        <v>288</v>
      </c>
      <c r="H43" s="177">
        <v>180</v>
      </c>
      <c r="I43" s="193"/>
    </row>
    <row r="44" spans="1:9">
      <c r="A44" s="15">
        <v>1999</v>
      </c>
      <c r="B44" s="177">
        <v>10300</v>
      </c>
      <c r="C44" s="177">
        <f>1477-180</f>
        <v>1297</v>
      </c>
      <c r="D44" s="177">
        <v>147</v>
      </c>
      <c r="E44" s="177">
        <v>1.0000000000000001E-9</v>
      </c>
      <c r="F44" s="177">
        <v>3354</v>
      </c>
      <c r="G44" s="177">
        <v>288</v>
      </c>
      <c r="H44" s="177">
        <v>180</v>
      </c>
      <c r="I44" s="193"/>
    </row>
    <row r="45" spans="1:9">
      <c r="A45" s="15">
        <v>2000</v>
      </c>
      <c r="B45" s="177">
        <v>10390</v>
      </c>
      <c r="C45" s="177">
        <f>1474-180</f>
        <v>1294</v>
      </c>
      <c r="D45" s="177">
        <v>148</v>
      </c>
      <c r="E45" s="177">
        <v>1.0000000000000001E-9</v>
      </c>
      <c r="F45" s="177">
        <v>3354</v>
      </c>
      <c r="G45" s="177">
        <v>288</v>
      </c>
      <c r="H45" s="177">
        <v>180</v>
      </c>
      <c r="I45" s="193"/>
    </row>
    <row r="46" spans="1:9">
      <c r="A46" s="15">
        <v>2001</v>
      </c>
      <c r="B46" s="177">
        <v>10450</v>
      </c>
      <c r="C46" s="177">
        <v>1285</v>
      </c>
      <c r="D46" s="177">
        <v>149</v>
      </c>
      <c r="E46" s="177">
        <v>1.0000000000000001E-9</v>
      </c>
      <c r="F46" s="177">
        <v>3444</v>
      </c>
      <c r="G46" s="177">
        <v>288</v>
      </c>
      <c r="H46" s="177">
        <v>179</v>
      </c>
      <c r="I46" s="193"/>
    </row>
    <row r="47" spans="1:9">
      <c r="A47" s="15">
        <v>2002</v>
      </c>
      <c r="B47" s="177">
        <v>10538</v>
      </c>
      <c r="C47" s="177">
        <v>1279</v>
      </c>
      <c r="D47" s="177">
        <v>156</v>
      </c>
      <c r="E47" s="177">
        <v>1.0000000000000001E-9</v>
      </c>
      <c r="F47" s="177">
        <v>3459</v>
      </c>
      <c r="G47" s="177">
        <v>287</v>
      </c>
      <c r="H47" s="177">
        <v>179</v>
      </c>
      <c r="I47" s="193"/>
    </row>
    <row r="48" spans="1:9">
      <c r="A48" s="15">
        <v>2003</v>
      </c>
      <c r="B48" s="177">
        <v>10651</v>
      </c>
      <c r="C48" s="177">
        <v>1282</v>
      </c>
      <c r="D48" s="177">
        <v>159</v>
      </c>
      <c r="E48" s="177">
        <v>1.0000000000000001E-9</v>
      </c>
      <c r="F48" s="177">
        <v>3462</v>
      </c>
      <c r="G48" s="177">
        <v>274</v>
      </c>
      <c r="H48" s="177">
        <v>194</v>
      </c>
      <c r="I48" s="193"/>
    </row>
    <row r="49" spans="1:9">
      <c r="A49" s="15">
        <v>2004</v>
      </c>
      <c r="B49" s="177">
        <v>10743</v>
      </c>
      <c r="C49" s="177">
        <v>1302</v>
      </c>
      <c r="D49" s="177">
        <v>159</v>
      </c>
      <c r="E49" s="177">
        <v>1.0000000000000001E-9</v>
      </c>
      <c r="F49" s="177">
        <v>3487</v>
      </c>
      <c r="G49" s="177">
        <v>270</v>
      </c>
      <c r="H49" s="177">
        <v>205</v>
      </c>
      <c r="I49" s="193"/>
    </row>
    <row r="50" spans="1:9">
      <c r="A50" s="15">
        <v>2005</v>
      </c>
      <c r="B50" s="177">
        <v>10848</v>
      </c>
      <c r="C50" s="177">
        <v>1325</v>
      </c>
      <c r="D50" s="177">
        <v>157</v>
      </c>
      <c r="E50" s="177">
        <v>1.0000000000000001E-9</v>
      </c>
      <c r="F50" s="177">
        <v>3493</v>
      </c>
      <c r="G50" s="177">
        <v>248</v>
      </c>
      <c r="H50" s="177">
        <v>207</v>
      </c>
      <c r="I50" s="193"/>
    </row>
    <row r="51" spans="1:9">
      <c r="A51" s="15">
        <v>2006</v>
      </c>
      <c r="B51" s="177">
        <v>11005</v>
      </c>
      <c r="C51" s="177">
        <v>1344</v>
      </c>
      <c r="D51" s="177">
        <v>159</v>
      </c>
      <c r="E51" s="177">
        <v>1.0000000000000001E-9</v>
      </c>
      <c r="F51" s="177">
        <v>3494</v>
      </c>
      <c r="G51" s="177">
        <v>213</v>
      </c>
      <c r="H51" s="177">
        <v>156</v>
      </c>
      <c r="I51" s="193"/>
    </row>
    <row r="52" spans="1:9">
      <c r="A52" s="15">
        <v>2007</v>
      </c>
      <c r="B52" s="177">
        <v>11102</v>
      </c>
      <c r="C52" s="177">
        <v>1342</v>
      </c>
      <c r="D52" s="177">
        <v>162</v>
      </c>
      <c r="E52" s="177">
        <v>1.0000000000000001E-9</v>
      </c>
      <c r="F52" s="177">
        <v>3516</v>
      </c>
      <c r="G52" s="177">
        <v>210</v>
      </c>
      <c r="H52" s="177">
        <v>156</v>
      </c>
      <c r="I52" s="193"/>
    </row>
    <row r="53" spans="1:9">
      <c r="A53" s="15">
        <v>2008</v>
      </c>
      <c r="B53" s="177">
        <v>11261</v>
      </c>
      <c r="C53" s="177">
        <v>1349</v>
      </c>
      <c r="D53" s="177">
        <v>150</v>
      </c>
      <c r="E53" s="177">
        <v>1.0000000000000001E-9</v>
      </c>
      <c r="F53" s="177">
        <v>3531</v>
      </c>
      <c r="G53" s="177">
        <v>202</v>
      </c>
      <c r="H53" s="177">
        <v>154</v>
      </c>
      <c r="I53" s="193"/>
    </row>
    <row r="54" spans="1:9">
      <c r="B54" s="17"/>
      <c r="C54" s="17"/>
      <c r="D54" s="17"/>
      <c r="E54" s="17"/>
      <c r="F54" s="17"/>
      <c r="G54" s="17"/>
      <c r="H54" s="17"/>
    </row>
    <row r="55" spans="1:9">
      <c r="B55" s="17"/>
      <c r="C55" s="17"/>
      <c r="D55" s="17"/>
      <c r="E55" s="17"/>
      <c r="F55" s="17"/>
      <c r="G55" s="17"/>
      <c r="H55" s="17"/>
    </row>
    <row r="56" spans="1:9">
      <c r="B56" s="17"/>
      <c r="C56" s="17"/>
      <c r="D56" s="17"/>
      <c r="E56" s="17"/>
      <c r="F56" s="17"/>
      <c r="G56" s="17"/>
      <c r="H56" s="17"/>
    </row>
    <row r="57" spans="1:9">
      <c r="B57" s="17"/>
      <c r="C57" s="17"/>
      <c r="D57" s="17"/>
      <c r="E57" s="17"/>
      <c r="F57" s="17"/>
      <c r="G57" s="17"/>
      <c r="H57" s="17"/>
    </row>
    <row r="58" spans="1:9">
      <c r="B58" s="17"/>
      <c r="C58" s="17"/>
      <c r="D58" s="17"/>
      <c r="E58" s="17"/>
      <c r="F58" s="17"/>
      <c r="G58" s="17"/>
      <c r="H58" s="17"/>
    </row>
    <row r="59" spans="1:9">
      <c r="B59" s="17"/>
      <c r="C59" s="17"/>
      <c r="D59" s="17"/>
      <c r="E59" s="17"/>
      <c r="F59" s="17"/>
      <c r="G59" s="17"/>
      <c r="H59" s="17"/>
    </row>
    <row r="60" spans="1:9">
      <c r="B60" s="17"/>
      <c r="C60" s="17"/>
      <c r="D60" s="17"/>
      <c r="E60" s="17"/>
      <c r="F60" s="17"/>
      <c r="G60" s="17"/>
      <c r="H60" s="17"/>
    </row>
    <row r="61" spans="1:9">
      <c r="B61" s="17"/>
      <c r="C61" s="17"/>
      <c r="D61" s="17"/>
      <c r="E61" s="17"/>
      <c r="F61" s="17"/>
      <c r="G61" s="17"/>
      <c r="H61" s="17"/>
    </row>
    <row r="62" spans="1:9">
      <c r="B62" s="17"/>
      <c r="C62" s="17"/>
      <c r="D62" s="17"/>
      <c r="E62" s="17"/>
      <c r="F62" s="17"/>
      <c r="G62" s="17"/>
      <c r="H62" s="17"/>
    </row>
    <row r="63" spans="1:9">
      <c r="B63" s="17"/>
      <c r="C63" s="17"/>
      <c r="D63" s="17"/>
      <c r="E63" s="17"/>
      <c r="F63" s="17"/>
      <c r="G63" s="17"/>
      <c r="H63" s="17"/>
    </row>
    <row r="64" spans="1:9">
      <c r="B64" s="17"/>
      <c r="C64" s="17"/>
      <c r="D64" s="17"/>
      <c r="E64" s="17"/>
      <c r="F64" s="17"/>
      <c r="G64" s="17"/>
      <c r="H64" s="17"/>
    </row>
    <row r="65" spans="1:11">
      <c r="B65" s="17"/>
      <c r="C65" s="17"/>
      <c r="E65" s="17"/>
      <c r="F65" s="17"/>
      <c r="G65" s="17"/>
      <c r="H65" s="17"/>
    </row>
    <row r="66" spans="1:11">
      <c r="D66" s="3" t="e">
        <f>D15*Summary!#REF!</f>
        <v>#REF!</v>
      </c>
    </row>
    <row r="67" spans="1:11">
      <c r="A67" s="1">
        <v>2008</v>
      </c>
      <c r="B67" s="3" t="e">
        <f>B15*Summary!#REF!</f>
        <v>#REF!</v>
      </c>
      <c r="C67" s="3" t="e">
        <f>C15*Summary!#REF!</f>
        <v>#REF!</v>
      </c>
      <c r="D67" s="3" t="e">
        <f>D16*Summary!#REF!</f>
        <v>#REF!</v>
      </c>
      <c r="E67" s="3" t="e">
        <f>E15*Summary!#REF!</f>
        <v>#REF!</v>
      </c>
      <c r="F67" s="3" t="e">
        <f>F15*Summary!#REF!</f>
        <v>#REF!</v>
      </c>
      <c r="G67" s="3" t="e">
        <f>G15*Summary!#REF!</f>
        <v>#REF!</v>
      </c>
      <c r="H67" s="3" t="e">
        <f>H15*Summary!#REF!</f>
        <v>#REF!</v>
      </c>
      <c r="I67" s="3" t="e">
        <f>SUM(B67:H67)</f>
        <v>#REF!</v>
      </c>
      <c r="J67" s="3" t="e">
        <f>SUM('Rate Class Energy Model'!#REF!)</f>
        <v>#REF!</v>
      </c>
      <c r="K67" s="3" t="e">
        <f>J67-I67</f>
        <v>#REF!</v>
      </c>
    </row>
    <row r="68" spans="1:11">
      <c r="A68" s="1">
        <v>2009</v>
      </c>
      <c r="B68" s="3" t="e">
        <f>B16*Summary!#REF!</f>
        <v>#REF!</v>
      </c>
      <c r="C68" s="3" t="e">
        <f>C16*Summary!#REF!</f>
        <v>#REF!</v>
      </c>
      <c r="E68" s="3" t="e">
        <f>E16*Summary!#REF!</f>
        <v>#REF!</v>
      </c>
      <c r="F68" s="3" t="e">
        <f>F16*Summary!#REF!</f>
        <v>#REF!</v>
      </c>
      <c r="G68" s="3" t="e">
        <f>G16*Summary!#REF!</f>
        <v>#REF!</v>
      </c>
      <c r="H68" s="3" t="e">
        <f>H16*Summary!#REF!</f>
        <v>#REF!</v>
      </c>
      <c r="I68" s="3" t="e">
        <f>SUM(B68:H68)</f>
        <v>#REF!</v>
      </c>
      <c r="J68" s="3" t="e">
        <f>SUM('Rate Class Energy Model'!#REF!)</f>
        <v>#REF!</v>
      </c>
      <c r="K68" s="3" t="e">
        <f>J68-I68</f>
        <v>#REF!</v>
      </c>
    </row>
    <row r="70" spans="1:11">
      <c r="A70" s="1" t="s">
        <v>20</v>
      </c>
    </row>
    <row r="71" spans="1:11">
      <c r="D71" s="18">
        <v>0.65</v>
      </c>
    </row>
    <row r="72" spans="1:11">
      <c r="A72" s="1">
        <v>2008</v>
      </c>
      <c r="B72" s="18">
        <v>1</v>
      </c>
      <c r="C72" s="18">
        <v>1</v>
      </c>
      <c r="D72" s="18">
        <v>0.65</v>
      </c>
      <c r="E72" s="18">
        <v>0</v>
      </c>
      <c r="F72" s="18">
        <v>0</v>
      </c>
      <c r="G72" s="18">
        <v>0</v>
      </c>
      <c r="H72" s="18">
        <v>0</v>
      </c>
    </row>
    <row r="73" spans="1:11">
      <c r="A73" s="1">
        <v>2009</v>
      </c>
      <c r="B73" s="18">
        <v>1</v>
      </c>
      <c r="C73" s="18">
        <v>1</v>
      </c>
      <c r="E73" s="18">
        <v>0</v>
      </c>
      <c r="F73" s="18">
        <v>0</v>
      </c>
      <c r="G73" s="18">
        <v>0</v>
      </c>
      <c r="H73" s="18">
        <v>0</v>
      </c>
    </row>
    <row r="75" spans="1:11">
      <c r="A75" s="1" t="s">
        <v>21</v>
      </c>
    </row>
    <row r="76" spans="1:11">
      <c r="D76" s="3" t="e">
        <f t="shared" ref="C76:H77" si="10">D66*D71</f>
        <v>#REF!</v>
      </c>
    </row>
    <row r="77" spans="1:11">
      <c r="A77" s="1">
        <v>2008</v>
      </c>
      <c r="B77" s="3" t="e">
        <f>B67*B72</f>
        <v>#REF!</v>
      </c>
      <c r="C77" s="3" t="e">
        <f t="shared" si="10"/>
        <v>#REF!</v>
      </c>
      <c r="D77" s="3" t="e">
        <f t="shared" ref="C77:H78" si="11">D67*D72</f>
        <v>#REF!</v>
      </c>
      <c r="E77" s="3" t="e">
        <f t="shared" si="10"/>
        <v>#REF!</v>
      </c>
      <c r="F77" s="3" t="e">
        <f t="shared" si="10"/>
        <v>#REF!</v>
      </c>
      <c r="G77" s="3" t="e">
        <f t="shared" si="10"/>
        <v>#REF!</v>
      </c>
      <c r="H77" s="3" t="e">
        <f t="shared" si="10"/>
        <v>#REF!</v>
      </c>
      <c r="I77" s="3" t="e">
        <f>SUM(B77:H77)</f>
        <v>#REF!</v>
      </c>
    </row>
    <row r="78" spans="1:11">
      <c r="A78" s="1">
        <v>2009</v>
      </c>
      <c r="B78" s="3" t="e">
        <f>B68*B73</f>
        <v>#REF!</v>
      </c>
      <c r="C78" s="3" t="e">
        <f t="shared" si="11"/>
        <v>#REF!</v>
      </c>
      <c r="E78" s="3" t="e">
        <f t="shared" si="11"/>
        <v>#REF!</v>
      </c>
      <c r="F78" s="3" t="e">
        <f t="shared" si="11"/>
        <v>#REF!</v>
      </c>
      <c r="G78" s="3" t="e">
        <f t="shared" si="11"/>
        <v>#REF!</v>
      </c>
      <c r="H78" s="3" t="e">
        <f t="shared" si="11"/>
        <v>#REF!</v>
      </c>
      <c r="I78" s="3" t="e">
        <f>SUM(B78:H78)</f>
        <v>#REF!</v>
      </c>
    </row>
    <row r="80" spans="1:11">
      <c r="A80" s="1" t="s">
        <v>22</v>
      </c>
    </row>
    <row r="81" spans="1:10">
      <c r="D81" s="3" t="e">
        <f>D76/$I$77*$K$67</f>
        <v>#REF!</v>
      </c>
    </row>
    <row r="82" spans="1:10">
      <c r="A82" s="1">
        <v>2008</v>
      </c>
      <c r="B82" s="3" t="e">
        <f>B77/$I$77*$K$67</f>
        <v>#REF!</v>
      </c>
      <c r="C82" s="3" t="e">
        <f>C77/$I$77*$K$67</f>
        <v>#REF!</v>
      </c>
      <c r="D82" s="3" t="e">
        <f>D77/$I$78*$K$68</f>
        <v>#REF!</v>
      </c>
      <c r="E82" s="3" t="e">
        <f>E77/$I$77*$K$67</f>
        <v>#REF!</v>
      </c>
      <c r="F82" s="3" t="e">
        <f>F77/$I$77*$K$67</f>
        <v>#REF!</v>
      </c>
      <c r="G82" s="3" t="e">
        <f>G77/$I$77*$K$67</f>
        <v>#REF!</v>
      </c>
      <c r="H82" s="3" t="e">
        <f>H77/$I$77*$K$67</f>
        <v>#REF!</v>
      </c>
    </row>
    <row r="83" spans="1:10">
      <c r="A83" s="1">
        <v>2009</v>
      </c>
      <c r="B83" s="3" t="e">
        <f>B78/$I$78*$K$68</f>
        <v>#REF!</v>
      </c>
      <c r="C83" s="3" t="e">
        <f>C78/$I$78*$K$68</f>
        <v>#REF!</v>
      </c>
      <c r="E83" s="3" t="e">
        <f>E78/$I$78*$K$68</f>
        <v>#REF!</v>
      </c>
      <c r="F83" s="3" t="e">
        <f>F78/$I$78*$K$68</f>
        <v>#REF!</v>
      </c>
      <c r="G83" s="3" t="e">
        <f>G78/$I$78*$K$68</f>
        <v>#REF!</v>
      </c>
      <c r="H83" s="3" t="e">
        <f>H78/$I$78*$K$68</f>
        <v>#REF!</v>
      </c>
    </row>
    <row r="85" spans="1:10">
      <c r="A85" s="1" t="s">
        <v>23</v>
      </c>
    </row>
    <row r="86" spans="1:10">
      <c r="D86" s="3" t="e">
        <f t="shared" ref="C86:H87" si="12">D66+D81</f>
        <v>#REF!</v>
      </c>
      <c r="J86" s="3" t="s">
        <v>24</v>
      </c>
    </row>
    <row r="87" spans="1:10">
      <c r="A87" s="1">
        <v>2008</v>
      </c>
      <c r="B87" s="3" t="e">
        <f>B67+B82</f>
        <v>#REF!</v>
      </c>
      <c r="C87" s="3" t="e">
        <f t="shared" si="12"/>
        <v>#REF!</v>
      </c>
      <c r="D87" s="3" t="e">
        <f t="shared" ref="C87:H88" si="13">D67+D82</f>
        <v>#REF!</v>
      </c>
      <c r="E87" s="3" t="e">
        <f t="shared" si="12"/>
        <v>#REF!</v>
      </c>
      <c r="F87" s="3" t="e">
        <f t="shared" si="12"/>
        <v>#REF!</v>
      </c>
      <c r="G87" s="3" t="e">
        <f t="shared" si="12"/>
        <v>#REF!</v>
      </c>
      <c r="H87" s="3" t="e">
        <f t="shared" si="12"/>
        <v>#REF!</v>
      </c>
      <c r="I87" s="3" t="e">
        <f>SUM(B87:H87)</f>
        <v>#REF!</v>
      </c>
      <c r="J87" s="3" t="e">
        <f>I87-J67</f>
        <v>#REF!</v>
      </c>
    </row>
    <row r="88" spans="1:10">
      <c r="A88" s="1">
        <v>2009</v>
      </c>
      <c r="B88" s="3" t="e">
        <f>B68+B83</f>
        <v>#REF!</v>
      </c>
      <c r="C88" s="3" t="e">
        <f t="shared" si="13"/>
        <v>#REF!</v>
      </c>
      <c r="E88" s="3" t="e">
        <f t="shared" si="13"/>
        <v>#REF!</v>
      </c>
      <c r="F88" s="3" t="e">
        <f t="shared" si="13"/>
        <v>#REF!</v>
      </c>
      <c r="G88" s="3" t="e">
        <f t="shared" si="13"/>
        <v>#REF!</v>
      </c>
      <c r="H88" s="3" t="e">
        <f t="shared" si="13"/>
        <v>#REF!</v>
      </c>
      <c r="I88" s="3" t="e">
        <f>SUM(B88:H88)</f>
        <v>#REF!</v>
      </c>
      <c r="J88" s="3" t="e">
        <f>I88-J68</f>
        <v>#REF!</v>
      </c>
    </row>
    <row r="90" spans="1:10">
      <c r="A90" s="1" t="s">
        <v>25</v>
      </c>
    </row>
    <row r="91" spans="1:10">
      <c r="D91" s="13" t="e">
        <f t="shared" ref="C91:H92" si="14">(D66-D86)/D66</f>
        <v>#REF!</v>
      </c>
    </row>
    <row r="92" spans="1:10">
      <c r="A92" s="1">
        <v>2008</v>
      </c>
      <c r="B92" s="13" t="e">
        <f>(B67-B87)/B67</f>
        <v>#REF!</v>
      </c>
      <c r="C92" s="13" t="e">
        <f t="shared" si="14"/>
        <v>#REF!</v>
      </c>
      <c r="D92" s="13" t="e">
        <f t="shared" ref="C92:H93" si="15">(D67-D87)/D67</f>
        <v>#REF!</v>
      </c>
      <c r="E92" s="13" t="e">
        <f t="shared" si="14"/>
        <v>#REF!</v>
      </c>
      <c r="F92" s="13" t="e">
        <f t="shared" si="14"/>
        <v>#REF!</v>
      </c>
      <c r="G92" s="13" t="e">
        <f t="shared" si="14"/>
        <v>#REF!</v>
      </c>
      <c r="H92" s="13" t="e">
        <f t="shared" si="14"/>
        <v>#REF!</v>
      </c>
    </row>
    <row r="93" spans="1:10">
      <c r="A93" s="1">
        <v>2009</v>
      </c>
      <c r="B93" s="13" t="e">
        <f>(B68-B88)/B68</f>
        <v>#REF!</v>
      </c>
      <c r="C93" s="13" t="e">
        <f t="shared" si="15"/>
        <v>#REF!</v>
      </c>
      <c r="E93" s="13" t="e">
        <f t="shared" si="15"/>
        <v>#REF!</v>
      </c>
      <c r="F93" s="13" t="e">
        <f t="shared" si="15"/>
        <v>#REF!</v>
      </c>
      <c r="G93" s="13" t="e">
        <f t="shared" si="15"/>
        <v>#REF!</v>
      </c>
      <c r="H93" s="13" t="e">
        <f t="shared" si="15"/>
        <v>#REF!</v>
      </c>
    </row>
    <row r="97" spans="1:9" ht="51">
      <c r="A97" s="297" t="s">
        <v>246</v>
      </c>
      <c r="B97" s="298" t="s">
        <v>1</v>
      </c>
      <c r="C97" s="297" t="s">
        <v>2</v>
      </c>
      <c r="D97" s="297" t="s">
        <v>55</v>
      </c>
      <c r="E97" s="297" t="s">
        <v>56</v>
      </c>
      <c r="F97" s="299" t="s">
        <v>243</v>
      </c>
      <c r="G97" s="299" t="s">
        <v>244</v>
      </c>
      <c r="H97" s="299" t="s">
        <v>245</v>
      </c>
      <c r="I97" s="19" t="s">
        <v>15</v>
      </c>
    </row>
    <row r="98" spans="1:9">
      <c r="A98" s="19"/>
      <c r="B98" s="298"/>
      <c r="C98" s="297"/>
      <c r="D98" s="297"/>
      <c r="E98" s="297"/>
      <c r="F98" s="299"/>
      <c r="G98" s="299"/>
      <c r="H98" s="299"/>
      <c r="I98" s="19"/>
    </row>
    <row r="99" spans="1:9">
      <c r="A99" s="15">
        <v>1996</v>
      </c>
      <c r="B99" s="177">
        <v>9963</v>
      </c>
      <c r="C99" s="177">
        <f>1570-144-128</f>
        <v>1298</v>
      </c>
      <c r="D99" s="177">
        <v>144</v>
      </c>
      <c r="E99" s="177">
        <v>1.0000000000000001E-9</v>
      </c>
      <c r="F99" s="177">
        <v>3354</v>
      </c>
      <c r="G99" s="177">
        <v>288</v>
      </c>
      <c r="H99" s="177">
        <v>180</v>
      </c>
      <c r="I99" s="193">
        <f>SUM(B99:H99)</f>
        <v>15227.000000001</v>
      </c>
    </row>
    <row r="100" spans="1:9">
      <c r="A100" s="15">
        <v>1997</v>
      </c>
      <c r="B100" s="177">
        <v>10042</v>
      </c>
      <c r="C100" s="177">
        <f>1439-128</f>
        <v>1311</v>
      </c>
      <c r="D100" s="177">
        <v>144</v>
      </c>
      <c r="E100" s="177">
        <v>1.0000000000000001E-9</v>
      </c>
      <c r="F100" s="177">
        <v>3354</v>
      </c>
      <c r="G100" s="177">
        <v>288</v>
      </c>
      <c r="H100" s="177">
        <v>180</v>
      </c>
      <c r="I100" s="193">
        <f>SUM(B100:H100)</f>
        <v>15319.000000001</v>
      </c>
    </row>
    <row r="101" spans="1:9">
      <c r="A101" s="15">
        <v>1998</v>
      </c>
      <c r="B101" s="177">
        <v>10206</v>
      </c>
      <c r="C101" s="177">
        <f>1569-144-128</f>
        <v>1297</v>
      </c>
      <c r="D101" s="177">
        <v>144</v>
      </c>
      <c r="E101" s="177">
        <v>1.0000000000000001E-9</v>
      </c>
      <c r="F101" s="177">
        <v>3354</v>
      </c>
      <c r="G101" s="177">
        <v>288</v>
      </c>
      <c r="H101" s="177">
        <v>180</v>
      </c>
      <c r="I101" s="193">
        <f>SUM(B101:H101)</f>
        <v>15469.000000001</v>
      </c>
    </row>
    <row r="102" spans="1:9">
      <c r="A102" s="15">
        <v>1999</v>
      </c>
      <c r="B102" s="177">
        <v>10300</v>
      </c>
      <c r="C102" s="177">
        <f>1477-180</f>
        <v>1297</v>
      </c>
      <c r="D102" s="177">
        <v>147</v>
      </c>
      <c r="E102" s="177">
        <v>1.0000000000000001E-9</v>
      </c>
      <c r="F102" s="177">
        <v>3354</v>
      </c>
      <c r="G102" s="177">
        <v>288</v>
      </c>
      <c r="H102" s="177">
        <v>180</v>
      </c>
      <c r="I102" s="193">
        <f>SUM(B102:H102)</f>
        <v>15566.000000001</v>
      </c>
    </row>
    <row r="103" spans="1:9">
      <c r="A103" s="15">
        <v>2000</v>
      </c>
      <c r="B103" s="177">
        <v>10390</v>
      </c>
      <c r="C103" s="177">
        <f>1474-180</f>
        <v>1294</v>
      </c>
      <c r="D103" s="177">
        <v>148</v>
      </c>
      <c r="E103" s="177">
        <v>1.0000000000000001E-9</v>
      </c>
      <c r="F103" s="177">
        <v>3354</v>
      </c>
      <c r="G103" s="177">
        <v>288</v>
      </c>
      <c r="H103" s="177">
        <v>180</v>
      </c>
      <c r="I103" s="193">
        <f t="shared" ref="I103:I111" si="16">SUM(B103:H103)</f>
        <v>15654.000000001</v>
      </c>
    </row>
    <row r="104" spans="1:9">
      <c r="A104" s="15">
        <v>2001</v>
      </c>
      <c r="B104" s="177">
        <v>10450</v>
      </c>
      <c r="C104" s="177">
        <v>1285</v>
      </c>
      <c r="D104" s="177">
        <v>149</v>
      </c>
      <c r="E104" s="177">
        <v>1.0000000000000001E-9</v>
      </c>
      <c r="F104" s="177">
        <v>3444</v>
      </c>
      <c r="G104" s="177">
        <v>288</v>
      </c>
      <c r="H104" s="177">
        <v>179</v>
      </c>
      <c r="I104" s="193">
        <f t="shared" si="16"/>
        <v>15795.000000001</v>
      </c>
    </row>
    <row r="105" spans="1:9">
      <c r="A105" s="15">
        <v>2002</v>
      </c>
      <c r="B105" s="177">
        <v>10538</v>
      </c>
      <c r="C105" s="177">
        <v>1279</v>
      </c>
      <c r="D105" s="177">
        <v>156</v>
      </c>
      <c r="E105" s="177">
        <v>1.0000000000000001E-9</v>
      </c>
      <c r="F105" s="177">
        <v>3459</v>
      </c>
      <c r="G105" s="177">
        <v>287</v>
      </c>
      <c r="H105" s="177">
        <v>179</v>
      </c>
      <c r="I105" s="193">
        <f t="shared" si="16"/>
        <v>15898.000000001</v>
      </c>
    </row>
    <row r="106" spans="1:9">
      <c r="A106" s="15">
        <v>2003</v>
      </c>
      <c r="B106" s="177">
        <v>10651</v>
      </c>
      <c r="C106" s="177">
        <v>1282</v>
      </c>
      <c r="D106" s="177">
        <v>159</v>
      </c>
      <c r="E106" s="177">
        <v>1.0000000000000001E-9</v>
      </c>
      <c r="F106" s="177">
        <v>3462</v>
      </c>
      <c r="G106" s="177">
        <v>274</v>
      </c>
      <c r="H106" s="177">
        <v>194</v>
      </c>
      <c r="I106" s="193">
        <f t="shared" si="16"/>
        <v>16022.000000001</v>
      </c>
    </row>
    <row r="107" spans="1:9">
      <c r="A107" s="15">
        <v>2004</v>
      </c>
      <c r="B107" s="177">
        <v>10743</v>
      </c>
      <c r="C107" s="177">
        <v>1302</v>
      </c>
      <c r="D107" s="177">
        <v>159</v>
      </c>
      <c r="E107" s="177">
        <v>1.0000000000000001E-9</v>
      </c>
      <c r="F107" s="177">
        <v>3487</v>
      </c>
      <c r="G107" s="177">
        <v>270</v>
      </c>
      <c r="H107" s="177">
        <v>205</v>
      </c>
      <c r="I107" s="193">
        <f t="shared" si="16"/>
        <v>16166.000000001</v>
      </c>
    </row>
    <row r="108" spans="1:9">
      <c r="A108" s="15">
        <v>2005</v>
      </c>
      <c r="B108" s="177">
        <v>10848</v>
      </c>
      <c r="C108" s="177">
        <v>1325</v>
      </c>
      <c r="D108" s="177">
        <v>157</v>
      </c>
      <c r="E108" s="177">
        <v>1.0000000000000001E-9</v>
      </c>
      <c r="F108" s="177">
        <v>3493</v>
      </c>
      <c r="G108" s="177">
        <v>248</v>
      </c>
      <c r="H108" s="177">
        <v>207</v>
      </c>
      <c r="I108" s="193">
        <f t="shared" si="16"/>
        <v>16278.000000001</v>
      </c>
    </row>
    <row r="109" spans="1:9">
      <c r="A109" s="15">
        <v>2006</v>
      </c>
      <c r="B109" s="177">
        <v>11005</v>
      </c>
      <c r="C109" s="177">
        <v>1344</v>
      </c>
      <c r="D109" s="177">
        <v>159</v>
      </c>
      <c r="E109" s="177">
        <v>1.0000000000000001E-9</v>
      </c>
      <c r="F109" s="177">
        <v>3494</v>
      </c>
      <c r="G109" s="177">
        <v>213</v>
      </c>
      <c r="H109" s="177">
        <v>156</v>
      </c>
      <c r="I109" s="193">
        <f t="shared" si="16"/>
        <v>16371.000000001</v>
      </c>
    </row>
    <row r="110" spans="1:9">
      <c r="A110" s="15">
        <v>2007</v>
      </c>
      <c r="B110" s="177">
        <v>11102</v>
      </c>
      <c r="C110" s="177">
        <v>1342</v>
      </c>
      <c r="D110" s="177">
        <v>162</v>
      </c>
      <c r="E110" s="177">
        <v>1.0000000000000001E-9</v>
      </c>
      <c r="F110" s="177">
        <v>3516</v>
      </c>
      <c r="G110" s="177">
        <v>210</v>
      </c>
      <c r="H110" s="177">
        <v>156</v>
      </c>
      <c r="I110" s="193">
        <f t="shared" si="16"/>
        <v>16488.000000001</v>
      </c>
    </row>
    <row r="111" spans="1:9">
      <c r="A111" s="15">
        <v>2008</v>
      </c>
      <c r="B111" s="177">
        <v>11261</v>
      </c>
      <c r="C111" s="177">
        <v>1349</v>
      </c>
      <c r="D111" s="177">
        <v>150</v>
      </c>
      <c r="E111" s="177">
        <v>1.0000000000000001E-9</v>
      </c>
      <c r="F111" s="177">
        <v>3531</v>
      </c>
      <c r="G111" s="177">
        <v>202</v>
      </c>
      <c r="H111" s="177">
        <v>154</v>
      </c>
      <c r="I111" s="193">
        <f t="shared" si="16"/>
        <v>16647.000000001</v>
      </c>
    </row>
  </sheetData>
  <phoneticPr fontId="0" type="noConversion"/>
  <pageMargins left="0.38" right="0.75" top="0.73" bottom="0.74" header="0.5" footer="0.5"/>
  <pageSetup scale="46" orientation="portrait"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sheetPr enableFormatConditionsCalculation="0">
    <tabColor indexed="48"/>
    <pageSetUpPr fitToPage="1"/>
  </sheetPr>
  <dimension ref="A1:K62"/>
  <sheetViews>
    <sheetView showGridLines="0" workbookViewId="0"/>
  </sheetViews>
  <sheetFormatPr defaultRowHeight="12.75"/>
  <cols>
    <col min="1" max="1" width="13.7109375" style="1" customWidth="1"/>
    <col min="2" max="6" width="13.7109375" style="3" customWidth="1"/>
    <col min="7" max="7" width="12.7109375" style="3" bestFit="1" customWidth="1"/>
    <col min="8" max="8" width="11.7109375" style="3" bestFit="1" customWidth="1"/>
    <col min="9" max="9" width="10.7109375" style="3" bestFit="1" customWidth="1"/>
    <col min="10" max="11" width="9.140625" style="3"/>
  </cols>
  <sheetData>
    <row r="1" spans="1:6" ht="42" customHeight="1">
      <c r="B1" s="5" t="s">
        <v>55</v>
      </c>
      <c r="C1" s="5" t="s">
        <v>56</v>
      </c>
      <c r="D1" s="6" t="s">
        <v>5</v>
      </c>
      <c r="E1" s="6" t="str">
        <f>'Rate Class Customer Model'!G1</f>
        <v>Sentinel Lights Connections</v>
      </c>
      <c r="F1" s="3" t="s">
        <v>15</v>
      </c>
    </row>
    <row r="2" spans="1:6" ht="12.75" customHeight="1">
      <c r="B2" s="5"/>
      <c r="C2" s="5"/>
      <c r="D2" s="6"/>
      <c r="E2" s="6"/>
    </row>
    <row r="3" spans="1:6">
      <c r="A3" s="233">
        <v>1996</v>
      </c>
      <c r="B3" s="232">
        <v>380570</v>
      </c>
      <c r="C3" s="232">
        <v>0</v>
      </c>
      <c r="D3" s="232">
        <v>6750</v>
      </c>
      <c r="E3" s="232">
        <v>1582</v>
      </c>
      <c r="F3" s="236">
        <f t="shared" ref="F3:F14" si="0">SUM(B3:E3)</f>
        <v>388902</v>
      </c>
    </row>
    <row r="4" spans="1:6">
      <c r="A4" s="233">
        <v>1997</v>
      </c>
      <c r="B4" s="232">
        <v>376940</v>
      </c>
      <c r="C4" s="232">
        <v>0</v>
      </c>
      <c r="D4" s="232">
        <v>6781</v>
      </c>
      <c r="E4" s="232">
        <v>1566</v>
      </c>
      <c r="F4" s="236">
        <f t="shared" si="0"/>
        <v>385287</v>
      </c>
    </row>
    <row r="5" spans="1:6">
      <c r="A5" s="233">
        <v>1998</v>
      </c>
      <c r="B5" s="232">
        <v>384000</v>
      </c>
      <c r="C5" s="232">
        <v>0</v>
      </c>
      <c r="D5" s="232">
        <v>6792</v>
      </c>
      <c r="E5" s="232">
        <v>1554</v>
      </c>
      <c r="F5" s="236">
        <f t="shared" si="0"/>
        <v>392346</v>
      </c>
    </row>
    <row r="6" spans="1:6">
      <c r="A6" s="233">
        <v>1999</v>
      </c>
      <c r="B6" s="232">
        <f>248644+141053</f>
        <v>389697</v>
      </c>
      <c r="C6" s="232">
        <v>0</v>
      </c>
      <c r="D6" s="232">
        <v>6783</v>
      </c>
      <c r="E6" s="232">
        <v>1495</v>
      </c>
      <c r="F6" s="236">
        <f t="shared" si="0"/>
        <v>397975</v>
      </c>
    </row>
    <row r="7" spans="1:6">
      <c r="A7" s="233">
        <v>2000</v>
      </c>
      <c r="B7" s="232">
        <f>256262+141627</f>
        <v>397889</v>
      </c>
      <c r="C7" s="232">
        <v>0</v>
      </c>
      <c r="D7" s="232">
        <v>6846</v>
      </c>
      <c r="E7" s="232">
        <v>1517</v>
      </c>
      <c r="F7" s="236">
        <f>SUM(B7:E7)</f>
        <v>406252</v>
      </c>
    </row>
    <row r="8" spans="1:6">
      <c r="A8" s="233">
        <v>2001</v>
      </c>
      <c r="B8" s="232">
        <f>255977+154413</f>
        <v>410390</v>
      </c>
      <c r="C8" s="232">
        <v>0</v>
      </c>
      <c r="D8" s="232">
        <v>6897</v>
      </c>
      <c r="E8" s="232">
        <v>1506</v>
      </c>
      <c r="F8" s="236">
        <f t="shared" si="0"/>
        <v>418793</v>
      </c>
    </row>
    <row r="9" spans="1:6">
      <c r="A9" s="233">
        <v>2002</v>
      </c>
      <c r="B9" s="232">
        <f>227124+17411+155892</f>
        <v>400427</v>
      </c>
      <c r="C9" s="232">
        <v>0</v>
      </c>
      <c r="D9" s="232">
        <v>6352</v>
      </c>
      <c r="E9" s="232">
        <v>1222</v>
      </c>
      <c r="F9" s="236">
        <f t="shared" si="0"/>
        <v>408001</v>
      </c>
    </row>
    <row r="10" spans="1:6">
      <c r="A10" s="233">
        <v>2003</v>
      </c>
      <c r="B10" s="232">
        <f>234602+143779+46549</f>
        <v>424930</v>
      </c>
      <c r="C10" s="232">
        <v>0</v>
      </c>
      <c r="D10" s="232">
        <v>6981</v>
      </c>
      <c r="E10" s="232">
        <v>1376</v>
      </c>
      <c r="F10" s="236">
        <f t="shared" si="0"/>
        <v>433287</v>
      </c>
    </row>
    <row r="11" spans="1:6">
      <c r="A11" s="233">
        <v>2004</v>
      </c>
      <c r="B11" s="232">
        <f>35377+132007+224456</f>
        <v>391840</v>
      </c>
      <c r="C11" s="232">
        <v>0</v>
      </c>
      <c r="D11" s="232">
        <v>7006</v>
      </c>
      <c r="E11" s="232">
        <v>1273</v>
      </c>
      <c r="F11" s="236">
        <f t="shared" si="0"/>
        <v>400119</v>
      </c>
    </row>
    <row r="12" spans="1:6">
      <c r="A12" s="233">
        <v>2005</v>
      </c>
      <c r="B12" s="232">
        <f>230414+139496+35768</f>
        <v>405678</v>
      </c>
      <c r="C12" s="232">
        <v>0</v>
      </c>
      <c r="D12" s="232">
        <v>7036</v>
      </c>
      <c r="E12" s="232">
        <v>1208</v>
      </c>
      <c r="F12" s="236">
        <f t="shared" si="0"/>
        <v>413922</v>
      </c>
    </row>
    <row r="13" spans="1:6">
      <c r="A13" s="233">
        <v>2006</v>
      </c>
      <c r="B13" s="232">
        <f>230342+134152+43449</f>
        <v>407943</v>
      </c>
      <c r="C13" s="232">
        <v>0</v>
      </c>
      <c r="D13" s="232">
        <v>7045</v>
      </c>
      <c r="E13" s="232">
        <v>1195</v>
      </c>
      <c r="F13" s="236">
        <f t="shared" si="0"/>
        <v>416183</v>
      </c>
    </row>
    <row r="14" spans="1:6">
      <c r="A14" s="233">
        <v>2007</v>
      </c>
      <c r="B14" s="232">
        <f>231775+130685+46967</f>
        <v>409427</v>
      </c>
      <c r="C14" s="232">
        <v>0</v>
      </c>
      <c r="D14" s="232">
        <v>7076</v>
      </c>
      <c r="E14" s="232">
        <v>1029</v>
      </c>
      <c r="F14" s="236">
        <f t="shared" si="0"/>
        <v>417532</v>
      </c>
    </row>
    <row r="15" spans="1:6">
      <c r="A15" s="233">
        <v>2008</v>
      </c>
      <c r="B15" s="232">
        <v>396778</v>
      </c>
      <c r="C15" s="232">
        <v>0</v>
      </c>
      <c r="D15" s="232">
        <v>7084</v>
      </c>
      <c r="E15" s="232">
        <v>979</v>
      </c>
      <c r="F15" s="236">
        <f>SUM(B15:E15)</f>
        <v>404841</v>
      </c>
    </row>
    <row r="16" spans="1:6">
      <c r="A16" s="234">
        <v>2009</v>
      </c>
      <c r="B16" s="235">
        <f>'Rate Class Energy Model'!D68*'Rate Class Load Model'!B34</f>
        <v>401288.53640201601</v>
      </c>
      <c r="C16" s="235">
        <v>0</v>
      </c>
      <c r="D16" s="235">
        <f>'Rate Class Energy Model'!F68*'Rate Class Load Model'!D34</f>
        <v>7082.4667701039061</v>
      </c>
      <c r="E16" s="235">
        <f>'Rate Class Energy Model'!G68*'Rate Class Load Model'!E34</f>
        <v>932.93177043178264</v>
      </c>
      <c r="F16" s="235">
        <f>SUM(B16:E16)</f>
        <v>409303.93494255171</v>
      </c>
    </row>
    <row r="17" spans="1:6">
      <c r="A17" s="234">
        <v>2010</v>
      </c>
      <c r="B17" s="235">
        <f>'Rate Class Energy Model'!D69*'Rate Class Load Model'!B34</f>
        <v>397191.53500629374</v>
      </c>
      <c r="C17" s="235">
        <v>0</v>
      </c>
      <c r="D17" s="235">
        <f>'Rate Class Energy Model'!F69*'Rate Class Load Model'!D34</f>
        <v>7098.2970283958612</v>
      </c>
      <c r="E17" s="235">
        <f>'Rate Class Energy Model'!G69*'Rate Class Load Model'!E34</f>
        <v>895.60548802112623</v>
      </c>
      <c r="F17" s="235">
        <f>SUM(B17:E17)</f>
        <v>405185.43752271071</v>
      </c>
    </row>
    <row r="18" spans="1:6">
      <c r="A18" s="219"/>
    </row>
    <row r="19" spans="1:6">
      <c r="A19" s="219" t="s">
        <v>27</v>
      </c>
      <c r="B19" s="2"/>
      <c r="C19" s="2"/>
      <c r="D19" s="2"/>
      <c r="E19" s="2"/>
    </row>
    <row r="20" spans="1:6">
      <c r="A20" s="1">
        <v>1996</v>
      </c>
      <c r="B20" s="20">
        <f>B3/'Rate Class Energy Model'!D3</f>
        <v>2.6563132546939343E-3</v>
      </c>
      <c r="C20" s="2"/>
      <c r="D20" s="20">
        <f>D3/'Rate Class Energy Model'!F3</f>
        <v>2.7810737736552365E-3</v>
      </c>
      <c r="E20" s="20">
        <f>E3/'Rate Class Energy Model'!G3</f>
        <v>2.7778363078306187E-3</v>
      </c>
    </row>
    <row r="21" spans="1:6">
      <c r="A21" s="1">
        <v>1997</v>
      </c>
      <c r="B21" s="20">
        <f>B4/'Rate Class Energy Model'!D4</f>
        <v>2.6309764779786416E-3</v>
      </c>
      <c r="C21" s="2"/>
      <c r="D21" s="20">
        <f>D4/'Rate Class Energy Model'!F4</f>
        <v>2.7810829140683031E-3</v>
      </c>
      <c r="E21" s="20">
        <f>E4/'Rate Class Energy Model'!G4</f>
        <v>2.7780586585489167E-3</v>
      </c>
    </row>
    <row r="22" spans="1:6">
      <c r="A22" s="1">
        <v>1998</v>
      </c>
      <c r="B22" s="20">
        <f>B5/'Rate Class Energy Model'!D5</f>
        <v>2.6802540657499827E-3</v>
      </c>
      <c r="C22" s="2"/>
      <c r="D22" s="20">
        <f>D5/'Rate Class Energy Model'!F5</f>
        <v>2.7813267813267812E-3</v>
      </c>
      <c r="E22" s="20">
        <f>E5/'Rate Class Energy Model'!G5</f>
        <v>2.7780657940369908E-3</v>
      </c>
    </row>
    <row r="23" spans="1:6">
      <c r="A23" s="1">
        <v>1999</v>
      </c>
      <c r="B23" s="20">
        <f>B6/'Rate Class Energy Model'!D6</f>
        <v>2.7200947780647968E-3</v>
      </c>
      <c r="C23" s="2"/>
      <c r="D23" s="20">
        <f>D6/'Rate Class Energy Model'!F6</f>
        <v>2.7776526521402626E-3</v>
      </c>
      <c r="E23" s="20">
        <f>E6/'Rate Class Energy Model'!G6</f>
        <v>2.7774836184201969E-3</v>
      </c>
    </row>
    <row r="24" spans="1:6">
      <c r="A24" s="1">
        <v>2000</v>
      </c>
      <c r="B24" s="20">
        <f>B7/'Rate Class Energy Model'!D7</f>
        <v>2.648342499761838E-3</v>
      </c>
      <c r="C24" s="2"/>
      <c r="D24" s="20">
        <f>D7/'Rate Class Energy Model'!F7</f>
        <v>2.7798576855796609E-3</v>
      </c>
      <c r="E24" s="20">
        <f>E7/'Rate Class Energy Model'!G7</f>
        <v>2.7769387773781086E-3</v>
      </c>
    </row>
    <row r="25" spans="1:6">
      <c r="A25" s="1">
        <v>2001</v>
      </c>
      <c r="B25" s="20">
        <f>B8/'Rate Class Energy Model'!D8</f>
        <v>2.698301583865467E-3</v>
      </c>
      <c r="C25" s="2"/>
      <c r="D25" s="20">
        <f>D8/'Rate Class Energy Model'!F8</f>
        <v>2.7874302536209919E-3</v>
      </c>
      <c r="E25" s="20">
        <f>E8/'Rate Class Energy Model'!G8</f>
        <v>2.7785413949163395E-3</v>
      </c>
    </row>
    <row r="26" spans="1:6">
      <c r="A26" s="1">
        <v>2002</v>
      </c>
      <c r="B26" s="20">
        <f>B9/'Rate Class Energy Model'!D9</f>
        <v>2.5789598962580925E-3</v>
      </c>
      <c r="C26" s="2"/>
      <c r="D26" s="20">
        <f>D9/'Rate Class Energy Model'!F9</f>
        <v>2.6078841692152247E-3</v>
      </c>
      <c r="E26" s="20">
        <f>E9/'Rate Class Energy Model'!G9</f>
        <v>2.5222242633020499E-3</v>
      </c>
    </row>
    <row r="27" spans="1:6">
      <c r="A27" s="1">
        <v>2003</v>
      </c>
      <c r="B27" s="20">
        <f>B10/'Rate Class Energy Model'!D10</f>
        <v>2.7755171747915436E-3</v>
      </c>
      <c r="C27" s="2"/>
      <c r="D27" s="20">
        <f>D10/'Rate Class Energy Model'!F10</f>
        <v>2.8021863556283964E-3</v>
      </c>
      <c r="E27" s="20">
        <f>E10/'Rate Class Energy Model'!G10</f>
        <v>2.7782937722606749E-3</v>
      </c>
    </row>
    <row r="28" spans="1:6">
      <c r="A28" s="1">
        <v>2004</v>
      </c>
      <c r="B28" s="20">
        <f>B11/'Rate Class Energy Model'!D11</f>
        <v>2.5349435244411927E-3</v>
      </c>
      <c r="C28" s="2"/>
      <c r="D28" s="20">
        <f>D11/'Rate Class Energy Model'!F11</f>
        <v>2.7838473278681553E-3</v>
      </c>
      <c r="E28" s="20">
        <f>E11/'Rate Class Energy Model'!G11</f>
        <v>2.7695527596537299E-3</v>
      </c>
    </row>
    <row r="29" spans="1:6">
      <c r="A29" s="1">
        <v>2005</v>
      </c>
      <c r="B29" s="20">
        <f>B12/'Rate Class Energy Model'!D12</f>
        <v>2.5788266973574493E-3</v>
      </c>
      <c r="C29" s="2"/>
      <c r="D29" s="20">
        <f>D12/'Rate Class Energy Model'!F12</f>
        <v>2.7916569293281496E-3</v>
      </c>
      <c r="E29" s="20">
        <f>E12/'Rate Class Energy Model'!G12</f>
        <v>2.7789152108800971E-3</v>
      </c>
    </row>
    <row r="30" spans="1:6">
      <c r="A30" s="1">
        <v>2006</v>
      </c>
      <c r="B30" s="20">
        <f>B13/'Rate Class Energy Model'!D13</f>
        <v>2.5777439136222906E-3</v>
      </c>
      <c r="C30" s="2"/>
      <c r="D30" s="20">
        <f>D13/'Rate Class Energy Model'!F13</f>
        <v>2.7916424288438281E-3</v>
      </c>
      <c r="E30" s="20">
        <f>E13/'Rate Class Energy Model'!G13</f>
        <v>2.7788952786685487E-3</v>
      </c>
    </row>
    <row r="31" spans="1:6">
      <c r="A31" s="1">
        <v>2007</v>
      </c>
      <c r="B31" s="20">
        <f>B14/'Rate Class Energy Model'!D14</f>
        <v>2.5835953147500062E-3</v>
      </c>
      <c r="C31" s="2"/>
      <c r="D31" s="20">
        <f>D14/'Rate Class Energy Model'!F14</f>
        <v>2.7923756621335946E-3</v>
      </c>
      <c r="E31" s="20">
        <f>E14/'Rate Class Energy Model'!G14</f>
        <v>2.7764586526215812E-3</v>
      </c>
    </row>
    <row r="32" spans="1:6">
      <c r="A32" s="1">
        <v>2008</v>
      </c>
      <c r="B32" s="20">
        <f>B15/'Rate Class Energy Model'!D15</f>
        <v>2.5413036621729471E-3</v>
      </c>
      <c r="C32" s="2"/>
      <c r="D32" s="20">
        <f>D15/'Rate Class Energy Model'!F15</f>
        <v>2.7788652470028346E-3</v>
      </c>
      <c r="E32" s="20">
        <f>E15/'Rate Class Energy Model'!G15</f>
        <v>2.7780300106694513E-3</v>
      </c>
    </row>
    <row r="33" spans="1:9">
      <c r="C33" s="2"/>
    </row>
    <row r="34" spans="1:9">
      <c r="A34" s="209" t="s">
        <v>17</v>
      </c>
      <c r="B34" s="237">
        <f>AVERAGE(B20:B32)</f>
        <v>2.6311671418083214E-3</v>
      </c>
      <c r="C34" s="238"/>
      <c r="D34" s="237">
        <f>AVERAGE(D20:D32)</f>
        <v>2.7720678600316479E-3</v>
      </c>
      <c r="E34" s="237">
        <f>AVERAGE(E20:E32)</f>
        <v>2.7576380383990242E-3</v>
      </c>
    </row>
    <row r="35" spans="1:9">
      <c r="C35" s="2"/>
    </row>
    <row r="37" spans="1:9">
      <c r="I37" s="17"/>
    </row>
    <row r="41" spans="1:9">
      <c r="B41" s="18"/>
      <c r="C41" s="18"/>
      <c r="D41" s="18"/>
      <c r="E41" s="18"/>
    </row>
    <row r="42" spans="1:9">
      <c r="B42" s="18"/>
      <c r="C42" s="18"/>
      <c r="D42" s="18"/>
      <c r="E42" s="18"/>
    </row>
    <row r="61" spans="2:5">
      <c r="B61" s="13"/>
      <c r="C61" s="13"/>
      <c r="D61" s="13"/>
      <c r="E61" s="13"/>
    </row>
    <row r="62" spans="2:5">
      <c r="B62" s="13"/>
      <c r="C62" s="13"/>
      <c r="D62" s="13"/>
      <c r="E62" s="13"/>
    </row>
  </sheetData>
  <phoneticPr fontId="0" type="noConversion"/>
  <pageMargins left="0.38" right="0.75" top="0.73" bottom="0.74" header="0.5" footer="0.5"/>
  <pageSetup orientation="portrait"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Charts</vt:lpstr>
      </vt:variant>
      <vt:variant>
        <vt:i4>1</vt:i4>
      </vt:variant>
    </vt:vector>
  </HeadingPairs>
  <TitlesOfParts>
    <vt:vector size="12" baseType="lpstr">
      <vt:lpstr>File ID</vt:lpstr>
      <vt:lpstr>Exhibit 3 Tables</vt:lpstr>
      <vt:lpstr>Summary</vt:lpstr>
      <vt:lpstr>Loss Factors</vt:lpstr>
      <vt:lpstr>Regression Results</vt:lpstr>
      <vt:lpstr>Purchased Power Model</vt:lpstr>
      <vt:lpstr>Rate Class Energy Model</vt:lpstr>
      <vt:lpstr>Rate Class Customer Model</vt:lpstr>
      <vt:lpstr>Rate Class Load Model</vt:lpstr>
      <vt:lpstr>Weather Data</vt:lpstr>
      <vt:lpstr>Revision Notes</vt:lpstr>
      <vt:lpstr>Chart3</vt:lpstr>
    </vt:vector>
  </TitlesOfParts>
  <Company>Orillia Power Distribution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Load forecast</dc:subject>
  <dc:creator>Pat Hurley</dc:creator>
  <cp:lastModifiedBy>PJHurley</cp:lastModifiedBy>
  <cp:lastPrinted>2009-09-01T19:07:44Z</cp:lastPrinted>
  <dcterms:created xsi:type="dcterms:W3CDTF">2008-02-06T18:24:44Z</dcterms:created>
  <dcterms:modified xsi:type="dcterms:W3CDTF">2009-09-16T00:05:22Z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