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95" windowHeight="9555" tabRatio="803" activeTab="0"/>
  </bookViews>
  <sheets>
    <sheet name="Appendix A - 11 yr avge" sheetId="1" r:id="rId1"/>
    <sheet name="PPM H&amp;C Days 88-04" sheetId="2" r:id="rId2"/>
    <sheet name="Rate Class Energy Model" sheetId="3" r:id="rId3"/>
    <sheet name="Graph of Purchases" sheetId="4" r:id="rId4"/>
    <sheet name="Rate Class Customer Model" sheetId="5" r:id="rId5"/>
    <sheet name="Rate Class Load Model" sheetId="6" r:id="rId6"/>
    <sheet name="Rate Class Load Adjustments" sheetId="7" r:id="rId7"/>
  </sheets>
  <externalReferences>
    <externalReference r:id="rId10"/>
  </externalReferences>
  <definedNames>
    <definedName name="_Order1" hidden="1">255</definedName>
    <definedName name="_Sort" hidden="1">'[1]Sheet1'!$G$40:$K$40</definedName>
    <definedName name="PAGE11">#REF!</definedName>
    <definedName name="PAGE2">'[1]Sheet1'!$A$1:$I$40</definedName>
    <definedName name="PAGE3">#REF!</definedName>
    <definedName name="PAGE4">#REF!</definedName>
    <definedName name="PAGE7">#REF!</definedName>
    <definedName name="PAGE9">#REF!</definedName>
    <definedName name="_xlnm.Print_Area" localSheetId="0">'Appendix A - 11 yr avge'!$M$99:$Q$122</definedName>
    <definedName name="_xlnm.Print_Area" localSheetId="4">'Rate Class Customer Model'!$A$2:$O$32</definedName>
    <definedName name="_xlnm.Print_Area" localSheetId="2">'Rate Class Energy Model'!$A$1:$J$2</definedName>
    <definedName name="_xlnm.Print_Area" localSheetId="5">'Rate Class Load Model'!$A$1:$A$1</definedName>
  </definedNames>
  <calcPr fullCalcOnLoad="1"/>
</workbook>
</file>

<file path=xl/sharedStrings.xml><?xml version="1.0" encoding="utf-8"?>
<sst xmlns="http://schemas.openxmlformats.org/spreadsheetml/2006/main" count="196" uniqueCount="159">
  <si>
    <t>Purchased</t>
  </si>
  <si>
    <t>Loss Factor</t>
  </si>
  <si>
    <t xml:space="preserve">Residential </t>
  </si>
  <si>
    <t>Sentinel Lights</t>
  </si>
  <si>
    <t xml:space="preserve">Unmetered Loads </t>
  </si>
  <si>
    <t xml:space="preserve">Streetlights </t>
  </si>
  <si>
    <t>Total Billed</t>
  </si>
  <si>
    <t>Heating Degree Days</t>
  </si>
  <si>
    <t>Cooling Degree Days</t>
  </si>
  <si>
    <t>Number of Days in Month</t>
  </si>
  <si>
    <t>Number of Peak Hours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</si>
  <si>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</si>
  <si>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</si>
  <si>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</si>
  <si>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</si>
  <si>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</si>
  <si>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</si>
  <si>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</si>
  <si>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</si>
  <si>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Weatther Normal</t>
  </si>
  <si>
    <t>Average</t>
  </si>
  <si>
    <t xml:space="preserve">Geomean </t>
  </si>
  <si>
    <t>Usage Per Customer</t>
  </si>
  <si>
    <t>Weather Sensitive Adjustment %</t>
  </si>
  <si>
    <t>Weather Sensitive Energy</t>
  </si>
  <si>
    <t>Weather Sensitvie Adjustment</t>
  </si>
  <si>
    <t>Weather Normal Forecast</t>
  </si>
  <si>
    <t>Check</t>
  </si>
  <si>
    <t>Weather Sensitvie Adjustment%</t>
  </si>
  <si>
    <t xml:space="preserve">Total </t>
  </si>
  <si>
    <t xml:space="preserve">Used </t>
  </si>
  <si>
    <t>Spring Fall Flag</t>
  </si>
  <si>
    <t>Population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</si>
  <si>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</si>
  <si>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</si>
  <si>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</si>
  <si>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</si>
  <si>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</si>
  <si>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</si>
  <si>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</si>
  <si>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</si>
  <si>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</si>
  <si>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</si>
  <si>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</si>
  <si>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</si>
  <si>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</si>
  <si>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</si>
  <si>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</si>
  <si>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</si>
  <si>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</si>
  <si>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</si>
  <si>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</si>
  <si>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</si>
  <si>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</si>
  <si>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</si>
  <si>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</si>
  <si>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</si>
  <si>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</si>
  <si>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</si>
  <si>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</si>
  <si>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</si>
  <si>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</si>
  <si>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</si>
  <si>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>Used</t>
  </si>
  <si>
    <r>
      <t xml:space="preserve">General Service </t>
    </r>
    <r>
      <rPr>
        <u val="single"/>
        <sz val="10"/>
        <rFont val="Arial"/>
        <family val="2"/>
      </rPr>
      <t>&lt; 50 kW</t>
    </r>
  </si>
  <si>
    <t>kW/kWh</t>
  </si>
  <si>
    <t>Check totals above sould be zero</t>
  </si>
  <si>
    <t>Total to 2008</t>
  </si>
  <si>
    <t>Residential Hensall</t>
  </si>
  <si>
    <r>
      <t xml:space="preserve">General Service </t>
    </r>
    <r>
      <rPr>
        <u val="single"/>
        <sz val="10"/>
        <rFont val="Arial"/>
        <family val="2"/>
      </rPr>
      <t>&gt; 50 to 4999 kW</t>
    </r>
  </si>
  <si>
    <t>Large Use</t>
  </si>
  <si>
    <t>KW</t>
  </si>
  <si>
    <t>KWH</t>
  </si>
  <si>
    <t>Cooper standard</t>
  </si>
  <si>
    <t>Transferred to Large use category</t>
  </si>
  <si>
    <t xml:space="preserve">Large use </t>
  </si>
  <si>
    <t>Before</t>
  </si>
  <si>
    <t>GS&gt; 50</t>
  </si>
  <si>
    <t xml:space="preserve">before </t>
  </si>
  <si>
    <t>After</t>
  </si>
  <si>
    <t>Adjustment to Large Use for KW and kWh</t>
  </si>
  <si>
    <t>Kw</t>
  </si>
  <si>
    <t>KwH</t>
  </si>
  <si>
    <t>Large</t>
  </si>
  <si>
    <t>Total $</t>
  </si>
  <si>
    <t>Per month</t>
  </si>
  <si>
    <t>Total Res</t>
  </si>
  <si>
    <t>X Variable 1</t>
  </si>
  <si>
    <t>X Variable 2</t>
  </si>
  <si>
    <t>X Variable 3</t>
  </si>
  <si>
    <t>X Variable 4</t>
  </si>
  <si>
    <t>X Variable 5</t>
  </si>
  <si>
    <t>X Variable 6</t>
  </si>
  <si>
    <t>X Variable 7</t>
  </si>
  <si>
    <t>kW</t>
  </si>
  <si>
    <t>Month</t>
  </si>
  <si>
    <t>Heating Days</t>
  </si>
  <si>
    <t>Cooling Days</t>
  </si>
  <si>
    <t>No data on environment Canada website - so used data from December 1990</t>
  </si>
  <si>
    <t>USL Customers</t>
  </si>
  <si>
    <t>LGH</t>
  </si>
  <si>
    <t>Sentinel Ligths</t>
  </si>
  <si>
    <t>Rate</t>
  </si>
  <si>
    <t>Number</t>
  </si>
  <si>
    <t>Year Avge</t>
  </si>
  <si>
    <t>from G..L.</t>
  </si>
  <si>
    <t>RATE CLASS CUSTOMER MODEL</t>
  </si>
  <si>
    <t>GS (no USL)</t>
  </si>
  <si>
    <t>Primary Metering Adjustment</t>
  </si>
  <si>
    <t>Jan to Apr /08</t>
  </si>
  <si>
    <t>May 08 to Dec/08</t>
  </si>
  <si>
    <t xml:space="preserve">kW </t>
  </si>
  <si>
    <t>Reduction</t>
  </si>
  <si>
    <t>Use</t>
  </si>
  <si>
    <t>GS&gt;50</t>
  </si>
  <si>
    <t>Jan to Apr /07</t>
  </si>
  <si>
    <t>May 07 to Dec/07</t>
  </si>
  <si>
    <t>Jan to Apr /06</t>
  </si>
  <si>
    <t>May 06 to Dec/06</t>
  </si>
  <si>
    <t>PRIM Adjustment</t>
  </si>
  <si>
    <t>June 02 to Aug 04</t>
  </si>
  <si>
    <t>27 months</t>
  </si>
  <si>
    <t>Jan to Apr /05</t>
  </si>
  <si>
    <t>May 05 to Dec/05</t>
  </si>
  <si>
    <t>Jan to Apr /04</t>
  </si>
  <si>
    <t>May 04 to Dec/04</t>
  </si>
  <si>
    <t>n.a.</t>
  </si>
  <si>
    <t>COOPER STANDARD TO BE TRANSFERRED TO LARGE USE</t>
  </si>
  <si>
    <t>Adjustments for Primary Metering (below) - never deducted form tehPBR before</t>
  </si>
  <si>
    <t>Primary</t>
  </si>
  <si>
    <t>Adjustment</t>
  </si>
  <si>
    <t>Use Final</t>
  </si>
  <si>
    <t>After CS move</t>
  </si>
  <si>
    <t>GS &gt; 50</t>
  </si>
  <si>
    <t>After C.S&gt;</t>
  </si>
  <si>
    <t>Before C.S.</t>
  </si>
  <si>
    <t>before C.S.</t>
  </si>
  <si>
    <t>Streetlights</t>
  </si>
  <si>
    <t>Average kW</t>
  </si>
  <si>
    <t>Sent Lgts</t>
  </si>
  <si>
    <t>Avge kw</t>
  </si>
  <si>
    <t>Number of customers with 9 LGH and 17 GEN</t>
  </si>
  <si>
    <t>With PRIMadd back</t>
  </si>
  <si>
    <t>5 yr average</t>
  </si>
  <si>
    <t>Percentage reduction from previous yr</t>
  </si>
  <si>
    <t xml:space="preserve">kWh reduction </t>
  </si>
  <si>
    <t>from prev yr</t>
  </si>
  <si>
    <t>Percent</t>
  </si>
  <si>
    <t>Used to determine LV charge reduction on trial balance</t>
  </si>
  <si>
    <t>With RBC and Uof w</t>
  </si>
  <si>
    <t>RBC/UOW</t>
  </si>
  <si>
    <t>2010 with RBC &amp; UoW</t>
  </si>
  <si>
    <t>Predicted</t>
  </si>
  <si>
    <t>10 year average used in the model</t>
  </si>
  <si>
    <t>Data for Graph:</t>
  </si>
  <si>
    <t xml:space="preserve">Actual </t>
  </si>
  <si>
    <t>Actual versus Predicted Purcahses (Millions of kWhs)</t>
  </si>
  <si>
    <t>With RBC and UoW</t>
  </si>
  <si>
    <t xml:space="preserve">                                     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</si>
</sst>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%;\(0.0%\)"/>
    <numFmt numFmtId="167" formatCode="#,##0;\(#,##0\)"/>
    <numFmt numFmtId="168" formatCode="#,##0.0000;\(#,##0.0000\)"/>
    <numFmt numFmtId="169" formatCode="0.0000"/>
    <numFmt numFmtId="170" formatCode="#,##0.0000"/>
    <numFmt numFmtId="171" formatCode="0.0000%"/>
    <numFmt numFmtId="172" formatCode="#,##0.0000_);\(#,##0.0000\)"/>
    <numFmt numFmtId="173" formatCode="_(* #,##0.0_);_(* \(#,##0.0\);_(* &quot;-&quot;?_);_(@_)"/>
    <numFmt numFmtId="174" formatCode="_(&quot;$&quot;* #,##0.0_);_(&quot;$&quot;* \(#,##0.0\);_(&quot;$&quot;* &quot;-&quot;?_);_(@_)"/>
    <numFmt numFmtId="175" formatCode="0.000%"/>
    <numFmt numFmtId="176" formatCode="#,##0.0"/>
    <numFmt numFmtId="177" formatCode="#,##0.000"/>
    <numFmt numFmtId="178" formatCode="#,##0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%"/>
    <numFmt numFmtId="184" formatCode="_(* #,##0.0_);_(* \(#,##0.0\);_(* &quot;-&quot;??_);_(@_)"/>
    <numFmt numFmtId="185" formatCode="_(* #,##0_);_(* \(#,##0\);_(* &quot;-&quot;??_);_(@_)"/>
    <numFmt numFmtId="186" formatCode="0.0000000000000"/>
    <numFmt numFmtId="187" formatCode="0.0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"/>
    <numFmt numFmtId="197" formatCode="#,##0.0;[Red]\(#,##0.0\)"/>
    <numFmt numFmtId="198" formatCode="0.000000%"/>
  </numFmts>
  <fonts count="47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8.5"/>
      <color indexed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3499900102615356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7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3" fontId="0" fillId="0" borderId="0" xfId="42" applyNumberFormat="1" applyAlignment="1">
      <alignment horizontal="center"/>
    </xf>
    <xf numFmtId="17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37" fontId="0" fillId="0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0" fillId="33" borderId="0" xfId="0" applyNumberFormat="1" applyFill="1" applyAlignment="1">
      <alignment horizontal="center"/>
    </xf>
    <xf numFmtId="17" fontId="4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10" xfId="0" applyBorder="1" applyAlignment="1">
      <alignment horizontal="right"/>
    </xf>
    <xf numFmtId="3" fontId="0" fillId="33" borderId="1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3" fillId="0" borderId="0" xfId="0" applyNumberFormat="1" applyFont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3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NumberFormat="1" applyBorder="1" applyAlignment="1">
      <alignment/>
    </xf>
    <xf numFmtId="3" fontId="0" fillId="34" borderId="0" xfId="0" applyNumberFormat="1" applyFill="1" applyAlignment="1">
      <alignment horizontal="center"/>
    </xf>
    <xf numFmtId="3" fontId="0" fillId="34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34" borderId="0" xfId="0" applyFill="1" applyAlignment="1">
      <alignment horizontal="center"/>
    </xf>
    <xf numFmtId="3" fontId="0" fillId="34" borderId="0" xfId="42" applyNumberFormat="1" applyFill="1" applyAlignment="1">
      <alignment horizontal="center"/>
    </xf>
    <xf numFmtId="37" fontId="0" fillId="34" borderId="0" xfId="0" applyNumberFormat="1" applyFont="1" applyFill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9" fontId="0" fillId="34" borderId="0" xfId="0" applyNumberFormat="1" applyFill="1" applyAlignment="1">
      <alignment horizontal="center"/>
    </xf>
    <xf numFmtId="3" fontId="3" fillId="34" borderId="0" xfId="0" applyNumberFormat="1" applyFont="1" applyFill="1" applyAlignment="1">
      <alignment horizontal="center"/>
    </xf>
    <xf numFmtId="3" fontId="0" fillId="34" borderId="0" xfId="0" applyNumberFormat="1" applyFont="1" applyFill="1" applyAlignment="1">
      <alignment horizontal="center" wrapText="1"/>
    </xf>
    <xf numFmtId="3" fontId="3" fillId="34" borderId="0" xfId="0" applyNumberFormat="1" applyFont="1" applyFill="1" applyAlignment="1">
      <alignment horizontal="center" wrapText="1"/>
    </xf>
    <xf numFmtId="37" fontId="0" fillId="0" borderId="0" xfId="0" applyNumberFormat="1" applyAlignment="1">
      <alignment horizontal="center"/>
    </xf>
    <xf numFmtId="16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12" xfId="0" applyNumberForma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Continuous"/>
    </xf>
    <xf numFmtId="0" fontId="4" fillId="35" borderId="10" xfId="0" applyFont="1" applyFill="1" applyBorder="1" applyAlignment="1">
      <alignment horizontal="center"/>
    </xf>
    <xf numFmtId="176" fontId="4" fillId="35" borderId="10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17" fontId="0" fillId="36" borderId="0" xfId="0" applyNumberFormat="1" applyFill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3" fontId="0" fillId="0" borderId="0" xfId="0" applyNumberFormat="1" applyFont="1" applyAlignment="1">
      <alignment/>
    </xf>
    <xf numFmtId="0" fontId="7" fillId="0" borderId="0" xfId="0" applyFont="1" applyAlignment="1">
      <alignment/>
    </xf>
    <xf numFmtId="175" fontId="0" fillId="0" borderId="0" xfId="59" applyNumberFormat="1" applyFont="1" applyAlignment="1">
      <alignment horizontal="center"/>
    </xf>
    <xf numFmtId="0" fontId="0" fillId="34" borderId="0" xfId="0" applyFont="1" applyFill="1" applyAlignment="1">
      <alignment horizontal="center"/>
    </xf>
    <xf numFmtId="1" fontId="0" fillId="34" borderId="0" xfId="0" applyNumberFormat="1" applyFont="1" applyFill="1" applyAlignment="1">
      <alignment horizontal="center"/>
    </xf>
    <xf numFmtId="17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42" applyFont="1" applyAlignment="1">
      <alignment/>
    </xf>
    <xf numFmtId="3" fontId="8" fillId="0" borderId="0" xfId="0" applyNumberFormat="1" applyFont="1" applyAlignment="1">
      <alignment horizontal="center"/>
    </xf>
    <xf numFmtId="10" fontId="8" fillId="0" borderId="0" xfId="59" applyNumberFormat="1" applyFont="1" applyAlignment="1">
      <alignment horizontal="left"/>
    </xf>
    <xf numFmtId="0" fontId="46" fillId="37" borderId="10" xfId="0" applyFont="1" applyFill="1" applyBorder="1" applyAlignment="1">
      <alignment/>
    </xf>
    <xf numFmtId="0" fontId="0" fillId="38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144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'Appendix A - 11 yr avge'!$B$224:$B$234</c:f>
              <c:numCache>
                <c:ptCount val="11"/>
                <c:pt idx="0">
                  <c:v>567117349</c:v>
                </c:pt>
                <c:pt idx="1">
                  <c:v>593828652</c:v>
                </c:pt>
                <c:pt idx="2">
                  <c:v>611283741.3000001</c:v>
                </c:pt>
                <c:pt idx="3">
                  <c:v>616059685</c:v>
                </c:pt>
                <c:pt idx="4">
                  <c:v>639349517.1499999</c:v>
                </c:pt>
                <c:pt idx="5">
                  <c:v>640334466.11</c:v>
                </c:pt>
                <c:pt idx="6">
                  <c:v>649308540</c:v>
                </c:pt>
                <c:pt idx="7">
                  <c:v>650800740</c:v>
                </c:pt>
                <c:pt idx="8">
                  <c:v>635441692</c:v>
                </c:pt>
                <c:pt idx="9">
                  <c:v>634322920</c:v>
                </c:pt>
                <c:pt idx="10">
                  <c:v>611667199</c:v>
                </c:pt>
              </c:numCache>
            </c:numRef>
          </c:val>
        </c:ser>
        <c:axId val="48941142"/>
        <c:axId val="37817095"/>
      </c:barChart>
      <c:catAx>
        <c:axId val="489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17095"/>
        <c:crosses val="autoZero"/>
        <c:auto val="1"/>
        <c:lblOffset val="100"/>
        <c:tickLblSkip val="11"/>
        <c:noMultiLvlLbl val="0"/>
      </c:catAx>
      <c:valAx>
        <c:axId val="37817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41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7"/>
          <c:w val="0.9687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'Appendix A - 11 yr avge'!$C$246:$C$258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'Appendix A - 11 yr avge'!$D$246:$D$258</c:f>
              <c:numCache>
                <c:ptCount val="13"/>
                <c:pt idx="0">
                  <c:v>567.117349</c:v>
                </c:pt>
                <c:pt idx="1">
                  <c:v>593.828652</c:v>
                </c:pt>
                <c:pt idx="2">
                  <c:v>611.2837413000001</c:v>
                </c:pt>
                <c:pt idx="3">
                  <c:v>616.059685</c:v>
                </c:pt>
                <c:pt idx="4">
                  <c:v>639.3495171499999</c:v>
                </c:pt>
                <c:pt idx="5">
                  <c:v>640.33446611</c:v>
                </c:pt>
                <c:pt idx="6">
                  <c:v>649.30854</c:v>
                </c:pt>
                <c:pt idx="7">
                  <c:v>650.80074</c:v>
                </c:pt>
                <c:pt idx="8">
                  <c:v>635.441692</c:v>
                </c:pt>
                <c:pt idx="9">
                  <c:v>634.32292</c:v>
                </c:pt>
                <c:pt idx="10">
                  <c:v>611.667199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'Appendix A - 11 yr avge'!$C$246:$C$258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'Appendix A - 11 yr avge'!$E$246:$E$258</c:f>
              <c:numCache>
                <c:ptCount val="13"/>
                <c:pt idx="0">
                  <c:v>565.3339987456169</c:v>
                </c:pt>
                <c:pt idx="1">
                  <c:v>593.6919232116863</c:v>
                </c:pt>
                <c:pt idx="2">
                  <c:v>617.4573541785637</c:v>
                </c:pt>
                <c:pt idx="3">
                  <c:v>625.6655098204998</c:v>
                </c:pt>
                <c:pt idx="4">
                  <c:v>637.54292200601</c:v>
                </c:pt>
                <c:pt idx="5">
                  <c:v>635.0074874822842</c:v>
                </c:pt>
                <c:pt idx="6">
                  <c:v>633.4535645537258</c:v>
                </c:pt>
                <c:pt idx="7">
                  <c:v>649.1892177465508</c:v>
                </c:pt>
                <c:pt idx="8">
                  <c:v>642.2458290544798</c:v>
                </c:pt>
                <c:pt idx="9">
                  <c:v>632.7744463476104</c:v>
                </c:pt>
                <c:pt idx="10">
                  <c:v>617.1522484129785</c:v>
                </c:pt>
                <c:pt idx="11">
                  <c:v>605.0663069615024</c:v>
                </c:pt>
                <c:pt idx="12">
                  <c:v>591.7671523991789</c:v>
                </c:pt>
              </c:numCache>
            </c:numRef>
          </c:val>
        </c:ser>
        <c:axId val="4809536"/>
        <c:axId val="43285825"/>
      </c:barChart>
      <c:catAx>
        <c:axId val="480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85825"/>
        <c:crosses val="autoZero"/>
        <c:auto val="1"/>
        <c:lblOffset val="100"/>
        <c:tickLblSkip val="1"/>
        <c:noMultiLvlLbl val="0"/>
      </c:catAx>
      <c:valAx>
        <c:axId val="43285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9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475"/>
          <c:y val="0.927"/>
          <c:w val="0.166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352425</xdr:colOff>
      <xdr:row>55</xdr:row>
      <xdr:rowOff>19050</xdr:rowOff>
    </xdr:from>
    <xdr:to>
      <xdr:col>18</xdr:col>
      <xdr:colOff>400050</xdr:colOff>
      <xdr:row>55</xdr:row>
      <xdr:rowOff>142875</xdr:rowOff>
    </xdr:to>
    <xdr:graphicFrame>
      <xdr:nvGraphicFramePr>
        <xdr:cNvPr id="1" name="Chart 1"/>
        <xdr:cNvGraphicFramePr/>
      </xdr:nvGraphicFramePr>
      <xdr:xfrm>
        <a:off x="11325225" y="8924925"/>
        <a:ext cx="47625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11</xdr:row>
      <xdr:rowOff>47625</xdr:rowOff>
    </xdr:from>
    <xdr:to>
      <xdr:col>11</xdr:col>
      <xdr:colOff>400050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819150" y="1828800"/>
        <a:ext cx="628650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ummy%20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61"/>
  <sheetViews>
    <sheetView tabSelected="1" zoomScalePageLayoutView="0" workbookViewId="0" topLeftCell="A1">
      <pane xSplit="1" ySplit="2" topLeftCell="B18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22" sqref="C222"/>
    </sheetView>
  </sheetViews>
  <sheetFormatPr defaultColWidth="9.140625" defaultRowHeight="12.75"/>
  <cols>
    <col min="1" max="1" width="11.8515625" style="0" customWidth="1"/>
    <col min="2" max="2" width="18.00390625" style="6" customWidth="1"/>
    <col min="3" max="3" width="11.7109375" style="1" customWidth="1"/>
    <col min="4" max="4" width="13.421875" style="1" customWidth="1"/>
    <col min="5" max="5" width="14.421875" style="40" customWidth="1"/>
    <col min="6" max="6" width="10.140625" style="1" customWidth="1"/>
    <col min="7" max="8" width="12.421875" style="1" customWidth="1"/>
    <col min="9" max="9" width="13.00390625" style="1" customWidth="1"/>
    <col min="10" max="10" width="15.421875" style="1" bestFit="1" customWidth="1"/>
    <col min="11" max="11" width="17.00390625" style="1" customWidth="1"/>
    <col min="12" max="12" width="12.421875" style="1" customWidth="1"/>
    <col min="13" max="13" width="25.8515625" style="0" bestFit="1" customWidth="1"/>
    <col min="14" max="16" width="18.00390625" style="0" customWidth="1"/>
    <col min="17" max="17" width="17.140625" style="0" customWidth="1"/>
    <col min="18" max="19" width="15.7109375" style="0" customWidth="1"/>
    <col min="20" max="20" width="15.00390625" style="0" customWidth="1"/>
    <col min="21" max="22" width="14.140625" style="0" bestFit="1" customWidth="1"/>
    <col min="23" max="23" width="11.7109375" style="0" bestFit="1" customWidth="1"/>
    <col min="24" max="24" width="11.8515625" style="0" bestFit="1" customWidth="1"/>
    <col min="25" max="25" width="12.57421875" style="6" customWidth="1"/>
    <col min="26" max="26" width="11.28125" style="6" customWidth="1"/>
    <col min="27" max="27" width="11.57421875" style="6" customWidth="1"/>
    <col min="28" max="28" width="9.28125" style="6" customWidth="1"/>
    <col min="29" max="29" width="9.140625" style="6" customWidth="1"/>
    <col min="30" max="30" width="11.7109375" style="6" bestFit="1" customWidth="1"/>
    <col min="31" max="31" width="10.7109375" style="6" bestFit="1" customWidth="1"/>
    <col min="32" max="33" width="9.140625" style="6" customWidth="1"/>
  </cols>
  <sheetData>
    <row r="2" spans="2:27" ht="42" customHeight="1">
      <c r="B2" s="7" t="s">
        <v>0</v>
      </c>
      <c r="C2" s="12" t="s">
        <v>7</v>
      </c>
      <c r="D2" s="12" t="s">
        <v>8</v>
      </c>
      <c r="E2" s="38" t="s">
        <v>11</v>
      </c>
      <c r="F2" s="12" t="s">
        <v>9</v>
      </c>
      <c r="G2" s="12" t="s">
        <v>31</v>
      </c>
      <c r="H2" s="12" t="s">
        <v>32</v>
      </c>
      <c r="I2" s="12" t="s">
        <v>10</v>
      </c>
      <c r="J2" s="12" t="s">
        <v>16</v>
      </c>
      <c r="K2" s="12" t="s">
        <v>17</v>
      </c>
      <c r="L2" s="12" t="s">
        <v>18</v>
      </c>
      <c r="Y2" s="9"/>
      <c r="Z2" s="9"/>
      <c r="AA2" s="9"/>
    </row>
    <row r="3" spans="1:9" ht="12.75" hidden="1">
      <c r="A3" s="3">
        <v>33239</v>
      </c>
      <c r="B3" s="31">
        <v>124533060.1</v>
      </c>
      <c r="C3" s="27">
        <v>1091.9</v>
      </c>
      <c r="D3" s="27">
        <v>0</v>
      </c>
      <c r="E3" s="41">
        <v>88.38277372098509</v>
      </c>
      <c r="F3" s="19">
        <v>31</v>
      </c>
      <c r="G3" s="19">
        <v>0</v>
      </c>
      <c r="H3" s="19">
        <v>113969.28154223957</v>
      </c>
      <c r="I3" s="27">
        <v>352</v>
      </c>
    </row>
    <row r="4" spans="1:9" ht="12.75" hidden="1">
      <c r="A4" s="3">
        <v>33270</v>
      </c>
      <c r="B4" s="31">
        <v>101419029</v>
      </c>
      <c r="C4" s="27">
        <v>781.6</v>
      </c>
      <c r="D4" s="27">
        <v>0</v>
      </c>
      <c r="E4" s="41">
        <v>88.2025204959705</v>
      </c>
      <c r="F4" s="19">
        <v>28</v>
      </c>
      <c r="G4" s="19">
        <v>0</v>
      </c>
      <c r="H4" s="19">
        <v>113964.62485327042</v>
      </c>
      <c r="I4" s="27">
        <v>320</v>
      </c>
    </row>
    <row r="5" spans="1:9" ht="12.75" hidden="1">
      <c r="A5" s="3">
        <v>33298</v>
      </c>
      <c r="B5" s="31">
        <v>102232549.8</v>
      </c>
      <c r="C5" s="27">
        <v>716.7</v>
      </c>
      <c r="D5" s="27">
        <v>0</v>
      </c>
      <c r="E5" s="41">
        <v>88.02263489038853</v>
      </c>
      <c r="F5" s="19">
        <v>31</v>
      </c>
      <c r="G5" s="19">
        <v>1</v>
      </c>
      <c r="H5" s="19">
        <v>113959.96835456966</v>
      </c>
      <c r="I5" s="27">
        <v>320</v>
      </c>
    </row>
    <row r="6" spans="1:9" ht="12.75" hidden="1">
      <c r="A6" s="3">
        <v>33329</v>
      </c>
      <c r="B6" s="31">
        <v>92155619.8</v>
      </c>
      <c r="C6" s="27">
        <v>397.2</v>
      </c>
      <c r="D6" s="27">
        <v>0</v>
      </c>
      <c r="E6" s="41">
        <v>87.84311615449366</v>
      </c>
      <c r="F6" s="19">
        <v>30</v>
      </c>
      <c r="G6" s="19">
        <v>1</v>
      </c>
      <c r="H6" s="19">
        <v>113955.31204612952</v>
      </c>
      <c r="I6" s="27">
        <v>336</v>
      </c>
    </row>
    <row r="7" spans="1:9" ht="12.75" hidden="1">
      <c r="A7" s="3">
        <v>33359</v>
      </c>
      <c r="B7" s="31">
        <v>89111071</v>
      </c>
      <c r="C7" s="27">
        <v>220.5</v>
      </c>
      <c r="D7" s="27">
        <v>5</v>
      </c>
      <c r="E7" s="41">
        <v>87.66396354006945</v>
      </c>
      <c r="F7" s="19">
        <v>31</v>
      </c>
      <c r="G7" s="19">
        <v>1</v>
      </c>
      <c r="H7" s="19">
        <v>113950.65592794222</v>
      </c>
      <c r="I7" s="27">
        <v>352</v>
      </c>
    </row>
    <row r="8" spans="1:9" ht="12.75" hidden="1">
      <c r="A8" s="3">
        <v>33390</v>
      </c>
      <c r="B8" s="31">
        <v>81889968.1</v>
      </c>
      <c r="C8" s="27">
        <v>70.1</v>
      </c>
      <c r="D8" s="27">
        <v>11.6</v>
      </c>
      <c r="E8" s="41">
        <v>87.48517630042541</v>
      </c>
      <c r="F8" s="19">
        <v>30</v>
      </c>
      <c r="G8" s="19">
        <v>0</v>
      </c>
      <c r="H8" s="44">
        <v>113946</v>
      </c>
      <c r="I8" s="27">
        <v>320</v>
      </c>
    </row>
    <row r="9" spans="1:11" ht="12.75" hidden="1">
      <c r="A9" s="3">
        <v>33420</v>
      </c>
      <c r="B9" s="31">
        <v>82118340</v>
      </c>
      <c r="C9" s="27">
        <v>51</v>
      </c>
      <c r="D9" s="27">
        <v>33.2</v>
      </c>
      <c r="E9" s="41">
        <v>87.3067536903939</v>
      </c>
      <c r="F9" s="19">
        <v>31</v>
      </c>
      <c r="G9" s="19">
        <v>0</v>
      </c>
      <c r="H9" s="19">
        <v>113941.34426229508</v>
      </c>
      <c r="I9" s="27">
        <v>352</v>
      </c>
      <c r="K9" s="27"/>
    </row>
    <row r="10" spans="1:9" ht="12.75" hidden="1">
      <c r="A10" s="3">
        <v>33451</v>
      </c>
      <c r="B10" s="31">
        <v>80055272</v>
      </c>
      <c r="C10" s="27">
        <v>48.1</v>
      </c>
      <c r="D10" s="27">
        <v>57.5</v>
      </c>
      <c r="E10" s="41">
        <v>87.12869496632706</v>
      </c>
      <c r="F10" s="19">
        <v>31</v>
      </c>
      <c r="G10" s="19">
        <v>0</v>
      </c>
      <c r="H10" s="19">
        <v>113936.68871481968</v>
      </c>
      <c r="I10" s="27">
        <v>336</v>
      </c>
    </row>
    <row r="11" spans="1:9" ht="12.75" hidden="1">
      <c r="A11" s="3">
        <v>33482</v>
      </c>
      <c r="B11" s="31">
        <v>77685253</v>
      </c>
      <c r="C11" s="27">
        <v>235.8</v>
      </c>
      <c r="D11" s="27">
        <v>1.8</v>
      </c>
      <c r="E11" s="41">
        <v>86.9509993860936</v>
      </c>
      <c r="F11" s="19">
        <v>30</v>
      </c>
      <c r="G11" s="19">
        <v>1</v>
      </c>
      <c r="H11" s="19">
        <v>113932.03335756605</v>
      </c>
      <c r="I11" s="27">
        <v>320</v>
      </c>
    </row>
    <row r="12" spans="1:9" ht="12.75" hidden="1">
      <c r="A12" s="3">
        <v>33512</v>
      </c>
      <c r="B12" s="31">
        <v>91907328.69999999</v>
      </c>
      <c r="C12" s="27">
        <v>454.1</v>
      </c>
      <c r="D12" s="27">
        <v>0</v>
      </c>
      <c r="E12" s="41">
        <v>86.77366620907583</v>
      </c>
      <c r="F12" s="19">
        <v>31</v>
      </c>
      <c r="G12" s="19">
        <v>1</v>
      </c>
      <c r="H12" s="19">
        <v>113927.37819052639</v>
      </c>
      <c r="I12" s="27">
        <v>352</v>
      </c>
    </row>
    <row r="13" spans="1:9" ht="12.75" hidden="1">
      <c r="A13" s="3">
        <v>33543</v>
      </c>
      <c r="B13" s="31">
        <v>107235136.5</v>
      </c>
      <c r="C13" s="27">
        <v>702</v>
      </c>
      <c r="D13" s="27">
        <v>0</v>
      </c>
      <c r="E13" s="41">
        <v>86.59669469616651</v>
      </c>
      <c r="F13" s="19">
        <v>30</v>
      </c>
      <c r="G13" s="19">
        <v>1</v>
      </c>
      <c r="H13" s="19">
        <v>113922.72321369294</v>
      </c>
      <c r="I13" s="27">
        <v>336</v>
      </c>
    </row>
    <row r="14" spans="1:9" ht="12.75" hidden="1">
      <c r="A14" s="3">
        <v>33573</v>
      </c>
      <c r="B14" s="31">
        <v>116960318.2</v>
      </c>
      <c r="C14" s="27">
        <v>875.9</v>
      </c>
      <c r="D14" s="27">
        <v>0</v>
      </c>
      <c r="E14" s="41">
        <v>86.42008410976577</v>
      </c>
      <c r="F14" s="19">
        <v>31</v>
      </c>
      <c r="G14" s="19">
        <v>0</v>
      </c>
      <c r="H14" s="19">
        <v>113918.06842705792</v>
      </c>
      <c r="I14" s="27">
        <v>320</v>
      </c>
    </row>
    <row r="15" spans="1:9" ht="12.75" hidden="1">
      <c r="A15" s="3">
        <v>33604</v>
      </c>
      <c r="B15" s="31">
        <v>116146452.7</v>
      </c>
      <c r="C15" s="27">
        <v>910.1</v>
      </c>
      <c r="D15" s="27">
        <v>0</v>
      </c>
      <c r="E15" s="41">
        <v>86.24383371377805</v>
      </c>
      <c r="F15" s="19">
        <v>31</v>
      </c>
      <c r="G15" s="19">
        <v>0</v>
      </c>
      <c r="H15" s="19">
        <v>113913.41383061357</v>
      </c>
      <c r="I15" s="27">
        <v>352</v>
      </c>
    </row>
    <row r="16" spans="1:9" ht="12.75" hidden="1">
      <c r="A16" s="3">
        <v>33635</v>
      </c>
      <c r="B16" s="31">
        <v>103154000.2</v>
      </c>
      <c r="C16" s="27">
        <v>795.7</v>
      </c>
      <c r="D16" s="27">
        <v>0</v>
      </c>
      <c r="E16" s="41">
        <v>86.29062257824226</v>
      </c>
      <c r="F16" s="19">
        <v>29</v>
      </c>
      <c r="G16" s="19">
        <v>0</v>
      </c>
      <c r="H16" s="19">
        <v>113908.75942435212</v>
      </c>
      <c r="I16" s="27">
        <v>320</v>
      </c>
    </row>
    <row r="17" spans="1:9" ht="12.75" hidden="1">
      <c r="A17" s="3">
        <v>33664</v>
      </c>
      <c r="B17" s="31">
        <v>102829706.30000001</v>
      </c>
      <c r="C17" s="27">
        <v>730.7</v>
      </c>
      <c r="D17" s="27">
        <v>0</v>
      </c>
      <c r="E17" s="41">
        <v>86.33743682652516</v>
      </c>
      <c r="F17" s="19">
        <v>31</v>
      </c>
      <c r="G17" s="19">
        <v>1</v>
      </c>
      <c r="H17" s="19">
        <v>113904.10520826578</v>
      </c>
      <c r="I17" s="27">
        <v>352</v>
      </c>
    </row>
    <row r="18" spans="1:9" ht="12.75" hidden="1">
      <c r="A18" s="3">
        <v>33695</v>
      </c>
      <c r="B18" s="31">
        <v>92681478.2</v>
      </c>
      <c r="C18" s="27">
        <v>505.5</v>
      </c>
      <c r="D18" s="27">
        <v>0</v>
      </c>
      <c r="E18" s="41">
        <v>86.38427647239794</v>
      </c>
      <c r="F18" s="19">
        <v>30</v>
      </c>
      <c r="G18" s="19">
        <v>1</v>
      </c>
      <c r="H18" s="19">
        <v>113899.4511823468</v>
      </c>
      <c r="I18" s="27">
        <v>320</v>
      </c>
    </row>
    <row r="19" spans="1:9" ht="12.75" hidden="1">
      <c r="A19" s="3">
        <v>33725</v>
      </c>
      <c r="B19" s="31">
        <v>82614214.69999999</v>
      </c>
      <c r="C19" s="27">
        <v>247.9</v>
      </c>
      <c r="D19" s="27">
        <v>1.1</v>
      </c>
      <c r="E19" s="41">
        <v>86.43114152963926</v>
      </c>
      <c r="F19" s="19">
        <v>31</v>
      </c>
      <c r="G19" s="19">
        <v>1</v>
      </c>
      <c r="H19" s="19">
        <v>113894.79734658741</v>
      </c>
      <c r="I19" s="27">
        <v>320</v>
      </c>
    </row>
    <row r="20" spans="1:9" ht="12.75" hidden="1">
      <c r="A20" s="3">
        <v>33756</v>
      </c>
      <c r="B20" s="31">
        <v>76018074.8</v>
      </c>
      <c r="C20" s="27">
        <v>175.5</v>
      </c>
      <c r="D20" s="27">
        <v>3.5</v>
      </c>
      <c r="E20" s="41">
        <v>86.47803201203524</v>
      </c>
      <c r="F20" s="19">
        <v>30</v>
      </c>
      <c r="G20" s="19">
        <v>0</v>
      </c>
      <c r="H20" s="19">
        <v>113890.14370097984</v>
      </c>
      <c r="I20" s="27">
        <v>352</v>
      </c>
    </row>
    <row r="21" spans="1:9" ht="12.75" hidden="1">
      <c r="A21" s="3">
        <v>33786</v>
      </c>
      <c r="B21" s="31">
        <v>77639460</v>
      </c>
      <c r="C21" s="27">
        <v>114.6</v>
      </c>
      <c r="D21" s="27">
        <v>0.2</v>
      </c>
      <c r="E21" s="41">
        <v>86.52494793337951</v>
      </c>
      <c r="F21" s="19">
        <v>31</v>
      </c>
      <c r="G21" s="19">
        <v>0</v>
      </c>
      <c r="H21" s="19">
        <v>113885.49024551631</v>
      </c>
      <c r="I21" s="27">
        <v>352</v>
      </c>
    </row>
    <row r="22" spans="1:9" ht="12.75" hidden="1">
      <c r="A22" s="3">
        <v>33817</v>
      </c>
      <c r="B22" s="31">
        <v>77472711</v>
      </c>
      <c r="C22" s="27">
        <v>105.6</v>
      </c>
      <c r="D22" s="27">
        <v>5.8</v>
      </c>
      <c r="E22" s="41">
        <v>86.57188930747316</v>
      </c>
      <c r="F22" s="19">
        <v>31</v>
      </c>
      <c r="G22" s="19">
        <v>0</v>
      </c>
      <c r="H22" s="19">
        <v>113880.83698018905</v>
      </c>
      <c r="I22" s="27">
        <v>320</v>
      </c>
    </row>
    <row r="23" spans="1:9" ht="12.75" hidden="1">
      <c r="A23" s="3">
        <v>33848</v>
      </c>
      <c r="B23" s="31">
        <v>76714490.9</v>
      </c>
      <c r="C23" s="27">
        <v>200.2</v>
      </c>
      <c r="D23" s="27">
        <v>1.4</v>
      </c>
      <c r="E23" s="41">
        <v>86.61885614812476</v>
      </c>
      <c r="F23" s="19">
        <v>30</v>
      </c>
      <c r="G23" s="19">
        <v>1</v>
      </c>
      <c r="H23" s="19">
        <v>113876.1839049903</v>
      </c>
      <c r="I23" s="27">
        <v>336</v>
      </c>
    </row>
    <row r="24" spans="1:9" ht="12.75" hidden="1">
      <c r="A24" s="3">
        <v>33878</v>
      </c>
      <c r="B24" s="31">
        <v>86834019.1</v>
      </c>
      <c r="C24" s="27">
        <v>427.4</v>
      </c>
      <c r="D24" s="27">
        <v>0</v>
      </c>
      <c r="E24" s="41">
        <v>86.6658484691504</v>
      </c>
      <c r="F24" s="19">
        <v>31</v>
      </c>
      <c r="G24" s="19">
        <v>1</v>
      </c>
      <c r="H24" s="19">
        <v>113871.53101991229</v>
      </c>
      <c r="I24" s="27">
        <v>336</v>
      </c>
    </row>
    <row r="25" spans="1:9" ht="12.75" hidden="1">
      <c r="A25" s="3">
        <v>33909</v>
      </c>
      <c r="B25" s="31">
        <v>98148453</v>
      </c>
      <c r="C25" s="27">
        <v>635.3</v>
      </c>
      <c r="D25" s="27">
        <v>0</v>
      </c>
      <c r="E25" s="41">
        <v>86.71286628437366</v>
      </c>
      <c r="F25" s="19">
        <v>30</v>
      </c>
      <c r="G25" s="19">
        <v>1</v>
      </c>
      <c r="H25" s="19">
        <v>113866.87832494725</v>
      </c>
      <c r="I25" s="27">
        <v>336</v>
      </c>
    </row>
    <row r="26" spans="1:9" ht="12.75" hidden="1">
      <c r="A26" s="3">
        <v>33939</v>
      </c>
      <c r="B26" s="31">
        <v>111782314.9</v>
      </c>
      <c r="C26" s="27">
        <v>781.6</v>
      </c>
      <c r="D26" s="27">
        <v>0</v>
      </c>
      <c r="E26" s="41">
        <v>86.7599096076256</v>
      </c>
      <c r="F26" s="19">
        <v>31</v>
      </c>
      <c r="G26" s="19">
        <v>0</v>
      </c>
      <c r="H26" s="19">
        <v>113862.2258200874</v>
      </c>
      <c r="I26" s="27">
        <v>352</v>
      </c>
    </row>
    <row r="27" spans="1:9" ht="12.75" hidden="1">
      <c r="A27" s="3">
        <v>33970</v>
      </c>
      <c r="B27" s="31">
        <v>112207884.4</v>
      </c>
      <c r="C27" s="27">
        <v>718.3</v>
      </c>
      <c r="D27" s="27">
        <v>0</v>
      </c>
      <c r="E27" s="41">
        <v>86.80697845274479</v>
      </c>
      <c r="F27" s="19">
        <v>31</v>
      </c>
      <c r="G27" s="19">
        <v>0</v>
      </c>
      <c r="H27" s="19">
        <v>113857.573505325</v>
      </c>
      <c r="I27" s="27">
        <v>320</v>
      </c>
    </row>
    <row r="28" spans="1:9" ht="12.75" hidden="1">
      <c r="A28" s="3">
        <v>34001</v>
      </c>
      <c r="B28" s="31">
        <v>99184174.5</v>
      </c>
      <c r="C28" s="27">
        <v>684</v>
      </c>
      <c r="D28" s="27">
        <v>0</v>
      </c>
      <c r="E28" s="41">
        <v>86.89319375654951</v>
      </c>
      <c r="F28" s="19">
        <v>28</v>
      </c>
      <c r="G28" s="19">
        <v>0</v>
      </c>
      <c r="H28" s="19">
        <v>113852.92138065226</v>
      </c>
      <c r="I28" s="27">
        <v>320</v>
      </c>
    </row>
    <row r="29" spans="1:9" ht="12.75" hidden="1">
      <c r="A29" s="3">
        <v>34029</v>
      </c>
      <c r="B29" s="31">
        <v>97765018.69999999</v>
      </c>
      <c r="C29" s="27">
        <v>552.7</v>
      </c>
      <c r="D29" s="27">
        <v>0</v>
      </c>
      <c r="E29" s="41">
        <v>86.97949468801623</v>
      </c>
      <c r="F29" s="19">
        <v>31</v>
      </c>
      <c r="G29" s="19">
        <v>1</v>
      </c>
      <c r="H29" s="19">
        <v>113848.26944606143</v>
      </c>
      <c r="I29" s="27">
        <v>368</v>
      </c>
    </row>
    <row r="30" spans="1:9" ht="12.75" hidden="1">
      <c r="A30" s="3">
        <v>34060</v>
      </c>
      <c r="B30" s="31">
        <v>87733912.6</v>
      </c>
      <c r="C30" s="27">
        <v>480.7</v>
      </c>
      <c r="D30" s="27">
        <v>0</v>
      </c>
      <c r="E30" s="41">
        <v>87.06588133218898</v>
      </c>
      <c r="F30" s="19">
        <v>30</v>
      </c>
      <c r="G30" s="19">
        <v>1</v>
      </c>
      <c r="H30" s="19">
        <v>113843.61770154473</v>
      </c>
      <c r="I30" s="27">
        <v>320</v>
      </c>
    </row>
    <row r="31" spans="1:9" ht="12.75" hidden="1">
      <c r="A31" s="3">
        <v>34090</v>
      </c>
      <c r="B31" s="31">
        <v>82318066.7</v>
      </c>
      <c r="C31" s="27">
        <v>278.7</v>
      </c>
      <c r="D31" s="27">
        <v>0</v>
      </c>
      <c r="E31" s="41">
        <v>87.15235377419624</v>
      </c>
      <c r="F31" s="19">
        <v>31</v>
      </c>
      <c r="G31" s="19">
        <v>1</v>
      </c>
      <c r="H31" s="19">
        <v>113838.9661470944</v>
      </c>
      <c r="I31" s="27">
        <v>320</v>
      </c>
    </row>
    <row r="32" spans="1:9" ht="12.75" hidden="1">
      <c r="A32" s="3">
        <v>34121</v>
      </c>
      <c r="B32" s="31">
        <v>77230191.9</v>
      </c>
      <c r="C32" s="27">
        <v>126</v>
      </c>
      <c r="D32" s="27">
        <v>2.1</v>
      </c>
      <c r="E32" s="41">
        <v>87.23891209925105</v>
      </c>
      <c r="F32" s="19">
        <v>30</v>
      </c>
      <c r="G32" s="19">
        <v>0</v>
      </c>
      <c r="H32" s="19">
        <v>113834.31478270267</v>
      </c>
      <c r="I32" s="27">
        <v>352</v>
      </c>
    </row>
    <row r="33" spans="1:9" ht="12.75" hidden="1">
      <c r="A33" s="3">
        <v>34151</v>
      </c>
      <c r="B33" s="31">
        <v>77311809</v>
      </c>
      <c r="C33" s="27">
        <v>43.7</v>
      </c>
      <c r="D33" s="27">
        <v>6.8</v>
      </c>
      <c r="E33" s="41">
        <v>87.3255563926511</v>
      </c>
      <c r="F33" s="19">
        <v>31</v>
      </c>
      <c r="G33" s="19">
        <v>0</v>
      </c>
      <c r="H33" s="19">
        <v>113829.66360836178</v>
      </c>
      <c r="I33" s="27">
        <v>336</v>
      </c>
    </row>
    <row r="34" spans="1:9" ht="12.75" hidden="1">
      <c r="A34" s="3">
        <v>34182</v>
      </c>
      <c r="B34" s="31">
        <v>78158788</v>
      </c>
      <c r="C34" s="27">
        <v>38.9</v>
      </c>
      <c r="D34" s="27">
        <v>32.4</v>
      </c>
      <c r="E34" s="41">
        <v>87.41228673977874</v>
      </c>
      <c r="F34" s="19">
        <v>31</v>
      </c>
      <c r="G34" s="19">
        <v>0</v>
      </c>
      <c r="H34" s="19">
        <v>113825.01262406395</v>
      </c>
      <c r="I34" s="27">
        <v>336</v>
      </c>
    </row>
    <row r="35" spans="1:9" ht="12.75" hidden="1">
      <c r="A35" s="3">
        <v>34213</v>
      </c>
      <c r="B35" s="31">
        <v>77946828.4</v>
      </c>
      <c r="C35" s="27">
        <v>246.1</v>
      </c>
      <c r="D35" s="27">
        <v>0</v>
      </c>
      <c r="E35" s="41">
        <v>87.49910322610118</v>
      </c>
      <c r="F35" s="19">
        <v>30</v>
      </c>
      <c r="G35" s="19">
        <v>1</v>
      </c>
      <c r="H35" s="19">
        <v>113820.36182980143</v>
      </c>
      <c r="I35" s="27">
        <v>336</v>
      </c>
    </row>
    <row r="36" spans="1:9" ht="12.75" hidden="1">
      <c r="A36" s="3">
        <v>34243</v>
      </c>
      <c r="B36" s="31">
        <v>90066173.4</v>
      </c>
      <c r="C36" s="27">
        <v>416.3</v>
      </c>
      <c r="D36" s="27">
        <v>0</v>
      </c>
      <c r="E36" s="41">
        <v>87.5860059371705</v>
      </c>
      <c r="F36" s="19">
        <v>31</v>
      </c>
      <c r="G36" s="19">
        <v>1</v>
      </c>
      <c r="H36" s="19">
        <v>113815.71122556645</v>
      </c>
      <c r="I36" s="27">
        <v>320</v>
      </c>
    </row>
    <row r="37" spans="1:9" ht="12.75" hidden="1">
      <c r="A37" s="3">
        <v>34274</v>
      </c>
      <c r="B37" s="31">
        <v>100355817.80000001</v>
      </c>
      <c r="C37" s="27">
        <v>598.9</v>
      </c>
      <c r="D37" s="27">
        <v>0</v>
      </c>
      <c r="E37" s="41">
        <v>87.67299495862372</v>
      </c>
      <c r="F37" s="19">
        <v>30</v>
      </c>
      <c r="G37" s="19">
        <v>1</v>
      </c>
      <c r="H37" s="19">
        <v>113811.06081135126</v>
      </c>
      <c r="I37" s="27">
        <v>352</v>
      </c>
    </row>
    <row r="38" spans="1:9" ht="12.75" hidden="1">
      <c r="A38" s="3">
        <v>34304</v>
      </c>
      <c r="B38" s="31">
        <v>110994320</v>
      </c>
      <c r="C38" s="27">
        <v>640.1</v>
      </c>
      <c r="D38" s="27">
        <v>0</v>
      </c>
      <c r="E38" s="41">
        <v>87.76007037618294</v>
      </c>
      <c r="F38" s="19">
        <v>31</v>
      </c>
      <c r="G38" s="19">
        <v>0</v>
      </c>
      <c r="H38" s="19">
        <v>113806.41058714807</v>
      </c>
      <c r="I38" s="27">
        <v>368</v>
      </c>
    </row>
    <row r="39" spans="1:9" ht="12.75" hidden="1">
      <c r="A39" s="3">
        <v>34335</v>
      </c>
      <c r="B39" s="31">
        <v>125809832.5</v>
      </c>
      <c r="C39" s="27">
        <v>1203.5</v>
      </c>
      <c r="D39" s="27">
        <v>0</v>
      </c>
      <c r="E39" s="41">
        <v>87.8472322756554</v>
      </c>
      <c r="F39" s="19">
        <v>31</v>
      </c>
      <c r="G39" s="19">
        <v>0</v>
      </c>
      <c r="H39" s="19">
        <v>113801.76055294913</v>
      </c>
      <c r="I39" s="27">
        <v>336</v>
      </c>
    </row>
    <row r="40" spans="1:9" ht="12.75" hidden="1">
      <c r="A40" s="3">
        <v>34366</v>
      </c>
      <c r="B40" s="31">
        <v>105725033.4</v>
      </c>
      <c r="C40" s="27">
        <v>923.9</v>
      </c>
      <c r="D40" s="27">
        <v>0</v>
      </c>
      <c r="E40" s="41">
        <v>88.18864135346729</v>
      </c>
      <c r="F40" s="19">
        <v>28</v>
      </c>
      <c r="G40" s="19">
        <v>0</v>
      </c>
      <c r="H40" s="19">
        <v>113797.11070874667</v>
      </c>
      <c r="I40" s="27">
        <v>320</v>
      </c>
    </row>
    <row r="41" spans="1:9" ht="12.75" hidden="1">
      <c r="A41" s="3">
        <v>34394</v>
      </c>
      <c r="B41" s="31">
        <v>97221358.5</v>
      </c>
      <c r="C41" s="27">
        <v>638.5</v>
      </c>
      <c r="D41" s="27">
        <v>0</v>
      </c>
      <c r="E41" s="41">
        <v>88.53137728194245</v>
      </c>
      <c r="F41" s="19">
        <v>31</v>
      </c>
      <c r="G41" s="19">
        <v>1</v>
      </c>
      <c r="H41" s="19">
        <v>113792.46105453293</v>
      </c>
      <c r="I41" s="27">
        <v>352</v>
      </c>
    </row>
    <row r="42" spans="1:9" ht="12.75" hidden="1">
      <c r="A42" s="3">
        <v>34425</v>
      </c>
      <c r="B42" s="31">
        <v>87324024.5</v>
      </c>
      <c r="C42" s="27">
        <v>493.3</v>
      </c>
      <c r="D42" s="27">
        <v>0</v>
      </c>
      <c r="E42" s="41">
        <v>88.8754452177472</v>
      </c>
      <c r="F42" s="19">
        <v>30</v>
      </c>
      <c r="G42" s="19">
        <v>1</v>
      </c>
      <c r="H42" s="19">
        <v>113787.81159030016</v>
      </c>
      <c r="I42" s="27">
        <v>304</v>
      </c>
    </row>
    <row r="43" spans="1:9" ht="12.75" hidden="1">
      <c r="A43" s="3">
        <v>34455</v>
      </c>
      <c r="B43" s="31">
        <v>84579547.80000001</v>
      </c>
      <c r="C43" s="27">
        <v>283.4</v>
      </c>
      <c r="D43" s="27">
        <v>0</v>
      </c>
      <c r="E43" s="41">
        <v>89.22085033758864</v>
      </c>
      <c r="F43" s="19">
        <v>31</v>
      </c>
      <c r="G43" s="19">
        <v>1</v>
      </c>
      <c r="H43" s="19">
        <v>113783.16231604059</v>
      </c>
      <c r="I43" s="27">
        <v>336</v>
      </c>
    </row>
    <row r="44" spans="1:9" ht="12.75" hidden="1">
      <c r="A44" s="3">
        <v>34486</v>
      </c>
      <c r="B44" s="31">
        <v>81303056.4</v>
      </c>
      <c r="C44" s="27">
        <v>89.8</v>
      </c>
      <c r="D44" s="27">
        <v>11.6</v>
      </c>
      <c r="E44" s="41">
        <v>89.56759783829266</v>
      </c>
      <c r="F44" s="19">
        <v>30</v>
      </c>
      <c r="G44" s="19">
        <v>0</v>
      </c>
      <c r="H44" s="19">
        <v>113778.51323174644</v>
      </c>
      <c r="I44" s="27">
        <v>352</v>
      </c>
    </row>
    <row r="45" spans="1:9" ht="12.75" hidden="1">
      <c r="A45" s="3">
        <v>34516</v>
      </c>
      <c r="B45" s="31">
        <v>80691892</v>
      </c>
      <c r="C45" s="27">
        <v>66.6</v>
      </c>
      <c r="D45" s="27">
        <v>10.9</v>
      </c>
      <c r="E45" s="41">
        <v>89.91569293688202</v>
      </c>
      <c r="F45" s="19">
        <v>31</v>
      </c>
      <c r="G45" s="19">
        <v>0</v>
      </c>
      <c r="H45" s="19">
        <v>113773.86433740998</v>
      </c>
      <c r="I45" s="27">
        <v>320</v>
      </c>
    </row>
    <row r="46" spans="1:9" ht="12.75" hidden="1">
      <c r="A46" s="3">
        <v>34547</v>
      </c>
      <c r="B46" s="31">
        <v>81103583</v>
      </c>
      <c r="C46" s="27">
        <v>95.3</v>
      </c>
      <c r="D46" s="27">
        <v>9.2</v>
      </c>
      <c r="E46" s="41">
        <v>90.26514087065495</v>
      </c>
      <c r="F46" s="19">
        <v>31</v>
      </c>
      <c r="G46" s="19">
        <v>0</v>
      </c>
      <c r="H46" s="19">
        <v>113769.21563302343</v>
      </c>
      <c r="I46" s="27">
        <v>352</v>
      </c>
    </row>
    <row r="47" spans="1:9" ht="12.75" hidden="1">
      <c r="A47" s="3">
        <v>34578</v>
      </c>
      <c r="B47" s="31">
        <v>81378776</v>
      </c>
      <c r="C47" s="27">
        <v>137.8</v>
      </c>
      <c r="D47" s="27">
        <v>1.2</v>
      </c>
      <c r="E47" s="41">
        <v>90.61594689726383</v>
      </c>
      <c r="F47" s="19">
        <v>30</v>
      </c>
      <c r="G47" s="19">
        <v>1</v>
      </c>
      <c r="H47" s="19">
        <v>113764.56711857903</v>
      </c>
      <c r="I47" s="27">
        <v>336</v>
      </c>
    </row>
    <row r="48" spans="1:9" ht="12.75" hidden="1">
      <c r="A48" s="3">
        <v>34608</v>
      </c>
      <c r="B48" s="31">
        <v>88820452.5</v>
      </c>
      <c r="C48" s="27">
        <v>321.4</v>
      </c>
      <c r="D48" s="27">
        <v>0</v>
      </c>
      <c r="E48" s="41">
        <v>90.9681162947944</v>
      </c>
      <c r="F48" s="19">
        <v>31</v>
      </c>
      <c r="G48" s="19">
        <v>1</v>
      </c>
      <c r="H48" s="19">
        <v>113759.91879406902</v>
      </c>
      <c r="I48" s="27">
        <v>320</v>
      </c>
    </row>
    <row r="49" spans="1:9" ht="12.75" hidden="1">
      <c r="A49" s="3">
        <v>34639</v>
      </c>
      <c r="B49" s="31">
        <v>97858469.80000001</v>
      </c>
      <c r="C49" s="27">
        <v>553.4</v>
      </c>
      <c r="D49" s="27">
        <v>0</v>
      </c>
      <c r="E49" s="41">
        <v>91.3216543618451</v>
      </c>
      <c r="F49" s="19">
        <v>30</v>
      </c>
      <c r="G49" s="19">
        <v>1</v>
      </c>
      <c r="H49" s="19">
        <v>113755.27065948563</v>
      </c>
      <c r="I49" s="27">
        <v>352</v>
      </c>
    </row>
    <row r="50" spans="1:9" ht="12.75" hidden="1">
      <c r="A50" s="3">
        <v>34669</v>
      </c>
      <c r="B50" s="31">
        <v>109478297.9</v>
      </c>
      <c r="C50" s="27">
        <v>761.8</v>
      </c>
      <c r="D50" s="27">
        <v>0</v>
      </c>
      <c r="E50" s="41">
        <v>91.67656641760686</v>
      </c>
      <c r="F50" s="19">
        <v>31</v>
      </c>
      <c r="G50" s="19">
        <v>0</v>
      </c>
      <c r="H50" s="19">
        <v>113750.62271482112</v>
      </c>
      <c r="I50" s="27">
        <v>336</v>
      </c>
    </row>
    <row r="51" spans="1:9" ht="12.75" hidden="1">
      <c r="A51" s="3">
        <v>34700</v>
      </c>
      <c r="B51" s="31">
        <v>111622381</v>
      </c>
      <c r="C51" s="27">
        <v>913.3</v>
      </c>
      <c r="D51" s="27">
        <v>0</v>
      </c>
      <c r="E51" s="41">
        <v>92.03285780194305</v>
      </c>
      <c r="F51" s="19">
        <v>31</v>
      </c>
      <c r="G51" s="19">
        <v>0</v>
      </c>
      <c r="H51" s="19">
        <v>113745.97496006772</v>
      </c>
      <c r="I51" s="27">
        <v>352</v>
      </c>
    </row>
    <row r="52" spans="1:9" ht="12.75" hidden="1">
      <c r="A52" s="3">
        <v>34731</v>
      </c>
      <c r="B52" s="31">
        <v>100830370.4</v>
      </c>
      <c r="C52" s="27">
        <v>874.6</v>
      </c>
      <c r="D52" s="27">
        <v>0</v>
      </c>
      <c r="E52" s="41">
        <v>92.3295860875896</v>
      </c>
      <c r="F52" s="19">
        <v>28</v>
      </c>
      <c r="G52" s="19">
        <v>0</v>
      </c>
      <c r="H52" s="19">
        <v>113741.32739521765</v>
      </c>
      <c r="I52" s="27">
        <v>320</v>
      </c>
    </row>
    <row r="53" spans="1:9" ht="12.75" hidden="1">
      <c r="A53" s="3">
        <v>34759</v>
      </c>
      <c r="B53" s="31">
        <v>100266594.19999999</v>
      </c>
      <c r="C53" s="27">
        <v>696.5</v>
      </c>
      <c r="D53" s="27">
        <v>0</v>
      </c>
      <c r="E53" s="41">
        <v>92.62727107150246</v>
      </c>
      <c r="F53" s="19">
        <v>31</v>
      </c>
      <c r="G53" s="19">
        <v>1</v>
      </c>
      <c r="H53" s="19">
        <v>113736.68002026319</v>
      </c>
      <c r="I53" s="27">
        <v>368</v>
      </c>
    </row>
    <row r="54" spans="1:9" ht="12.75" hidden="1">
      <c r="A54" s="3">
        <v>34790</v>
      </c>
      <c r="B54" s="31">
        <v>90842133.5</v>
      </c>
      <c r="C54" s="27">
        <v>524.1</v>
      </c>
      <c r="D54" s="27">
        <v>0</v>
      </c>
      <c r="E54" s="41">
        <v>92.92591583822603</v>
      </c>
      <c r="F54" s="19">
        <v>30</v>
      </c>
      <c r="G54" s="19">
        <v>1</v>
      </c>
      <c r="H54" s="19">
        <v>113732.03283519654</v>
      </c>
      <c r="I54" s="27">
        <v>288</v>
      </c>
    </row>
    <row r="55" spans="1:9" ht="12.75" hidden="1">
      <c r="A55" s="3">
        <v>34820</v>
      </c>
      <c r="B55" s="31">
        <v>86034083.1</v>
      </c>
      <c r="C55" s="27">
        <v>256.9</v>
      </c>
      <c r="D55" s="27">
        <v>10.7</v>
      </c>
      <c r="E55" s="41">
        <v>93.22552348224977</v>
      </c>
      <c r="F55" s="19">
        <v>31</v>
      </c>
      <c r="G55" s="19">
        <v>1</v>
      </c>
      <c r="H55" s="19">
        <v>113727.38584000999</v>
      </c>
      <c r="I55" s="27">
        <v>352</v>
      </c>
    </row>
    <row r="56" spans="1:9" ht="12.75" hidden="1">
      <c r="A56" s="3">
        <v>34851</v>
      </c>
      <c r="B56" s="31">
        <v>83206971.7</v>
      </c>
      <c r="C56" s="27">
        <v>74.7</v>
      </c>
      <c r="D56" s="27">
        <v>24.5</v>
      </c>
      <c r="E56" s="41">
        <v>93.52609710804025</v>
      </c>
      <c r="F56" s="19">
        <v>30</v>
      </c>
      <c r="G56" s="19">
        <v>0</v>
      </c>
      <c r="H56" s="19">
        <v>113722.73903469574</v>
      </c>
      <c r="I56" s="27">
        <v>352</v>
      </c>
    </row>
    <row r="57" spans="1:9" ht="12.75" hidden="1">
      <c r="A57" s="3">
        <v>34881</v>
      </c>
      <c r="B57" s="31">
        <v>82382379</v>
      </c>
      <c r="C57" s="27">
        <v>49.9</v>
      </c>
      <c r="D57" s="27">
        <v>15.9</v>
      </c>
      <c r="E57" s="41">
        <v>93.82763983007332</v>
      </c>
      <c r="F57" s="19">
        <v>31</v>
      </c>
      <c r="G57" s="19">
        <v>0</v>
      </c>
      <c r="H57" s="19">
        <v>113718.09241924605</v>
      </c>
      <c r="I57" s="27">
        <v>320</v>
      </c>
    </row>
    <row r="58" spans="1:9" ht="12.75" hidden="1">
      <c r="A58" s="3">
        <v>34912</v>
      </c>
      <c r="B58" s="31">
        <v>82223426</v>
      </c>
      <c r="C58" s="27">
        <v>38.6</v>
      </c>
      <c r="D58" s="27">
        <v>33.6</v>
      </c>
      <c r="E58" s="41">
        <v>94.13015477286642</v>
      </c>
      <c r="F58" s="19">
        <v>31</v>
      </c>
      <c r="G58" s="19">
        <v>0</v>
      </c>
      <c r="H58" s="19">
        <v>113713.44599365315</v>
      </c>
      <c r="I58" s="27">
        <v>352</v>
      </c>
    </row>
    <row r="59" spans="1:9" ht="12.75" hidden="1">
      <c r="A59" s="3">
        <v>34943</v>
      </c>
      <c r="B59" s="31">
        <v>78834347.1</v>
      </c>
      <c r="C59" s="27">
        <v>229.4</v>
      </c>
      <c r="D59" s="27">
        <v>9.8</v>
      </c>
      <c r="E59" s="41">
        <v>94.43364507101086</v>
      </c>
      <c r="F59" s="19">
        <v>30</v>
      </c>
      <c r="G59" s="19">
        <v>1</v>
      </c>
      <c r="H59" s="19">
        <v>113708.79975790929</v>
      </c>
      <c r="I59" s="27">
        <v>320</v>
      </c>
    </row>
    <row r="60" spans="1:9" ht="12.75" hidden="1">
      <c r="A60" s="3">
        <v>34973</v>
      </c>
      <c r="B60" s="31">
        <v>89407204.6</v>
      </c>
      <c r="C60" s="27">
        <v>397</v>
      </c>
      <c r="D60" s="27">
        <v>0</v>
      </c>
      <c r="E60" s="41">
        <v>94.73811386920441</v>
      </c>
      <c r="F60" s="19">
        <v>31</v>
      </c>
      <c r="G60" s="19">
        <v>1</v>
      </c>
      <c r="H60" s="19">
        <v>113704.15371200672</v>
      </c>
      <c r="I60" s="27">
        <v>336</v>
      </c>
    </row>
    <row r="61" spans="1:9" ht="12.75" hidden="1">
      <c r="A61" s="3">
        <v>35004</v>
      </c>
      <c r="B61" s="31">
        <v>104692338.8</v>
      </c>
      <c r="C61" s="27">
        <v>804.2</v>
      </c>
      <c r="D61" s="27">
        <v>0</v>
      </c>
      <c r="E61" s="41">
        <v>95.04356432228381</v>
      </c>
      <c r="F61" s="19">
        <v>30</v>
      </c>
      <c r="G61" s="19">
        <v>1</v>
      </c>
      <c r="H61" s="19">
        <v>113699.50785593769</v>
      </c>
      <c r="I61" s="27">
        <v>352</v>
      </c>
    </row>
    <row r="62" spans="1:9" ht="12.75" hidden="1">
      <c r="A62" s="3">
        <v>35034</v>
      </c>
      <c r="B62" s="31">
        <v>114233386.7</v>
      </c>
      <c r="C62" s="27">
        <v>958.9</v>
      </c>
      <c r="D62" s="27">
        <v>0</v>
      </c>
      <c r="E62" s="41">
        <v>95.34999959525751</v>
      </c>
      <c r="F62" s="19">
        <v>31</v>
      </c>
      <c r="G62" s="19">
        <v>0</v>
      </c>
      <c r="H62" s="19">
        <v>113694.86218969441</v>
      </c>
      <c r="I62" s="27">
        <v>336</v>
      </c>
    </row>
    <row r="63" spans="1:13" ht="12.75">
      <c r="A63" s="3">
        <v>35796</v>
      </c>
      <c r="B63" s="47">
        <v>51018028</v>
      </c>
      <c r="C63" s="50">
        <v>629.3</v>
      </c>
      <c r="D63" s="50">
        <v>0</v>
      </c>
      <c r="E63" s="40">
        <f aca="true" t="shared" si="0" ref="E63:E72">+E64-0.4</f>
        <v>100.39999999999993</v>
      </c>
      <c r="F63" s="10">
        <v>31</v>
      </c>
      <c r="G63" s="10">
        <v>0</v>
      </c>
      <c r="H63" s="52">
        <f aca="true" t="shared" si="1" ref="H63:H73">+H64-20</f>
        <v>41047</v>
      </c>
      <c r="I63" s="10">
        <v>336.288</v>
      </c>
      <c r="J63" s="10">
        <f>$N$79+C63*$N$80+D63*$N$81+E63*$N$82+F63*$N$83+G63*$N$84+H63*$N$85+I63*$N$86</f>
        <v>49566802.15987129</v>
      </c>
      <c r="K63" s="10"/>
      <c r="L63" s="15"/>
      <c r="M63" t="s">
        <v>33</v>
      </c>
    </row>
    <row r="64" spans="1:12" ht="13.5" thickBot="1">
      <c r="A64" s="3">
        <v>35827</v>
      </c>
      <c r="B64" s="47">
        <v>46268713</v>
      </c>
      <c r="C64" s="50">
        <v>522.7</v>
      </c>
      <c r="D64" s="50">
        <v>0</v>
      </c>
      <c r="E64" s="40">
        <f t="shared" si="0"/>
        <v>100.79999999999994</v>
      </c>
      <c r="F64" s="10">
        <v>28</v>
      </c>
      <c r="G64" s="10">
        <v>0</v>
      </c>
      <c r="H64" s="52">
        <f t="shared" si="1"/>
        <v>41067</v>
      </c>
      <c r="I64" s="10">
        <v>319.872</v>
      </c>
      <c r="J64" s="10">
        <f aca="true" t="shared" si="2" ref="J64:J127">$N$79+C64*$N$80+D64*$N$81+E64*$N$82+F64*$N$83+G64*$N$84+H64*$N$85+I64*$N$86</f>
        <v>45851317.77731224</v>
      </c>
      <c r="K64" s="10"/>
      <c r="L64" s="15"/>
    </row>
    <row r="65" spans="1:14" ht="12.75">
      <c r="A65" s="3">
        <v>35855</v>
      </c>
      <c r="B65" s="47">
        <v>50209423</v>
      </c>
      <c r="C65" s="50">
        <v>517.6</v>
      </c>
      <c r="D65" s="50">
        <v>1</v>
      </c>
      <c r="E65" s="40">
        <f t="shared" si="0"/>
        <v>101.19999999999995</v>
      </c>
      <c r="F65" s="10">
        <v>31</v>
      </c>
      <c r="G65" s="10">
        <v>1</v>
      </c>
      <c r="H65" s="52">
        <f t="shared" si="1"/>
        <v>41087</v>
      </c>
      <c r="I65" s="10">
        <v>351.912</v>
      </c>
      <c r="J65" s="10">
        <f t="shared" si="2"/>
        <v>49082973.4273876</v>
      </c>
      <c r="K65" s="10"/>
      <c r="L65" s="15"/>
      <c r="M65" s="64" t="s">
        <v>34</v>
      </c>
      <c r="N65" s="64"/>
    </row>
    <row r="66" spans="1:14" ht="12.75">
      <c r="A66" s="3">
        <v>35886</v>
      </c>
      <c r="B66" s="47">
        <v>44154709</v>
      </c>
      <c r="C66" s="50">
        <v>311</v>
      </c>
      <c r="D66" s="50">
        <v>0</v>
      </c>
      <c r="E66" s="40">
        <f t="shared" si="0"/>
        <v>101.59999999999995</v>
      </c>
      <c r="F66" s="10">
        <v>30</v>
      </c>
      <c r="G66" s="10">
        <v>1</v>
      </c>
      <c r="H66" s="52">
        <f t="shared" si="1"/>
        <v>41107</v>
      </c>
      <c r="I66" s="10">
        <v>336.24</v>
      </c>
      <c r="J66" s="10">
        <f t="shared" si="2"/>
        <v>45449239.915442355</v>
      </c>
      <c r="K66" s="10"/>
      <c r="L66" s="15"/>
      <c r="M66" s="42" t="s">
        <v>35</v>
      </c>
      <c r="N66" s="42">
        <v>0.8876491381842341</v>
      </c>
    </row>
    <row r="67" spans="1:14" ht="12.75">
      <c r="A67" s="3">
        <v>35916</v>
      </c>
      <c r="B67" s="47">
        <v>44633793</v>
      </c>
      <c r="C67" s="50">
        <v>67.1</v>
      </c>
      <c r="D67" s="50">
        <v>30.4</v>
      </c>
      <c r="E67" s="40">
        <f t="shared" si="0"/>
        <v>101.99999999999996</v>
      </c>
      <c r="F67" s="10">
        <v>31</v>
      </c>
      <c r="G67" s="10">
        <v>1</v>
      </c>
      <c r="H67" s="52">
        <f t="shared" si="1"/>
        <v>41127</v>
      </c>
      <c r="I67" s="10">
        <v>319.92</v>
      </c>
      <c r="J67" s="10">
        <f t="shared" si="2"/>
        <v>44285951.77361604</v>
      </c>
      <c r="K67" s="10"/>
      <c r="L67" s="15"/>
      <c r="M67" s="42" t="s">
        <v>36</v>
      </c>
      <c r="N67" s="42">
        <v>0.7879209925192134</v>
      </c>
    </row>
    <row r="68" spans="1:14" ht="12.75">
      <c r="A68" s="3">
        <v>35947</v>
      </c>
      <c r="B68" s="47">
        <v>46349722</v>
      </c>
      <c r="C68" s="50">
        <v>65.8</v>
      </c>
      <c r="D68" s="50">
        <v>74.4</v>
      </c>
      <c r="E68" s="40">
        <f t="shared" si="0"/>
        <v>102.39999999999996</v>
      </c>
      <c r="F68" s="10">
        <v>30</v>
      </c>
      <c r="G68" s="10">
        <v>0</v>
      </c>
      <c r="H68" s="52">
        <f t="shared" si="1"/>
        <v>41147</v>
      </c>
      <c r="I68" s="10">
        <v>352.08</v>
      </c>
      <c r="J68" s="10">
        <f t="shared" si="2"/>
        <v>47813511.58093053</v>
      </c>
      <c r="K68" s="10"/>
      <c r="L68" s="15"/>
      <c r="M68" s="42" t="s">
        <v>37</v>
      </c>
      <c r="N68" s="42">
        <v>0.7759487904840078</v>
      </c>
    </row>
    <row r="69" spans="1:14" ht="12.75">
      <c r="A69" s="3">
        <v>35977</v>
      </c>
      <c r="B69" s="47">
        <v>45612894</v>
      </c>
      <c r="C69" s="50">
        <v>7.4</v>
      </c>
      <c r="D69" s="50">
        <v>77</v>
      </c>
      <c r="E69" s="40">
        <f t="shared" si="0"/>
        <v>102.79999999999997</v>
      </c>
      <c r="F69" s="10">
        <v>31</v>
      </c>
      <c r="G69" s="10">
        <v>0</v>
      </c>
      <c r="H69" s="52">
        <f t="shared" si="1"/>
        <v>41167</v>
      </c>
      <c r="I69" s="10">
        <v>351.912</v>
      </c>
      <c r="J69" s="10">
        <f t="shared" si="2"/>
        <v>47997975.39101092</v>
      </c>
      <c r="K69" s="10"/>
      <c r="L69" s="15"/>
      <c r="M69" s="42" t="s">
        <v>38</v>
      </c>
      <c r="N69" s="42">
        <v>1528529.1900013874</v>
      </c>
    </row>
    <row r="70" spans="1:14" ht="13.5" thickBot="1">
      <c r="A70" s="3">
        <v>36008</v>
      </c>
      <c r="B70" s="47">
        <v>48364165</v>
      </c>
      <c r="C70" s="50">
        <v>7.1</v>
      </c>
      <c r="D70" s="50">
        <v>88.1</v>
      </c>
      <c r="E70" s="40">
        <f t="shared" si="0"/>
        <v>103.19999999999997</v>
      </c>
      <c r="F70" s="10">
        <v>31</v>
      </c>
      <c r="G70" s="10">
        <v>0</v>
      </c>
      <c r="H70" s="52">
        <f t="shared" si="1"/>
        <v>41187</v>
      </c>
      <c r="I70" s="10">
        <v>319.92</v>
      </c>
      <c r="J70" s="10">
        <f t="shared" si="2"/>
        <v>47202099.82616501</v>
      </c>
      <c r="K70" s="10"/>
      <c r="L70" s="15"/>
      <c r="M70" s="43" t="s">
        <v>39</v>
      </c>
      <c r="N70" s="43">
        <v>132</v>
      </c>
    </row>
    <row r="71" spans="1:12" ht="12.75">
      <c r="A71" s="3">
        <v>36039</v>
      </c>
      <c r="B71" s="47">
        <v>46175407</v>
      </c>
      <c r="C71" s="50">
        <v>49.3</v>
      </c>
      <c r="D71" s="50">
        <v>40</v>
      </c>
      <c r="E71" s="40">
        <f t="shared" si="0"/>
        <v>103.59999999999998</v>
      </c>
      <c r="F71" s="10">
        <v>30</v>
      </c>
      <c r="G71" s="10">
        <v>1</v>
      </c>
      <c r="H71" s="52">
        <f t="shared" si="1"/>
        <v>41207</v>
      </c>
      <c r="I71" s="10">
        <v>336.24</v>
      </c>
      <c r="J71" s="10">
        <f t="shared" si="2"/>
        <v>45131723.60054634</v>
      </c>
      <c r="K71" s="10"/>
      <c r="L71" s="15"/>
    </row>
    <row r="72" spans="1:13" ht="13.5" thickBot="1">
      <c r="A72" s="3">
        <v>36069</v>
      </c>
      <c r="B72" s="47">
        <v>46878180</v>
      </c>
      <c r="C72" s="50">
        <v>234.6</v>
      </c>
      <c r="D72" s="50">
        <v>0</v>
      </c>
      <c r="E72" s="40">
        <f t="shared" si="0"/>
        <v>103.99999999999999</v>
      </c>
      <c r="F72" s="10">
        <v>31</v>
      </c>
      <c r="G72" s="10">
        <v>1</v>
      </c>
      <c r="H72" s="52">
        <f t="shared" si="1"/>
        <v>41227</v>
      </c>
      <c r="I72" s="10">
        <v>336.288</v>
      </c>
      <c r="J72" s="10">
        <f t="shared" si="2"/>
        <v>45783124.77102215</v>
      </c>
      <c r="K72" s="10"/>
      <c r="L72" s="15"/>
      <c r="M72" t="s">
        <v>40</v>
      </c>
    </row>
    <row r="73" spans="1:18" ht="12.75">
      <c r="A73" s="3">
        <v>36100</v>
      </c>
      <c r="B73" s="47">
        <v>48330562</v>
      </c>
      <c r="C73" s="50">
        <v>416.9</v>
      </c>
      <c r="D73" s="50">
        <v>0</v>
      </c>
      <c r="E73" s="40">
        <f>+E74-0.4</f>
        <v>104.39999999999999</v>
      </c>
      <c r="F73" s="10">
        <v>30</v>
      </c>
      <c r="G73" s="10">
        <v>1</v>
      </c>
      <c r="H73" s="52">
        <f t="shared" si="1"/>
        <v>41247</v>
      </c>
      <c r="I73" s="10">
        <v>336.24</v>
      </c>
      <c r="J73" s="10">
        <f t="shared" si="2"/>
        <v>47320802.48093066</v>
      </c>
      <c r="K73" s="10"/>
      <c r="L73" s="15"/>
      <c r="M73" s="63"/>
      <c r="N73" s="63" t="s">
        <v>44</v>
      </c>
      <c r="O73" s="63" t="s">
        <v>45</v>
      </c>
      <c r="P73" s="63" t="s">
        <v>46</v>
      </c>
      <c r="Q73" s="63" t="s">
        <v>47</v>
      </c>
      <c r="R73" s="63" t="s">
        <v>48</v>
      </c>
    </row>
    <row r="74" spans="1:18" ht="12.75">
      <c r="A74" s="3">
        <v>36130</v>
      </c>
      <c r="B74" s="47">
        <v>49121753</v>
      </c>
      <c r="C74" s="50">
        <v>560.2</v>
      </c>
      <c r="D74" s="50">
        <v>0</v>
      </c>
      <c r="E74" s="40">
        <v>104.8</v>
      </c>
      <c r="F74" s="10">
        <v>31</v>
      </c>
      <c r="G74" s="10">
        <v>0</v>
      </c>
      <c r="H74" s="52">
        <f>+H75-20</f>
        <v>41267</v>
      </c>
      <c r="I74" s="10">
        <v>336.288</v>
      </c>
      <c r="J74" s="10">
        <f t="shared" si="2"/>
        <v>49848476.041381754</v>
      </c>
      <c r="K74" s="10"/>
      <c r="L74" s="15"/>
      <c r="M74" s="42" t="s">
        <v>41</v>
      </c>
      <c r="N74" s="42">
        <v>7</v>
      </c>
      <c r="O74" s="42">
        <v>1076351568347078.9</v>
      </c>
      <c r="P74" s="42">
        <v>153764509763868.4</v>
      </c>
      <c r="Q74" s="42">
        <v>65.81253725941454</v>
      </c>
      <c r="R74" s="42">
        <v>9.512002151036145E-39</v>
      </c>
    </row>
    <row r="75" spans="1:18" ht="12.75">
      <c r="A75" s="3">
        <v>36161</v>
      </c>
      <c r="B75" s="47">
        <v>53791132</v>
      </c>
      <c r="C75" s="50">
        <v>767.7</v>
      </c>
      <c r="D75" s="50">
        <v>0</v>
      </c>
      <c r="E75" s="40">
        <f aca="true" t="shared" si="3" ref="E75:E84">+E76-0.66</f>
        <v>105.44000000000004</v>
      </c>
      <c r="F75" s="10">
        <v>31</v>
      </c>
      <c r="G75" s="10">
        <v>0</v>
      </c>
      <c r="H75" s="52">
        <v>41287</v>
      </c>
      <c r="I75" s="10">
        <v>319.92</v>
      </c>
      <c r="J75" s="10">
        <f t="shared" si="2"/>
        <v>51652235.98553949</v>
      </c>
      <c r="K75" s="10"/>
      <c r="L75" s="15"/>
      <c r="M75" s="42" t="s">
        <v>42</v>
      </c>
      <c r="N75" s="42">
        <v>124</v>
      </c>
      <c r="O75" s="42">
        <v>289713784101100.9</v>
      </c>
      <c r="P75" s="42">
        <v>2336401484686.2974</v>
      </c>
      <c r="Q75" s="42"/>
      <c r="R75" s="42"/>
    </row>
    <row r="76" spans="1:18" ht="13.5" thickBot="1">
      <c r="A76" s="3">
        <v>36192</v>
      </c>
      <c r="B76" s="47">
        <v>47995956</v>
      </c>
      <c r="C76" s="50">
        <v>563.7</v>
      </c>
      <c r="D76" s="50">
        <v>0</v>
      </c>
      <c r="E76" s="40">
        <f t="shared" si="3"/>
        <v>106.10000000000004</v>
      </c>
      <c r="F76" s="10">
        <v>28</v>
      </c>
      <c r="G76" s="10">
        <v>0</v>
      </c>
      <c r="H76" s="52">
        <f>+H75+21</f>
        <v>41308</v>
      </c>
      <c r="I76" s="10">
        <v>319.872</v>
      </c>
      <c r="J76" s="10">
        <f t="shared" si="2"/>
        <v>47727536.33962496</v>
      </c>
      <c r="K76" s="10"/>
      <c r="L76" s="15"/>
      <c r="M76" s="43" t="s">
        <v>15</v>
      </c>
      <c r="N76" s="43">
        <v>131</v>
      </c>
      <c r="O76" s="43">
        <v>1366065352448179.8</v>
      </c>
      <c r="P76" s="43"/>
      <c r="Q76" s="43"/>
      <c r="R76" s="43"/>
    </row>
    <row r="77" spans="1:12" ht="13.5" thickBot="1">
      <c r="A77" s="3">
        <v>36220</v>
      </c>
      <c r="B77" s="47">
        <v>51804580</v>
      </c>
      <c r="C77" s="50">
        <v>601.3</v>
      </c>
      <c r="D77" s="50">
        <v>0</v>
      </c>
      <c r="E77" s="40">
        <f>+E78-0.66</f>
        <v>106.76000000000003</v>
      </c>
      <c r="F77" s="10">
        <v>31</v>
      </c>
      <c r="G77" s="10">
        <v>1</v>
      </c>
      <c r="H77" s="52">
        <f aca="true" t="shared" si="4" ref="H77:H98">+H76+21</f>
        <v>41329</v>
      </c>
      <c r="I77" s="10">
        <v>368.28</v>
      </c>
      <c r="J77" s="10">
        <f t="shared" si="2"/>
        <v>52278071.16363566</v>
      </c>
      <c r="K77" s="10"/>
      <c r="L77" s="15"/>
    </row>
    <row r="78" spans="1:21" ht="12.75">
      <c r="A78" s="3">
        <v>36251</v>
      </c>
      <c r="B78" s="47">
        <v>45475668</v>
      </c>
      <c r="C78" s="50">
        <v>315.6</v>
      </c>
      <c r="D78" s="50">
        <v>0</v>
      </c>
      <c r="E78" s="40">
        <f t="shared" si="3"/>
        <v>107.42000000000003</v>
      </c>
      <c r="F78" s="10">
        <v>30</v>
      </c>
      <c r="G78" s="10">
        <v>1</v>
      </c>
      <c r="H78" s="52">
        <f>+H77+21</f>
        <v>41350</v>
      </c>
      <c r="I78" s="10">
        <v>336.24</v>
      </c>
      <c r="J78" s="10">
        <f t="shared" si="2"/>
        <v>47174059.30664877</v>
      </c>
      <c r="K78" s="10"/>
      <c r="L78" s="15"/>
      <c r="M78" s="63"/>
      <c r="N78" s="63" t="s">
        <v>49</v>
      </c>
      <c r="O78" s="63" t="s">
        <v>38</v>
      </c>
      <c r="P78" s="63" t="s">
        <v>50</v>
      </c>
      <c r="Q78" s="63" t="s">
        <v>51</v>
      </c>
      <c r="R78" s="63" t="s">
        <v>52</v>
      </c>
      <c r="S78" s="63" t="s">
        <v>53</v>
      </c>
      <c r="T78" s="63" t="s">
        <v>54</v>
      </c>
      <c r="U78" s="63" t="s">
        <v>55</v>
      </c>
    </row>
    <row r="79" spans="1:21" ht="12.75">
      <c r="A79" s="3">
        <v>36281</v>
      </c>
      <c r="B79" s="47">
        <v>45790093</v>
      </c>
      <c r="C79" s="50">
        <v>113.3</v>
      </c>
      <c r="D79" s="50">
        <v>16</v>
      </c>
      <c r="E79" s="40">
        <f t="shared" si="3"/>
        <v>108.08000000000003</v>
      </c>
      <c r="F79" s="10">
        <v>31</v>
      </c>
      <c r="G79" s="10">
        <v>1</v>
      </c>
      <c r="H79" s="52">
        <f t="shared" si="4"/>
        <v>41371</v>
      </c>
      <c r="I79" s="10">
        <v>319.92</v>
      </c>
      <c r="J79" s="10">
        <f t="shared" si="2"/>
        <v>45834578.251748346</v>
      </c>
      <c r="K79" s="10"/>
      <c r="L79" s="15"/>
      <c r="M79" s="42" t="s">
        <v>43</v>
      </c>
      <c r="N79" s="42">
        <v>184857724.99210078</v>
      </c>
      <c r="O79" s="42">
        <v>35324995.597048976</v>
      </c>
      <c r="P79" s="42">
        <v>5.233057269157697</v>
      </c>
      <c r="Q79" s="42">
        <v>6.890406649196441E-07</v>
      </c>
      <c r="R79" s="42">
        <v>114939664.48336643</v>
      </c>
      <c r="S79" s="42">
        <v>254775785.50083512</v>
      </c>
      <c r="T79" s="42">
        <v>114939664.48336643</v>
      </c>
      <c r="U79" s="42">
        <v>254775785.50083512</v>
      </c>
    </row>
    <row r="80" spans="1:21" ht="12.75">
      <c r="A80" s="3">
        <v>36312</v>
      </c>
      <c r="B80" s="47">
        <v>50412165</v>
      </c>
      <c r="C80" s="50">
        <v>39.6</v>
      </c>
      <c r="D80" s="50">
        <v>87.6</v>
      </c>
      <c r="E80" s="40">
        <f t="shared" si="3"/>
        <v>108.74000000000002</v>
      </c>
      <c r="F80" s="10">
        <v>30</v>
      </c>
      <c r="G80" s="10">
        <v>0</v>
      </c>
      <c r="H80" s="52">
        <f t="shared" si="4"/>
        <v>41392</v>
      </c>
      <c r="I80" s="10">
        <v>352.08</v>
      </c>
      <c r="J80" s="10">
        <f t="shared" si="2"/>
        <v>50161256.62251395</v>
      </c>
      <c r="K80" s="10"/>
      <c r="L80" s="15"/>
      <c r="M80" s="42" t="s">
        <v>87</v>
      </c>
      <c r="N80" s="42">
        <v>11291.684489747671</v>
      </c>
      <c r="O80" s="42">
        <v>930.964164440384</v>
      </c>
      <c r="P80" s="42">
        <v>12.129021632680422</v>
      </c>
      <c r="Q80" s="42">
        <v>8.337789102567229E-23</v>
      </c>
      <c r="R80" s="42">
        <v>9449.045653403591</v>
      </c>
      <c r="S80" s="42">
        <v>13134.323326091751</v>
      </c>
      <c r="T80" s="42">
        <v>9449.045653403591</v>
      </c>
      <c r="U80" s="42">
        <v>13134.323326091751</v>
      </c>
    </row>
    <row r="81" spans="1:21" ht="12.75">
      <c r="A81" s="3">
        <v>36342</v>
      </c>
      <c r="B81" s="47">
        <v>50105483</v>
      </c>
      <c r="C81" s="50">
        <v>3</v>
      </c>
      <c r="D81" s="50">
        <v>135.7</v>
      </c>
      <c r="E81" s="40">
        <f t="shared" si="3"/>
        <v>109.40000000000002</v>
      </c>
      <c r="F81" s="10">
        <v>31</v>
      </c>
      <c r="G81" s="10">
        <v>0</v>
      </c>
      <c r="H81" s="52">
        <f t="shared" si="4"/>
        <v>41413</v>
      </c>
      <c r="I81" s="10">
        <v>336.288</v>
      </c>
      <c r="J81" s="10">
        <f t="shared" si="2"/>
        <v>52446594.1299491</v>
      </c>
      <c r="K81" s="10"/>
      <c r="L81" s="15"/>
      <c r="M81" s="42" t="s">
        <v>88</v>
      </c>
      <c r="N81" s="42">
        <v>53870.55972277326</v>
      </c>
      <c r="O81" s="42">
        <v>7357.351600166121</v>
      </c>
      <c r="P81" s="42">
        <v>7.32200425511225</v>
      </c>
      <c r="Q81" s="42">
        <v>2.7022055754997018E-11</v>
      </c>
      <c r="R81" s="42">
        <v>39308.30017623783</v>
      </c>
      <c r="S81" s="42">
        <v>68432.81926930869</v>
      </c>
      <c r="T81" s="42">
        <v>39308.30017623783</v>
      </c>
      <c r="U81" s="42">
        <v>68432.81926930869</v>
      </c>
    </row>
    <row r="82" spans="1:21" ht="12.75">
      <c r="A82" s="3">
        <v>36373</v>
      </c>
      <c r="B82" s="47">
        <v>49455038</v>
      </c>
      <c r="C82" s="50">
        <v>25.9</v>
      </c>
      <c r="D82" s="50">
        <v>38.5</v>
      </c>
      <c r="E82" s="40">
        <f t="shared" si="3"/>
        <v>110.06000000000002</v>
      </c>
      <c r="F82" s="10">
        <v>31</v>
      </c>
      <c r="G82" s="10">
        <v>0</v>
      </c>
      <c r="H82" s="52">
        <f t="shared" si="4"/>
        <v>41434</v>
      </c>
      <c r="I82" s="10">
        <v>336.288</v>
      </c>
      <c r="J82" s="10">
        <f t="shared" si="2"/>
        <v>47695303.39730302</v>
      </c>
      <c r="K82" s="10"/>
      <c r="L82" s="15"/>
      <c r="M82" s="42" t="s">
        <v>89</v>
      </c>
      <c r="N82" s="42">
        <v>520758.8370361513</v>
      </c>
      <c r="O82" s="42">
        <v>66199.64220645784</v>
      </c>
      <c r="P82" s="42">
        <v>7.866490205672906</v>
      </c>
      <c r="Q82" s="42">
        <v>1.534662291338771E-12</v>
      </c>
      <c r="R82" s="42">
        <v>389731.20316903346</v>
      </c>
      <c r="S82" s="42">
        <v>651786.4709032691</v>
      </c>
      <c r="T82" s="42">
        <v>389731.20316903346</v>
      </c>
      <c r="U82" s="42">
        <v>651786.4709032691</v>
      </c>
    </row>
    <row r="83" spans="1:21" ht="12.75">
      <c r="A83" s="3">
        <v>36404</v>
      </c>
      <c r="B83" s="47">
        <v>47919668</v>
      </c>
      <c r="C83" s="50">
        <v>75.5</v>
      </c>
      <c r="D83" s="50">
        <v>27.8</v>
      </c>
      <c r="E83" s="40">
        <f t="shared" si="3"/>
        <v>110.72000000000001</v>
      </c>
      <c r="F83" s="10">
        <v>30</v>
      </c>
      <c r="G83" s="10">
        <v>1</v>
      </c>
      <c r="H83" s="52">
        <f t="shared" si="4"/>
        <v>41455</v>
      </c>
      <c r="I83" s="10">
        <v>336.24</v>
      </c>
      <c r="J83" s="10">
        <f t="shared" si="2"/>
        <v>47092267.90891487</v>
      </c>
      <c r="K83" s="10"/>
      <c r="L83" s="15"/>
      <c r="M83" s="42" t="s">
        <v>90</v>
      </c>
      <c r="N83" s="42">
        <v>615104.3547968947</v>
      </c>
      <c r="O83" s="42">
        <v>173794.8555976138</v>
      </c>
      <c r="P83" s="42">
        <v>3.539255248274104</v>
      </c>
      <c r="Q83" s="42">
        <v>0.000565690581493899</v>
      </c>
      <c r="R83" s="42">
        <v>271115.6571508622</v>
      </c>
      <c r="S83" s="42">
        <v>959093.0524429271</v>
      </c>
      <c r="T83" s="42">
        <v>271115.6571508622</v>
      </c>
      <c r="U83" s="42">
        <v>959093.0524429271</v>
      </c>
    </row>
    <row r="84" spans="1:21" ht="12.75">
      <c r="A84" s="3">
        <v>36434</v>
      </c>
      <c r="B84" s="47">
        <v>49056899</v>
      </c>
      <c r="C84" s="50">
        <v>296.8</v>
      </c>
      <c r="D84" s="50">
        <v>0</v>
      </c>
      <c r="E84" s="40">
        <f t="shared" si="3"/>
        <v>111.38000000000001</v>
      </c>
      <c r="F84" s="10">
        <v>31</v>
      </c>
      <c r="G84" s="10">
        <v>1</v>
      </c>
      <c r="H84" s="52">
        <f t="shared" si="4"/>
        <v>41476</v>
      </c>
      <c r="I84" s="10">
        <v>319.92</v>
      </c>
      <c r="J84" s="10">
        <f t="shared" si="2"/>
        <v>48176413.88801404</v>
      </c>
      <c r="K84" s="10"/>
      <c r="L84" s="15"/>
      <c r="M84" s="42" t="s">
        <v>91</v>
      </c>
      <c r="N84" s="42">
        <v>-195700.74963375897</v>
      </c>
      <c r="O84" s="42">
        <v>362655.28003639216</v>
      </c>
      <c r="P84" s="42">
        <v>-0.539632980427365</v>
      </c>
      <c r="Q84" s="42">
        <v>0.5904178912453026</v>
      </c>
      <c r="R84" s="42">
        <v>-913497.1253964979</v>
      </c>
      <c r="S84" s="42">
        <v>522095.62612898</v>
      </c>
      <c r="T84" s="42">
        <v>-913497.1253964979</v>
      </c>
      <c r="U84" s="42">
        <v>522095.62612898</v>
      </c>
    </row>
    <row r="85" spans="1:21" ht="12.75">
      <c r="A85" s="3">
        <v>36465</v>
      </c>
      <c r="B85" s="47">
        <v>50258087</v>
      </c>
      <c r="C85" s="50">
        <v>403.4</v>
      </c>
      <c r="D85" s="50">
        <v>0</v>
      </c>
      <c r="E85" s="40">
        <f>+E86-0.66</f>
        <v>112.04</v>
      </c>
      <c r="F85" s="10">
        <v>30</v>
      </c>
      <c r="G85" s="10">
        <v>1</v>
      </c>
      <c r="H85" s="52">
        <f t="shared" si="4"/>
        <v>41497</v>
      </c>
      <c r="I85" s="10">
        <v>352.08</v>
      </c>
      <c r="J85" s="10">
        <f t="shared" si="2"/>
        <v>50486150.14649683</v>
      </c>
      <c r="K85" s="10"/>
      <c r="L85" s="15"/>
      <c r="M85" s="42" t="s">
        <v>92</v>
      </c>
      <c r="N85" s="42">
        <v>-5588.225469122816</v>
      </c>
      <c r="O85" s="42">
        <v>1014.0056564653072</v>
      </c>
      <c r="P85" s="42">
        <v>-5.511039739761067</v>
      </c>
      <c r="Q85" s="42">
        <v>1.9736934764765657E-07</v>
      </c>
      <c r="R85" s="42">
        <v>-7595.226677379526</v>
      </c>
      <c r="S85" s="42">
        <v>-3581.2242608661068</v>
      </c>
      <c r="T85" s="42">
        <v>-7595.226677379526</v>
      </c>
      <c r="U85" s="42">
        <v>-3581.2242608661068</v>
      </c>
    </row>
    <row r="86" spans="1:21" ht="13.5" thickBot="1">
      <c r="A86" s="3">
        <v>36495</v>
      </c>
      <c r="B86" s="47">
        <v>51763883</v>
      </c>
      <c r="C86" s="50">
        <v>596.3</v>
      </c>
      <c r="D86" s="50">
        <v>0</v>
      </c>
      <c r="E86" s="40">
        <v>112.7</v>
      </c>
      <c r="F86" s="10">
        <v>31</v>
      </c>
      <c r="G86" s="10">
        <v>0</v>
      </c>
      <c r="H86" s="52">
        <f t="shared" si="4"/>
        <v>41518</v>
      </c>
      <c r="I86" s="10">
        <v>336.288</v>
      </c>
      <c r="J86" s="10">
        <f t="shared" si="2"/>
        <v>52967456.071297444</v>
      </c>
      <c r="K86" s="10"/>
      <c r="L86" s="15"/>
      <c r="M86" s="43" t="s">
        <v>93</v>
      </c>
      <c r="N86" s="43">
        <v>46480.066824636095</v>
      </c>
      <c r="O86" s="43">
        <v>8644.565915337735</v>
      </c>
      <c r="P86" s="43">
        <v>5.376795929355831</v>
      </c>
      <c r="Q86" s="43">
        <v>3.626314601585114E-07</v>
      </c>
      <c r="R86" s="43">
        <v>29370.049610909442</v>
      </c>
      <c r="S86" s="43">
        <v>63590.08403836275</v>
      </c>
      <c r="T86" s="43">
        <v>29370.049610909442</v>
      </c>
      <c r="U86" s="43">
        <v>63590.08403836275</v>
      </c>
    </row>
    <row r="87" spans="1:12" ht="12.75">
      <c r="A87" s="3">
        <v>36526</v>
      </c>
      <c r="B87" s="47">
        <v>55153262.7</v>
      </c>
      <c r="C87" s="50">
        <v>737.5</v>
      </c>
      <c r="D87" s="50">
        <v>0</v>
      </c>
      <c r="E87" s="40">
        <f aca="true" t="shared" si="5" ref="E87:E96">+E88-0.53</f>
        <v>113.26999999999998</v>
      </c>
      <c r="F87" s="10">
        <v>31</v>
      </c>
      <c r="G87" s="10">
        <v>0</v>
      </c>
      <c r="H87" s="52">
        <f t="shared" si="4"/>
        <v>41539</v>
      </c>
      <c r="I87" s="10">
        <v>319.92</v>
      </c>
      <c r="J87" s="10">
        <f t="shared" si="2"/>
        <v>53980535.98972317</v>
      </c>
      <c r="K87" s="10"/>
      <c r="L87" s="15"/>
    </row>
    <row r="88" spans="1:12" ht="12.75">
      <c r="A88" s="3">
        <v>36557</v>
      </c>
      <c r="B88" s="47">
        <v>51611043.8</v>
      </c>
      <c r="C88" s="50">
        <v>596.1</v>
      </c>
      <c r="D88" s="50">
        <v>0</v>
      </c>
      <c r="E88" s="40">
        <f t="shared" si="5"/>
        <v>113.79999999999998</v>
      </c>
      <c r="F88" s="10">
        <v>29</v>
      </c>
      <c r="G88" s="10">
        <v>0</v>
      </c>
      <c r="H88" s="52">
        <f t="shared" si="4"/>
        <v>41560</v>
      </c>
      <c r="I88" s="10">
        <v>336.16799999999995</v>
      </c>
      <c r="J88" s="10">
        <f t="shared" si="2"/>
        <v>52067540.66782336</v>
      </c>
      <c r="K88" s="10"/>
      <c r="L88" s="15"/>
    </row>
    <row r="89" spans="1:12" ht="12.75">
      <c r="A89" s="3">
        <v>36586</v>
      </c>
      <c r="B89" s="47">
        <v>52221022.4</v>
      </c>
      <c r="C89" s="50">
        <v>434.5</v>
      </c>
      <c r="D89" s="50">
        <v>0</v>
      </c>
      <c r="E89" s="40">
        <f t="shared" si="5"/>
        <v>114.32999999999998</v>
      </c>
      <c r="F89" s="10">
        <v>31</v>
      </c>
      <c r="G89" s="10">
        <v>1</v>
      </c>
      <c r="H89" s="52">
        <f t="shared" si="4"/>
        <v>41581</v>
      </c>
      <c r="I89" s="10">
        <v>368.28</v>
      </c>
      <c r="J89" s="10">
        <f t="shared" si="2"/>
        <v>52928529.76889046</v>
      </c>
      <c r="K89" s="10"/>
      <c r="L89" s="15"/>
    </row>
    <row r="90" spans="1:12" ht="12.75">
      <c r="A90" s="3">
        <v>36617</v>
      </c>
      <c r="B90" s="47">
        <v>47091666.7</v>
      </c>
      <c r="C90" s="50">
        <v>353.2</v>
      </c>
      <c r="D90" s="50">
        <v>0</v>
      </c>
      <c r="E90" s="40">
        <f t="shared" si="5"/>
        <v>114.85999999999999</v>
      </c>
      <c r="F90" s="10">
        <v>30</v>
      </c>
      <c r="G90" s="10">
        <v>1</v>
      </c>
      <c r="H90" s="52">
        <f t="shared" si="4"/>
        <v>41602</v>
      </c>
      <c r="I90" s="10">
        <v>303.84</v>
      </c>
      <c r="J90" s="10">
        <f t="shared" si="2"/>
        <v>48558885.40767507</v>
      </c>
      <c r="K90" s="10"/>
      <c r="L90" s="15"/>
    </row>
    <row r="91" spans="1:12" ht="12.75">
      <c r="A91" s="3">
        <v>36647</v>
      </c>
      <c r="B91" s="47">
        <v>49234361.7</v>
      </c>
      <c r="C91" s="50">
        <v>134</v>
      </c>
      <c r="D91" s="50">
        <v>17.8</v>
      </c>
      <c r="E91" s="40">
        <f t="shared" si="5"/>
        <v>115.38999999999999</v>
      </c>
      <c r="F91" s="10">
        <v>31</v>
      </c>
      <c r="G91" s="10">
        <v>1</v>
      </c>
      <c r="H91" s="52">
        <f t="shared" si="4"/>
        <v>41623</v>
      </c>
      <c r="I91" s="10">
        <v>351.912</v>
      </c>
      <c r="J91" s="10">
        <f t="shared" si="2"/>
        <v>50050787.70655615</v>
      </c>
      <c r="K91" s="10"/>
      <c r="L91" s="15"/>
    </row>
    <row r="92" spans="1:12" ht="12.75">
      <c r="A92" s="3">
        <v>36678</v>
      </c>
      <c r="B92" s="47">
        <v>50471123</v>
      </c>
      <c r="C92" s="50">
        <v>39.4</v>
      </c>
      <c r="D92" s="50">
        <v>48.1</v>
      </c>
      <c r="E92" s="40">
        <f t="shared" si="5"/>
        <v>115.91999999999999</v>
      </c>
      <c r="F92" s="10">
        <v>30</v>
      </c>
      <c r="G92" s="10">
        <v>0</v>
      </c>
      <c r="H92" s="52">
        <f t="shared" si="4"/>
        <v>41644</v>
      </c>
      <c r="I92" s="10">
        <v>352.08</v>
      </c>
      <c r="J92" s="10">
        <f t="shared" si="2"/>
        <v>50361926.80826703</v>
      </c>
      <c r="K92" s="10"/>
      <c r="L92" s="15"/>
    </row>
    <row r="93" spans="1:12" ht="12.75">
      <c r="A93" s="3">
        <v>36708</v>
      </c>
      <c r="B93" s="47">
        <v>48074326.6</v>
      </c>
      <c r="C93" s="50">
        <v>23.1</v>
      </c>
      <c r="D93" s="50">
        <v>50.7</v>
      </c>
      <c r="E93" s="40">
        <f t="shared" si="5"/>
        <v>116.44999999999999</v>
      </c>
      <c r="F93" s="10">
        <v>31</v>
      </c>
      <c r="G93" s="10">
        <v>0</v>
      </c>
      <c r="H93" s="52">
        <f t="shared" si="4"/>
        <v>41665</v>
      </c>
      <c r="I93" s="10">
        <v>319.92</v>
      </c>
      <c r="J93" s="10">
        <f t="shared" si="2"/>
        <v>49596890.66085758</v>
      </c>
      <c r="K93" s="10"/>
      <c r="L93" s="15"/>
    </row>
    <row r="94" spans="1:12" ht="12.75">
      <c r="A94" s="3">
        <v>36739</v>
      </c>
      <c r="B94" s="47">
        <v>52404955.8</v>
      </c>
      <c r="C94" s="50">
        <v>29.7</v>
      </c>
      <c r="D94" s="50">
        <v>52.3</v>
      </c>
      <c r="E94" s="40">
        <f t="shared" si="5"/>
        <v>116.97999999999999</v>
      </c>
      <c r="F94" s="10">
        <v>31</v>
      </c>
      <c r="G94" s="10">
        <v>0</v>
      </c>
      <c r="H94" s="52">
        <f t="shared" si="4"/>
        <v>41686</v>
      </c>
      <c r="I94" s="10">
        <v>351.912</v>
      </c>
      <c r="J94" s="10">
        <f t="shared" si="2"/>
        <v>51403248.42067767</v>
      </c>
      <c r="K94" s="10"/>
      <c r="L94" s="15"/>
    </row>
    <row r="95" spans="1:12" ht="12.75">
      <c r="A95" s="3">
        <v>36770</v>
      </c>
      <c r="B95" s="47">
        <v>48909902.3</v>
      </c>
      <c r="C95" s="50">
        <v>114.7</v>
      </c>
      <c r="D95" s="50">
        <v>38.4</v>
      </c>
      <c r="E95" s="40">
        <f t="shared" si="5"/>
        <v>117.50999999999999</v>
      </c>
      <c r="F95" s="10">
        <v>30</v>
      </c>
      <c r="G95" s="10">
        <v>1</v>
      </c>
      <c r="H95" s="52">
        <f t="shared" si="4"/>
        <v>41707</v>
      </c>
      <c r="I95" s="10">
        <v>319.68</v>
      </c>
      <c r="J95" s="10">
        <f t="shared" si="2"/>
        <v>49463939.65261493</v>
      </c>
      <c r="K95" s="10"/>
      <c r="L95" s="15"/>
    </row>
    <row r="96" spans="1:12" ht="12.75">
      <c r="A96" s="3">
        <v>36800</v>
      </c>
      <c r="B96" s="47">
        <v>49750781.1</v>
      </c>
      <c r="C96" s="50">
        <v>223.6</v>
      </c>
      <c r="D96" s="50">
        <v>1</v>
      </c>
      <c r="E96" s="40">
        <f t="shared" si="5"/>
        <v>118.03999999999999</v>
      </c>
      <c r="F96" s="10">
        <v>31</v>
      </c>
      <c r="G96" s="10">
        <v>1</v>
      </c>
      <c r="H96" s="52">
        <f t="shared" si="4"/>
        <v>41728</v>
      </c>
      <c r="I96" s="10">
        <v>336.288</v>
      </c>
      <c r="J96" s="10">
        <f t="shared" si="2"/>
        <v>50224539.91331477</v>
      </c>
      <c r="K96" s="10"/>
      <c r="L96" s="15"/>
    </row>
    <row r="97" spans="1:12" ht="12.75">
      <c r="A97" s="3">
        <v>36831</v>
      </c>
      <c r="B97" s="47">
        <v>52441618.9</v>
      </c>
      <c r="C97" s="50">
        <v>458.6</v>
      </c>
      <c r="D97" s="50">
        <v>0</v>
      </c>
      <c r="E97" s="40">
        <f>+E98-0.53</f>
        <v>118.57</v>
      </c>
      <c r="F97" s="10">
        <v>30</v>
      </c>
      <c r="G97" s="10">
        <v>1</v>
      </c>
      <c r="H97" s="52">
        <f t="shared" si="4"/>
        <v>41749</v>
      </c>
      <c r="I97" s="10">
        <v>352.08</v>
      </c>
      <c r="J97" s="10">
        <f t="shared" si="2"/>
        <v>53101773.517958045</v>
      </c>
      <c r="K97" s="10"/>
      <c r="L97" s="15"/>
    </row>
    <row r="98" spans="1:12" ht="12.75">
      <c r="A98" s="3">
        <v>36861</v>
      </c>
      <c r="B98" s="47">
        <v>53919676.3</v>
      </c>
      <c r="C98" s="50">
        <v>801.2</v>
      </c>
      <c r="D98" s="50">
        <v>0</v>
      </c>
      <c r="E98" s="40">
        <v>119.1</v>
      </c>
      <c r="F98" s="10">
        <v>31</v>
      </c>
      <c r="G98" s="10">
        <v>0</v>
      </c>
      <c r="H98" s="52">
        <f t="shared" si="4"/>
        <v>41770</v>
      </c>
      <c r="I98" s="10">
        <v>304.296</v>
      </c>
      <c r="J98" s="10">
        <f t="shared" si="2"/>
        <v>55718755.66420542</v>
      </c>
      <c r="K98" s="10"/>
      <c r="L98" s="15"/>
    </row>
    <row r="99" spans="1:12" ht="12.75">
      <c r="A99" s="3">
        <v>36892</v>
      </c>
      <c r="B99" s="47">
        <v>55871300</v>
      </c>
      <c r="C99" s="50">
        <v>701.2</v>
      </c>
      <c r="D99" s="50">
        <v>0</v>
      </c>
      <c r="E99" s="40">
        <f aca="true" t="shared" si="6" ref="E99:E108">+E100-0.17</f>
        <v>119.22999999999998</v>
      </c>
      <c r="F99" s="10">
        <v>31</v>
      </c>
      <c r="G99" s="10">
        <v>0</v>
      </c>
      <c r="H99" s="52">
        <v>41799</v>
      </c>
      <c r="I99" s="10">
        <v>351.912</v>
      </c>
      <c r="J99" s="10">
        <f t="shared" si="2"/>
        <v>56708422.18736259</v>
      </c>
      <c r="K99" s="10"/>
      <c r="L99" s="15"/>
    </row>
    <row r="100" spans="1:12" ht="12.75">
      <c r="A100" s="3">
        <v>36925</v>
      </c>
      <c r="B100" s="47">
        <v>50757672</v>
      </c>
      <c r="C100" s="50">
        <v>622.3</v>
      </c>
      <c r="D100" s="50">
        <v>0</v>
      </c>
      <c r="E100" s="40">
        <f t="shared" si="6"/>
        <v>119.39999999999998</v>
      </c>
      <c r="F100" s="10">
        <v>28</v>
      </c>
      <c r="G100" s="10">
        <v>0</v>
      </c>
      <c r="H100" s="52">
        <f>+H99+20</f>
        <v>41819</v>
      </c>
      <c r="I100" s="10">
        <v>319.872</v>
      </c>
      <c r="J100" s="10">
        <f t="shared" si="2"/>
        <v>52459738.368583165</v>
      </c>
      <c r="K100" s="10"/>
      <c r="L100" s="15"/>
    </row>
    <row r="101" spans="1:12" ht="12.75">
      <c r="A101" s="3">
        <v>36958</v>
      </c>
      <c r="B101" s="47">
        <v>54139855</v>
      </c>
      <c r="C101" s="50">
        <v>611.9</v>
      </c>
      <c r="D101" s="50">
        <v>0</v>
      </c>
      <c r="E101" s="40">
        <f t="shared" si="6"/>
        <v>119.56999999999998</v>
      </c>
      <c r="F101" s="10">
        <v>31</v>
      </c>
      <c r="G101" s="10">
        <v>1</v>
      </c>
      <c r="H101" s="52">
        <f aca="true" t="shared" si="7" ref="H101:H137">+H100+20</f>
        <v>41839</v>
      </c>
      <c r="I101" s="10">
        <v>351.912</v>
      </c>
      <c r="J101" s="10">
        <f t="shared" si="2"/>
        <v>55457902.9986218</v>
      </c>
      <c r="K101" s="10"/>
      <c r="L101" s="15"/>
    </row>
    <row r="102" spans="1:12" ht="12.75">
      <c r="A102" s="3">
        <v>36991</v>
      </c>
      <c r="B102" s="47">
        <v>47938861</v>
      </c>
      <c r="C102" s="50">
        <v>306.3</v>
      </c>
      <c r="D102" s="50">
        <v>0</v>
      </c>
      <c r="E102" s="40">
        <f t="shared" si="6"/>
        <v>119.73999999999998</v>
      </c>
      <c r="F102" s="10">
        <v>30</v>
      </c>
      <c r="G102" s="10">
        <v>1</v>
      </c>
      <c r="H102" s="52">
        <f t="shared" si="7"/>
        <v>41859</v>
      </c>
      <c r="I102" s="10">
        <v>319.68</v>
      </c>
      <c r="J102" s="10">
        <f t="shared" si="2"/>
        <v>49870678.84278003</v>
      </c>
      <c r="K102" s="10"/>
      <c r="L102" s="15"/>
    </row>
    <row r="103" spans="1:12" ht="12.75">
      <c r="A103" s="3">
        <v>37024</v>
      </c>
      <c r="B103" s="47">
        <v>49297354</v>
      </c>
      <c r="C103" s="50">
        <v>114</v>
      </c>
      <c r="D103" s="50">
        <v>6.8</v>
      </c>
      <c r="E103" s="40">
        <f t="shared" si="6"/>
        <v>119.90999999999998</v>
      </c>
      <c r="F103" s="10">
        <v>31</v>
      </c>
      <c r="G103" s="10">
        <v>1</v>
      </c>
      <c r="H103" s="52">
        <f t="shared" si="7"/>
        <v>41879</v>
      </c>
      <c r="I103" s="10">
        <v>351.912</v>
      </c>
      <c r="J103" s="10">
        <f t="shared" si="2"/>
        <v>50155622.083118655</v>
      </c>
      <c r="K103" s="10"/>
      <c r="L103" s="15"/>
    </row>
    <row r="104" spans="1:12" ht="12.75">
      <c r="A104" s="3">
        <v>37057</v>
      </c>
      <c r="B104" s="47">
        <v>51385300</v>
      </c>
      <c r="C104" s="50">
        <v>44.8</v>
      </c>
      <c r="D104" s="50">
        <v>59.5</v>
      </c>
      <c r="E104" s="40">
        <f t="shared" si="6"/>
        <v>120.07999999999998</v>
      </c>
      <c r="F104" s="10">
        <v>30</v>
      </c>
      <c r="G104" s="10">
        <v>0</v>
      </c>
      <c r="H104" s="52">
        <f t="shared" si="7"/>
        <v>41899</v>
      </c>
      <c r="I104" s="10">
        <v>336.24</v>
      </c>
      <c r="J104" s="10">
        <f t="shared" si="2"/>
        <v>51042141.29429308</v>
      </c>
      <c r="K104" s="10"/>
      <c r="L104" s="15"/>
    </row>
    <row r="105" spans="1:12" ht="12.75">
      <c r="A105" s="3">
        <v>37090</v>
      </c>
      <c r="B105" s="47">
        <v>49946058</v>
      </c>
      <c r="C105" s="50">
        <v>23.3</v>
      </c>
      <c r="D105" s="50">
        <v>84.5</v>
      </c>
      <c r="E105" s="40">
        <f t="shared" si="6"/>
        <v>120.24999999999999</v>
      </c>
      <c r="F105" s="10">
        <v>31</v>
      </c>
      <c r="G105" s="10">
        <v>0</v>
      </c>
      <c r="H105" s="52">
        <f t="shared" si="7"/>
        <v>41919</v>
      </c>
      <c r="I105" s="10">
        <v>336.288</v>
      </c>
      <c r="J105" s="10">
        <f t="shared" si="2"/>
        <v>52740233.96175105</v>
      </c>
      <c r="K105" s="10"/>
      <c r="L105" s="15"/>
    </row>
    <row r="106" spans="1:12" ht="12.75">
      <c r="A106" s="3">
        <v>37123</v>
      </c>
      <c r="B106" s="47">
        <v>55601127</v>
      </c>
      <c r="C106" s="50">
        <v>2</v>
      </c>
      <c r="D106" s="50">
        <v>103.5</v>
      </c>
      <c r="E106" s="40">
        <f t="shared" si="6"/>
        <v>120.41999999999999</v>
      </c>
      <c r="F106" s="10">
        <v>31</v>
      </c>
      <c r="G106" s="10">
        <v>0</v>
      </c>
      <c r="H106" s="52">
        <f t="shared" si="7"/>
        <v>41939</v>
      </c>
      <c r="I106" s="10">
        <v>351.912</v>
      </c>
      <c r="J106" s="10">
        <f t="shared" si="2"/>
        <v>54226230.77383388</v>
      </c>
      <c r="K106" s="10"/>
      <c r="L106" s="15"/>
    </row>
    <row r="107" spans="1:12" ht="12.75">
      <c r="A107" s="3">
        <v>37156</v>
      </c>
      <c r="B107" s="47">
        <v>48919171</v>
      </c>
      <c r="C107" s="50">
        <v>105.3</v>
      </c>
      <c r="D107" s="50">
        <v>18.7</v>
      </c>
      <c r="E107" s="40">
        <f t="shared" si="6"/>
        <v>120.58999999999999</v>
      </c>
      <c r="F107" s="10">
        <v>30</v>
      </c>
      <c r="G107" s="10">
        <v>1</v>
      </c>
      <c r="H107" s="52">
        <f t="shared" si="7"/>
        <v>41959</v>
      </c>
      <c r="I107" s="10">
        <v>303.84</v>
      </c>
      <c r="J107" s="10">
        <f t="shared" si="2"/>
        <v>47756007.933222786</v>
      </c>
      <c r="K107" s="10"/>
      <c r="L107" s="15"/>
    </row>
    <row r="108" spans="1:12" ht="12.75">
      <c r="A108" s="3">
        <v>37189</v>
      </c>
      <c r="B108" s="47">
        <v>51171631</v>
      </c>
      <c r="C108" s="50">
        <v>252.8</v>
      </c>
      <c r="D108" s="50">
        <v>0.5</v>
      </c>
      <c r="E108" s="40">
        <f t="shared" si="6"/>
        <v>120.75999999999999</v>
      </c>
      <c r="F108" s="10">
        <v>31</v>
      </c>
      <c r="G108" s="10">
        <v>1</v>
      </c>
      <c r="H108" s="52">
        <f t="shared" si="7"/>
        <v>41979</v>
      </c>
      <c r="I108" s="10">
        <v>351.912</v>
      </c>
      <c r="J108" s="10">
        <f t="shared" si="2"/>
        <v>51267345.82861061</v>
      </c>
      <c r="K108" s="10"/>
      <c r="L108" s="15"/>
    </row>
    <row r="109" spans="1:12" ht="12.75">
      <c r="A109" s="3">
        <v>37222</v>
      </c>
      <c r="B109" s="47">
        <v>50515679</v>
      </c>
      <c r="C109" s="50">
        <v>335.6</v>
      </c>
      <c r="D109" s="50">
        <v>0</v>
      </c>
      <c r="E109" s="40">
        <f>+E110-0.17</f>
        <v>120.92999999999999</v>
      </c>
      <c r="F109" s="10">
        <v>30</v>
      </c>
      <c r="G109" s="10">
        <v>1</v>
      </c>
      <c r="H109" s="52">
        <f t="shared" si="7"/>
        <v>41999</v>
      </c>
      <c r="I109" s="10">
        <v>352.08</v>
      </c>
      <c r="J109" s="10">
        <f t="shared" si="2"/>
        <v>51544830.81384367</v>
      </c>
      <c r="K109" s="10"/>
      <c r="L109" s="15"/>
    </row>
    <row r="110" spans="1:12" ht="12.75">
      <c r="A110" s="3">
        <v>37255</v>
      </c>
      <c r="B110" s="47">
        <v>50515677</v>
      </c>
      <c r="C110" s="50">
        <v>541.5</v>
      </c>
      <c r="D110" s="50">
        <v>0</v>
      </c>
      <c r="E110" s="40">
        <v>121.1</v>
      </c>
      <c r="F110" s="10">
        <v>31</v>
      </c>
      <c r="G110" s="10">
        <v>0</v>
      </c>
      <c r="H110" s="52">
        <f t="shared" si="7"/>
        <v>42019</v>
      </c>
      <c r="I110" s="10">
        <v>304.296</v>
      </c>
      <c r="J110" s="10">
        <f t="shared" si="2"/>
        <v>52436354.73447864</v>
      </c>
      <c r="K110" s="10"/>
      <c r="L110" s="15"/>
    </row>
    <row r="111" spans="1:33" s="16" customFormat="1" ht="12.75">
      <c r="A111" s="14">
        <v>37275</v>
      </c>
      <c r="B111" s="47">
        <f>30635955+23921472</f>
        <v>54557427</v>
      </c>
      <c r="C111" s="50">
        <v>616.9</v>
      </c>
      <c r="D111" s="50">
        <v>0</v>
      </c>
      <c r="E111" s="40">
        <f aca="true" t="shared" si="8" ref="E111:E120">+E112-0.37</f>
        <v>121.42999999999995</v>
      </c>
      <c r="F111" s="10">
        <v>31</v>
      </c>
      <c r="G111" s="10">
        <v>0</v>
      </c>
      <c r="H111" s="52">
        <f t="shared" si="7"/>
        <v>42039</v>
      </c>
      <c r="I111" s="10">
        <v>351.912</v>
      </c>
      <c r="J111" s="10">
        <f t="shared" si="2"/>
        <v>55561028.51376692</v>
      </c>
      <c r="K111" s="10"/>
      <c r="L111" s="15"/>
      <c r="M111"/>
      <c r="N111"/>
      <c r="O111"/>
      <c r="P111"/>
      <c r="Q111"/>
      <c r="R111"/>
      <c r="S111"/>
      <c r="T111"/>
      <c r="U111"/>
      <c r="V111"/>
      <c r="W111"/>
      <c r="X1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1:12" ht="12.75">
      <c r="A112" s="3">
        <v>37308</v>
      </c>
      <c r="B112" s="47">
        <f>28225701+22136784</f>
        <v>50362485</v>
      </c>
      <c r="C112" s="50">
        <v>566.8</v>
      </c>
      <c r="D112" s="50">
        <v>0</v>
      </c>
      <c r="E112" s="40">
        <f t="shared" si="8"/>
        <v>121.79999999999995</v>
      </c>
      <c r="F112" s="10">
        <v>28</v>
      </c>
      <c r="G112" s="10">
        <v>0</v>
      </c>
      <c r="H112" s="52">
        <f t="shared" si="7"/>
        <v>42059</v>
      </c>
      <c r="I112" s="10">
        <v>319.872</v>
      </c>
      <c r="J112" s="10">
        <f t="shared" si="2"/>
        <v>51741696.97569945</v>
      </c>
      <c r="K112" s="10"/>
      <c r="L112" s="15"/>
    </row>
    <row r="113" spans="1:12" ht="12.75">
      <c r="A113" s="3">
        <v>37341</v>
      </c>
      <c r="B113" s="47">
        <f>27517241+25565037</f>
        <v>53082278</v>
      </c>
      <c r="C113" s="50">
        <v>551.8</v>
      </c>
      <c r="D113" s="50">
        <v>0</v>
      </c>
      <c r="E113" s="40">
        <f t="shared" si="8"/>
        <v>122.16999999999996</v>
      </c>
      <c r="F113" s="10">
        <v>31</v>
      </c>
      <c r="G113" s="10">
        <v>1</v>
      </c>
      <c r="H113" s="52">
        <f t="shared" si="7"/>
        <v>42079</v>
      </c>
      <c r="I113" s="10">
        <v>319.92</v>
      </c>
      <c r="J113" s="10">
        <f t="shared" si="2"/>
        <v>53305081.32663872</v>
      </c>
      <c r="K113" s="10"/>
      <c r="L113" s="15"/>
    </row>
    <row r="114" spans="1:12" ht="12.75">
      <c r="A114" s="3">
        <v>37374</v>
      </c>
      <c r="B114" s="47">
        <f>29125565+21517056</f>
        <v>50642621</v>
      </c>
      <c r="C114" s="50">
        <v>333.8</v>
      </c>
      <c r="D114" s="50">
        <v>8.6</v>
      </c>
      <c r="E114" s="40">
        <f t="shared" si="8"/>
        <v>122.53999999999996</v>
      </c>
      <c r="F114" s="10">
        <v>30</v>
      </c>
      <c r="G114" s="10">
        <v>1</v>
      </c>
      <c r="H114" s="52">
        <f t="shared" si="7"/>
        <v>42099</v>
      </c>
      <c r="I114" s="10">
        <v>352.08</v>
      </c>
      <c r="J114" s="10">
        <f t="shared" si="2"/>
        <v>52267391.7760939</v>
      </c>
      <c r="K114" s="10"/>
      <c r="L114" s="15"/>
    </row>
    <row r="115" spans="1:12" ht="10.5" customHeight="1">
      <c r="A115" s="3">
        <v>37407</v>
      </c>
      <c r="B115" s="47">
        <v>50608523.6</v>
      </c>
      <c r="C115" s="50">
        <v>240.1</v>
      </c>
      <c r="D115" s="50">
        <v>7.3</v>
      </c>
      <c r="E115" s="40">
        <f t="shared" si="8"/>
        <v>122.90999999999997</v>
      </c>
      <c r="F115" s="10">
        <v>31</v>
      </c>
      <c r="G115" s="10">
        <v>1</v>
      </c>
      <c r="H115" s="52">
        <f t="shared" si="7"/>
        <v>42119</v>
      </c>
      <c r="I115" s="10">
        <v>351.912</v>
      </c>
      <c r="J115" s="10">
        <f t="shared" si="2"/>
        <v>51827541.17565621</v>
      </c>
      <c r="K115" s="10"/>
      <c r="L115" s="15"/>
    </row>
    <row r="116" spans="1:12" ht="12.75">
      <c r="A116" s="3">
        <v>37408</v>
      </c>
      <c r="B116" s="47">
        <v>51866787.4</v>
      </c>
      <c r="C116" s="50">
        <v>39.9</v>
      </c>
      <c r="D116" s="50">
        <v>70.7</v>
      </c>
      <c r="E116" s="40">
        <f t="shared" si="8"/>
        <v>123.27999999999997</v>
      </c>
      <c r="F116" s="10">
        <v>30</v>
      </c>
      <c r="G116" s="10">
        <v>0</v>
      </c>
      <c r="H116" s="52">
        <f t="shared" si="7"/>
        <v>42139</v>
      </c>
      <c r="I116" s="10">
        <v>319.68</v>
      </c>
      <c r="J116" s="10">
        <f t="shared" si="2"/>
        <v>51145706.56849868</v>
      </c>
      <c r="K116" s="10"/>
      <c r="L116" s="15"/>
    </row>
    <row r="117" spans="1:12" ht="12.75">
      <c r="A117" s="3">
        <v>37440</v>
      </c>
      <c r="B117" s="47">
        <v>55319351.2</v>
      </c>
      <c r="C117" s="50">
        <v>4.8</v>
      </c>
      <c r="D117" s="50">
        <v>128.2</v>
      </c>
      <c r="E117" s="40">
        <f t="shared" si="8"/>
        <v>123.64999999999998</v>
      </c>
      <c r="F117" s="10">
        <v>31</v>
      </c>
      <c r="G117" s="10">
        <v>0</v>
      </c>
      <c r="H117" s="52">
        <f t="shared" si="7"/>
        <v>42159</v>
      </c>
      <c r="I117" s="10">
        <v>351.912</v>
      </c>
      <c r="J117" s="10">
        <f t="shared" si="2"/>
        <v>56041091.75597746</v>
      </c>
      <c r="K117" s="10"/>
      <c r="L117" s="15"/>
    </row>
    <row r="118" spans="1:12" ht="12.75">
      <c r="A118" s="3">
        <v>37473</v>
      </c>
      <c r="B118" s="47">
        <v>56699817.4</v>
      </c>
      <c r="C118" s="50">
        <v>7.6</v>
      </c>
      <c r="D118" s="50">
        <v>89.4</v>
      </c>
      <c r="E118" s="40">
        <f t="shared" si="8"/>
        <v>124.01999999999998</v>
      </c>
      <c r="F118" s="10">
        <v>31</v>
      </c>
      <c r="G118" s="10">
        <v>0</v>
      </c>
      <c r="H118" s="52">
        <f t="shared" si="7"/>
        <v>42179</v>
      </c>
      <c r="I118" s="10">
        <v>336.288</v>
      </c>
      <c r="J118" s="10">
        <f t="shared" si="2"/>
        <v>53337242.45155794</v>
      </c>
      <c r="K118" s="10"/>
      <c r="L118" s="15"/>
    </row>
    <row r="119" spans="1:12" ht="12.75">
      <c r="A119" s="3">
        <v>37506</v>
      </c>
      <c r="B119" s="47">
        <v>52723342.9</v>
      </c>
      <c r="C119" s="50">
        <v>38.2</v>
      </c>
      <c r="D119" s="50">
        <v>56.8</v>
      </c>
      <c r="E119" s="40">
        <f t="shared" si="8"/>
        <v>124.38999999999999</v>
      </c>
      <c r="F119" s="10">
        <v>30</v>
      </c>
      <c r="G119" s="10">
        <v>1</v>
      </c>
      <c r="H119" s="52">
        <f t="shared" si="7"/>
        <v>42199</v>
      </c>
      <c r="I119" s="10">
        <v>319.68</v>
      </c>
      <c r="J119" s="10">
        <f t="shared" si="2"/>
        <v>50424757.956048585</v>
      </c>
      <c r="K119" s="10"/>
      <c r="L119" s="15"/>
    </row>
    <row r="120" spans="1:12" ht="12.75">
      <c r="A120" s="3">
        <v>37539</v>
      </c>
      <c r="B120" s="47">
        <v>54395869.74</v>
      </c>
      <c r="C120" s="50">
        <v>314.1</v>
      </c>
      <c r="D120" s="50">
        <v>9.6</v>
      </c>
      <c r="E120" s="40">
        <f t="shared" si="8"/>
        <v>124.75999999999999</v>
      </c>
      <c r="F120" s="10">
        <v>31</v>
      </c>
      <c r="G120" s="10">
        <v>1</v>
      </c>
      <c r="H120" s="52">
        <f t="shared" si="7"/>
        <v>42219</v>
      </c>
      <c r="I120" s="10">
        <v>351.912</v>
      </c>
      <c r="J120" s="10">
        <f t="shared" si="2"/>
        <v>53191609.41686449</v>
      </c>
      <c r="K120" s="10"/>
      <c r="L120" s="15"/>
    </row>
    <row r="121" spans="1:12" ht="12.75">
      <c r="A121" s="3">
        <v>37572</v>
      </c>
      <c r="B121" s="47">
        <v>54891660.22</v>
      </c>
      <c r="C121" s="50">
        <v>475.3</v>
      </c>
      <c r="D121" s="50">
        <v>0</v>
      </c>
      <c r="E121" s="40">
        <f>+E122-0.37</f>
        <v>125.13</v>
      </c>
      <c r="F121" s="10">
        <v>30</v>
      </c>
      <c r="G121" s="10">
        <v>1</v>
      </c>
      <c r="H121" s="52">
        <f t="shared" si="7"/>
        <v>42239</v>
      </c>
      <c r="I121" s="10">
        <v>336.24</v>
      </c>
      <c r="J121" s="10">
        <f t="shared" si="2"/>
        <v>53232047.88152156</v>
      </c>
      <c r="K121" s="10"/>
      <c r="L121" s="15"/>
    </row>
    <row r="122" spans="1:33" s="37" customFormat="1" ht="12.75">
      <c r="A122" s="36">
        <v>37605</v>
      </c>
      <c r="B122" s="47">
        <v>54199353.69</v>
      </c>
      <c r="C122" s="50">
        <v>661.5</v>
      </c>
      <c r="D122" s="50">
        <v>0</v>
      </c>
      <c r="E122" s="41">
        <v>125.5</v>
      </c>
      <c r="F122" s="19">
        <v>31</v>
      </c>
      <c r="G122" s="19">
        <v>0</v>
      </c>
      <c r="H122" s="52">
        <f t="shared" si="7"/>
        <v>42259</v>
      </c>
      <c r="I122" s="19">
        <v>319.92</v>
      </c>
      <c r="J122" s="10">
        <f t="shared" si="2"/>
        <v>55467726.20768606</v>
      </c>
      <c r="K122" s="19"/>
      <c r="L122" s="35"/>
      <c r="M122"/>
      <c r="N122"/>
      <c r="O122"/>
      <c r="P122"/>
      <c r="Q122"/>
      <c r="R122"/>
      <c r="S122"/>
      <c r="T122"/>
      <c r="U122"/>
      <c r="V122"/>
      <c r="W122"/>
      <c r="X122"/>
      <c r="Y122" s="31"/>
      <c r="Z122" s="31"/>
      <c r="AA122" s="31"/>
      <c r="AB122" s="31"/>
      <c r="AC122" s="31"/>
      <c r="AD122" s="31"/>
      <c r="AE122" s="31"/>
      <c r="AF122" s="31"/>
      <c r="AG122" s="31"/>
    </row>
    <row r="123" spans="1:27" ht="12.75">
      <c r="A123" s="3">
        <v>37622</v>
      </c>
      <c r="B123" s="51">
        <v>60682148.47</v>
      </c>
      <c r="C123" s="50">
        <v>821.9</v>
      </c>
      <c r="D123" s="50">
        <v>0</v>
      </c>
      <c r="E123" s="40">
        <f aca="true" t="shared" si="9" ref="E123:E132">+E124-0.15</f>
        <v>125.64999999999993</v>
      </c>
      <c r="F123" s="10">
        <v>31</v>
      </c>
      <c r="G123" s="10">
        <v>0</v>
      </c>
      <c r="H123" s="52">
        <f t="shared" si="7"/>
        <v>42279</v>
      </c>
      <c r="I123" s="10">
        <v>351.912</v>
      </c>
      <c r="J123" s="10">
        <f t="shared" si="2"/>
        <v>58732252.01386828</v>
      </c>
      <c r="K123" s="10"/>
      <c r="L123" s="15"/>
      <c r="Y123" s="11"/>
      <c r="Z123" s="11"/>
      <c r="AA123" s="11"/>
    </row>
    <row r="124" spans="1:12" ht="12.75">
      <c r="A124" s="3">
        <v>37653</v>
      </c>
      <c r="B124" s="51">
        <v>55102398.1</v>
      </c>
      <c r="C124" s="50">
        <v>719.4</v>
      </c>
      <c r="D124" s="50">
        <v>0</v>
      </c>
      <c r="E124" s="40">
        <f t="shared" si="9"/>
        <v>125.79999999999994</v>
      </c>
      <c r="F124" s="10">
        <v>28</v>
      </c>
      <c r="G124" s="10">
        <v>0</v>
      </c>
      <c r="H124" s="52">
        <f t="shared" si="7"/>
        <v>42299</v>
      </c>
      <c r="I124" s="10">
        <v>319.872</v>
      </c>
      <c r="J124" s="10">
        <f t="shared" si="2"/>
        <v>54206669.2643901</v>
      </c>
      <c r="K124" s="10"/>
      <c r="L124" s="15"/>
    </row>
    <row r="125" spans="1:12" ht="12.75">
      <c r="A125" s="3">
        <v>37681</v>
      </c>
      <c r="B125" s="51">
        <v>56411682.54</v>
      </c>
      <c r="C125" s="50">
        <v>585.7</v>
      </c>
      <c r="D125" s="50">
        <v>0</v>
      </c>
      <c r="E125" s="40">
        <f t="shared" si="9"/>
        <v>125.94999999999995</v>
      </c>
      <c r="F125" s="10">
        <v>31</v>
      </c>
      <c r="G125" s="10">
        <v>1</v>
      </c>
      <c r="H125" s="52">
        <f t="shared" si="7"/>
        <v>42319</v>
      </c>
      <c r="I125" s="10">
        <v>336.288</v>
      </c>
      <c r="J125" s="10">
        <f t="shared" si="2"/>
        <v>55075949.45603398</v>
      </c>
      <c r="K125" s="10"/>
      <c r="L125" s="15"/>
    </row>
    <row r="126" spans="1:12" ht="12.75">
      <c r="A126" s="3">
        <v>37712</v>
      </c>
      <c r="B126" s="51">
        <v>51768969</v>
      </c>
      <c r="C126" s="50">
        <v>378.9</v>
      </c>
      <c r="D126" s="50">
        <v>2.3</v>
      </c>
      <c r="E126" s="40">
        <f t="shared" si="9"/>
        <v>126.09999999999995</v>
      </c>
      <c r="F126" s="10">
        <v>30</v>
      </c>
      <c r="G126" s="10">
        <v>1</v>
      </c>
      <c r="H126" s="52">
        <f t="shared" si="7"/>
        <v>42339</v>
      </c>
      <c r="I126" s="10">
        <v>336.24</v>
      </c>
      <c r="J126" s="10">
        <f t="shared" si="2"/>
        <v>52213745.30908502</v>
      </c>
      <c r="K126" s="10"/>
      <c r="L126" s="15"/>
    </row>
    <row r="127" spans="1:12" ht="12.75">
      <c r="A127" s="3">
        <v>37742</v>
      </c>
      <c r="B127" s="51">
        <v>48041345</v>
      </c>
      <c r="C127" s="50">
        <v>189.3</v>
      </c>
      <c r="D127" s="50">
        <v>0</v>
      </c>
      <c r="E127" s="40">
        <f t="shared" si="9"/>
        <v>126.24999999999996</v>
      </c>
      <c r="F127" s="10">
        <v>31</v>
      </c>
      <c r="G127" s="10">
        <v>1</v>
      </c>
      <c r="H127" s="52">
        <f t="shared" si="7"/>
        <v>42359</v>
      </c>
      <c r="I127" s="10">
        <v>336.288</v>
      </c>
      <c r="J127" s="10">
        <f t="shared" si="2"/>
        <v>50532624.35664395</v>
      </c>
      <c r="K127" s="10"/>
      <c r="L127" s="15"/>
    </row>
    <row r="128" spans="1:12" ht="12.75">
      <c r="A128" s="3">
        <v>37773</v>
      </c>
      <c r="B128" s="51">
        <v>47973756</v>
      </c>
      <c r="C128" s="50">
        <v>51.5</v>
      </c>
      <c r="D128" s="50">
        <v>34.9</v>
      </c>
      <c r="E128" s="40">
        <f t="shared" si="9"/>
        <v>126.39999999999996</v>
      </c>
      <c r="F128" s="10">
        <v>30</v>
      </c>
      <c r="G128" s="10">
        <v>0</v>
      </c>
      <c r="H128" s="52">
        <f t="shared" si="7"/>
        <v>42379</v>
      </c>
      <c r="I128" s="10">
        <v>336.24</v>
      </c>
      <c r="J128" s="10">
        <f aca="true" t="shared" si="10" ref="J128:J191">$N$79+C128*$N$80+D128*$N$81+E128*$N$82+F128*$N$83+G128*$N$84+H128*$N$85+I128*$N$86</f>
        <v>50401427.43608374</v>
      </c>
      <c r="K128" s="10"/>
      <c r="L128" s="15"/>
    </row>
    <row r="129" spans="1:12" ht="12.75">
      <c r="A129" s="3">
        <v>37803</v>
      </c>
      <c r="B129" s="51">
        <v>52352810</v>
      </c>
      <c r="C129" s="50">
        <v>7.1</v>
      </c>
      <c r="D129" s="50">
        <v>73.5</v>
      </c>
      <c r="E129" s="40">
        <f t="shared" si="9"/>
        <v>126.54999999999997</v>
      </c>
      <c r="F129" s="10">
        <v>31</v>
      </c>
      <c r="G129" s="10">
        <v>0</v>
      </c>
      <c r="H129" s="52">
        <f t="shared" si="7"/>
        <v>42399</v>
      </c>
      <c r="I129" s="10">
        <v>351.912</v>
      </c>
      <c r="J129" s="10">
        <f t="shared" si="10"/>
        <v>53289369.528283544</v>
      </c>
      <c r="K129" s="10"/>
      <c r="L129" s="15"/>
    </row>
    <row r="130" spans="1:12" ht="12.75">
      <c r="A130" s="3">
        <v>37834</v>
      </c>
      <c r="B130" s="51">
        <v>53057452</v>
      </c>
      <c r="C130" s="50">
        <v>8.4</v>
      </c>
      <c r="D130" s="50">
        <v>88.2</v>
      </c>
      <c r="E130" s="40">
        <f t="shared" si="9"/>
        <v>126.69999999999997</v>
      </c>
      <c r="F130" s="10">
        <v>31</v>
      </c>
      <c r="G130" s="10">
        <v>0</v>
      </c>
      <c r="H130" s="52">
        <f t="shared" si="7"/>
        <v>42419</v>
      </c>
      <c r="I130" s="10">
        <v>319.92</v>
      </c>
      <c r="J130" s="10">
        <f t="shared" si="10"/>
        <v>52575304.96436422</v>
      </c>
      <c r="K130" s="10"/>
      <c r="L130" s="15"/>
    </row>
    <row r="131" spans="1:12" ht="12.75">
      <c r="A131" s="3">
        <v>37865</v>
      </c>
      <c r="B131" s="51">
        <v>51560940</v>
      </c>
      <c r="C131" s="50">
        <v>72.9</v>
      </c>
      <c r="D131" s="50">
        <v>14.2</v>
      </c>
      <c r="E131" s="40">
        <f t="shared" si="9"/>
        <v>126.84999999999998</v>
      </c>
      <c r="F131" s="10">
        <v>30</v>
      </c>
      <c r="G131" s="10">
        <v>1</v>
      </c>
      <c r="H131" s="52">
        <f t="shared" si="7"/>
        <v>42439</v>
      </c>
      <c r="I131" s="10">
        <v>336.24</v>
      </c>
      <c r="J131" s="10">
        <f t="shared" si="10"/>
        <v>49231296.096788086</v>
      </c>
      <c r="K131" s="10"/>
      <c r="L131" s="15"/>
    </row>
    <row r="132" spans="1:12" ht="12.75">
      <c r="A132" s="3">
        <v>37895</v>
      </c>
      <c r="B132" s="51">
        <v>54047370</v>
      </c>
      <c r="C132" s="50">
        <v>294.8</v>
      </c>
      <c r="D132" s="50">
        <v>0.3</v>
      </c>
      <c r="E132" s="40">
        <f t="shared" si="9"/>
        <v>126.99999999999999</v>
      </c>
      <c r="F132" s="10">
        <v>31</v>
      </c>
      <c r="G132" s="10">
        <v>1</v>
      </c>
      <c r="H132" s="52">
        <f t="shared" si="7"/>
        <v>42459</v>
      </c>
      <c r="I132" s="10">
        <v>351.912</v>
      </c>
      <c r="J132" s="10">
        <f t="shared" si="10"/>
        <v>52298009.38316212</v>
      </c>
      <c r="K132" s="10"/>
      <c r="L132" s="15"/>
    </row>
    <row r="133" spans="1:12" ht="12.75">
      <c r="A133" s="3">
        <v>37926</v>
      </c>
      <c r="B133" s="51">
        <v>55039342</v>
      </c>
      <c r="C133" s="50">
        <v>400.7</v>
      </c>
      <c r="D133" s="50">
        <v>0</v>
      </c>
      <c r="E133" s="40">
        <f>+E134-0.15</f>
        <v>127.14999999999999</v>
      </c>
      <c r="F133" s="10">
        <v>30</v>
      </c>
      <c r="G133" s="10">
        <v>1</v>
      </c>
      <c r="H133" s="52">
        <f t="shared" si="7"/>
        <v>42479</v>
      </c>
      <c r="I133" s="10">
        <v>319.68</v>
      </c>
      <c r="J133" s="10">
        <f t="shared" si="10"/>
        <v>51330737.050194</v>
      </c>
      <c r="K133" s="10"/>
      <c r="L133" s="15"/>
    </row>
    <row r="134" spans="1:12" ht="12.75">
      <c r="A134" s="3">
        <v>37956</v>
      </c>
      <c r="B134" s="51">
        <v>54296253</v>
      </c>
      <c r="C134" s="50">
        <v>599.1</v>
      </c>
      <c r="D134" s="50">
        <v>0</v>
      </c>
      <c r="E134" s="40">
        <v>127.3</v>
      </c>
      <c r="F134" s="10">
        <v>31</v>
      </c>
      <c r="G134" s="10">
        <v>0</v>
      </c>
      <c r="H134" s="52">
        <f t="shared" si="7"/>
        <v>42499</v>
      </c>
      <c r="I134" s="10">
        <v>336.288</v>
      </c>
      <c r="J134" s="10">
        <f t="shared" si="10"/>
        <v>55120102.623387046</v>
      </c>
      <c r="K134" s="10"/>
      <c r="L134" s="15"/>
    </row>
    <row r="135" spans="1:27" ht="12.75">
      <c r="A135" s="3">
        <v>37987</v>
      </c>
      <c r="B135" s="51">
        <v>60191796</v>
      </c>
      <c r="C135" s="50">
        <v>843.7</v>
      </c>
      <c r="D135" s="50">
        <v>0</v>
      </c>
      <c r="E135" s="40">
        <f aca="true" t="shared" si="11" ref="E135:E144">+E136-0.27</f>
        <v>127.52999999999992</v>
      </c>
      <c r="F135" s="10">
        <v>31</v>
      </c>
      <c r="G135" s="10">
        <v>0</v>
      </c>
      <c r="H135" s="52">
        <f t="shared" si="7"/>
        <v>42519</v>
      </c>
      <c r="I135" s="10">
        <v>336.288</v>
      </c>
      <c r="J135" s="10">
        <f t="shared" si="10"/>
        <v>57890058.672715165</v>
      </c>
      <c r="K135" s="10"/>
      <c r="L135" s="15"/>
      <c r="Y135" s="11"/>
      <c r="Z135" s="11"/>
      <c r="AA135" s="11"/>
    </row>
    <row r="136" spans="1:12" ht="12.75">
      <c r="A136" s="3">
        <v>38018</v>
      </c>
      <c r="B136" s="51">
        <v>55093544</v>
      </c>
      <c r="C136" s="50">
        <v>654.1</v>
      </c>
      <c r="D136" s="50">
        <v>0</v>
      </c>
      <c r="E136" s="40">
        <f t="shared" si="11"/>
        <v>127.79999999999991</v>
      </c>
      <c r="F136" s="10">
        <v>29</v>
      </c>
      <c r="G136" s="10">
        <v>0</v>
      </c>
      <c r="H136" s="52">
        <f t="shared" si="7"/>
        <v>42539</v>
      </c>
      <c r="I136" s="10">
        <v>320.16</v>
      </c>
      <c r="J136" s="10">
        <f t="shared" si="10"/>
        <v>53798156.442734756</v>
      </c>
      <c r="K136" s="10"/>
      <c r="L136" s="15"/>
    </row>
    <row r="137" spans="1:12" ht="12.75">
      <c r="A137" s="3">
        <v>38047</v>
      </c>
      <c r="B137" s="51">
        <v>57723435</v>
      </c>
      <c r="C137" s="50">
        <v>514.1</v>
      </c>
      <c r="D137" s="50">
        <v>0</v>
      </c>
      <c r="E137" s="40">
        <f t="shared" si="11"/>
        <v>128.0699999999999</v>
      </c>
      <c r="F137" s="10">
        <v>31</v>
      </c>
      <c r="G137" s="10">
        <v>1</v>
      </c>
      <c r="H137" s="52">
        <f t="shared" si="7"/>
        <v>42559</v>
      </c>
      <c r="I137" s="10">
        <v>368.28</v>
      </c>
      <c r="J137" s="10">
        <f t="shared" si="10"/>
        <v>55517289.76634898</v>
      </c>
      <c r="K137" s="10"/>
      <c r="L137" s="15"/>
    </row>
    <row r="138" spans="1:12" ht="12.75">
      <c r="A138" s="3">
        <v>38078</v>
      </c>
      <c r="B138" s="51">
        <v>51791725</v>
      </c>
      <c r="C138" s="50">
        <v>342.8</v>
      </c>
      <c r="D138" s="50">
        <v>1</v>
      </c>
      <c r="E138" s="40">
        <f t="shared" si="11"/>
        <v>128.33999999999992</v>
      </c>
      <c r="F138" s="10">
        <v>30</v>
      </c>
      <c r="G138" s="10">
        <v>1</v>
      </c>
      <c r="H138" s="52">
        <f>+H137+19</f>
        <v>42578</v>
      </c>
      <c r="I138" s="10">
        <v>336.24</v>
      </c>
      <c r="J138" s="10">
        <f t="shared" si="10"/>
        <v>51566997.67920614</v>
      </c>
      <c r="K138" s="10"/>
      <c r="L138" s="15"/>
    </row>
    <row r="139" spans="1:12" ht="12.75">
      <c r="A139" s="3">
        <v>38108</v>
      </c>
      <c r="B139" s="51">
        <v>52028830</v>
      </c>
      <c r="C139" s="50">
        <v>161.8</v>
      </c>
      <c r="D139" s="50">
        <v>13.4</v>
      </c>
      <c r="E139" s="40">
        <f t="shared" si="11"/>
        <v>128.60999999999993</v>
      </c>
      <c r="F139" s="10">
        <v>31</v>
      </c>
      <c r="G139" s="10">
        <v>1</v>
      </c>
      <c r="H139" s="52">
        <f aca="true" t="shared" si="12" ref="H139:H152">+H138+19</f>
        <v>42597</v>
      </c>
      <c r="I139" s="10">
        <v>319.92</v>
      </c>
      <c r="J139" s="10">
        <f t="shared" si="10"/>
        <v>50082175.993429445</v>
      </c>
      <c r="K139" s="10"/>
      <c r="L139" s="15"/>
    </row>
    <row r="140" spans="1:12" ht="12.75">
      <c r="A140" s="3">
        <v>38139</v>
      </c>
      <c r="B140" s="51">
        <v>52155245</v>
      </c>
      <c r="C140" s="50">
        <v>61.4</v>
      </c>
      <c r="D140" s="50">
        <v>29.6</v>
      </c>
      <c r="E140" s="40">
        <f t="shared" si="11"/>
        <v>128.87999999999994</v>
      </c>
      <c r="F140" s="10">
        <v>30</v>
      </c>
      <c r="G140" s="10">
        <v>0</v>
      </c>
      <c r="H140" s="52">
        <f t="shared" si="12"/>
        <v>42616</v>
      </c>
      <c r="I140" s="10">
        <v>352.08</v>
      </c>
      <c r="J140" s="10">
        <f t="shared" si="10"/>
        <v>50931017.88417128</v>
      </c>
      <c r="K140" s="10"/>
      <c r="L140" s="15"/>
    </row>
    <row r="141" spans="1:12" ht="12.75">
      <c r="A141" s="3">
        <v>38169</v>
      </c>
      <c r="B141" s="51">
        <v>51113907</v>
      </c>
      <c r="C141" s="50">
        <v>10.2</v>
      </c>
      <c r="D141" s="50">
        <v>65.7</v>
      </c>
      <c r="E141" s="40">
        <f t="shared" si="11"/>
        <v>129.14999999999995</v>
      </c>
      <c r="F141" s="10">
        <v>31</v>
      </c>
      <c r="G141" s="10">
        <v>0</v>
      </c>
      <c r="H141" s="52">
        <f t="shared" si="12"/>
        <v>42635</v>
      </c>
      <c r="I141" s="10">
        <v>336.288</v>
      </c>
      <c r="J141" s="10">
        <f t="shared" si="10"/>
        <v>52213130.58587701</v>
      </c>
      <c r="K141" s="10"/>
      <c r="L141" s="15"/>
    </row>
    <row r="142" spans="1:12" ht="12.75">
      <c r="A142" s="3">
        <v>38200</v>
      </c>
      <c r="B142" s="51">
        <v>54603230</v>
      </c>
      <c r="C142" s="50">
        <v>33</v>
      </c>
      <c r="D142" s="50">
        <v>41.9</v>
      </c>
      <c r="E142" s="40">
        <f t="shared" si="11"/>
        <v>129.41999999999996</v>
      </c>
      <c r="F142" s="10">
        <v>31</v>
      </c>
      <c r="G142" s="10">
        <v>0</v>
      </c>
      <c r="H142" s="52">
        <f t="shared" si="12"/>
        <v>42654</v>
      </c>
      <c r="I142" s="10">
        <v>336.288</v>
      </c>
      <c r="J142" s="10">
        <f t="shared" si="10"/>
        <v>51222890.27292768</v>
      </c>
      <c r="K142" s="10"/>
      <c r="L142" s="15"/>
    </row>
    <row r="143" spans="1:12" ht="12.75">
      <c r="A143" s="3">
        <v>38231</v>
      </c>
      <c r="B143" s="51">
        <v>53000453</v>
      </c>
      <c r="C143" s="50">
        <v>49.7</v>
      </c>
      <c r="D143" s="50">
        <v>36</v>
      </c>
      <c r="E143" s="40">
        <f t="shared" si="11"/>
        <v>129.68999999999997</v>
      </c>
      <c r="F143" s="10">
        <v>30</v>
      </c>
      <c r="G143" s="10">
        <v>1</v>
      </c>
      <c r="H143" s="52">
        <f t="shared" si="12"/>
        <v>42673</v>
      </c>
      <c r="I143" s="10">
        <v>336.24</v>
      </c>
      <c r="J143" s="10">
        <f t="shared" si="10"/>
        <v>50315017.555990316</v>
      </c>
      <c r="K143" s="10"/>
      <c r="L143" s="15"/>
    </row>
    <row r="144" spans="1:12" ht="12.75">
      <c r="A144" s="3">
        <v>38261</v>
      </c>
      <c r="B144" s="51">
        <v>52092514</v>
      </c>
      <c r="C144" s="50">
        <v>238</v>
      </c>
      <c r="D144" s="50">
        <v>0</v>
      </c>
      <c r="E144" s="40">
        <f t="shared" si="11"/>
        <v>129.95999999999998</v>
      </c>
      <c r="F144" s="10">
        <v>31</v>
      </c>
      <c r="G144" s="10">
        <v>1</v>
      </c>
      <c r="H144" s="52">
        <f t="shared" si="12"/>
        <v>42692</v>
      </c>
      <c r="I144" s="10">
        <v>319.92</v>
      </c>
      <c r="J144" s="10">
        <f t="shared" si="10"/>
        <v>50392879.86169522</v>
      </c>
      <c r="K144" s="10"/>
      <c r="L144" s="15"/>
    </row>
    <row r="145" spans="1:12" ht="12.75">
      <c r="A145" s="3">
        <v>38292</v>
      </c>
      <c r="B145" s="51">
        <v>53916856</v>
      </c>
      <c r="C145" s="50">
        <v>409.5</v>
      </c>
      <c r="D145" s="50">
        <v>0</v>
      </c>
      <c r="E145" s="40">
        <f>+E146-0.27</f>
        <v>130.23</v>
      </c>
      <c r="F145" s="10">
        <v>30</v>
      </c>
      <c r="G145" s="10">
        <v>1</v>
      </c>
      <c r="H145" s="52">
        <f t="shared" si="12"/>
        <v>42711</v>
      </c>
      <c r="I145" s="10">
        <v>352.08</v>
      </c>
      <c r="J145" s="10">
        <f t="shared" si="10"/>
        <v>53243526.94805682</v>
      </c>
      <c r="K145" s="10"/>
      <c r="L145" s="15"/>
    </row>
    <row r="146" spans="1:12" ht="12.75">
      <c r="A146" s="3">
        <v>38322</v>
      </c>
      <c r="B146" s="51">
        <f>55613807-16802</f>
        <v>55597005</v>
      </c>
      <c r="C146" s="50">
        <v>668.6</v>
      </c>
      <c r="D146" s="50">
        <v>0</v>
      </c>
      <c r="E146" s="40">
        <v>130.5</v>
      </c>
      <c r="F146" s="10">
        <v>31</v>
      </c>
      <c r="G146" s="10">
        <v>0</v>
      </c>
      <c r="H146" s="52">
        <f t="shared" si="12"/>
        <v>42730</v>
      </c>
      <c r="I146" s="10">
        <v>336.288</v>
      </c>
      <c r="J146" s="10">
        <f t="shared" si="10"/>
        <v>56280422.89057282</v>
      </c>
      <c r="K146" s="10"/>
      <c r="L146" s="15"/>
    </row>
    <row r="147" spans="1:27" ht="12.75">
      <c r="A147" s="3">
        <v>38353</v>
      </c>
      <c r="B147" s="51">
        <v>59519040</v>
      </c>
      <c r="C147" s="50">
        <v>782.7</v>
      </c>
      <c r="D147" s="50">
        <v>0</v>
      </c>
      <c r="E147" s="40">
        <f aca="true" t="shared" si="13" ref="E147:E156">+E148-0.29</f>
        <v>130.8100000000001</v>
      </c>
      <c r="F147" s="10">
        <v>31</v>
      </c>
      <c r="G147" s="10">
        <v>0</v>
      </c>
      <c r="H147" s="52">
        <f t="shared" si="12"/>
        <v>42749</v>
      </c>
      <c r="I147" s="10">
        <v>319.92</v>
      </c>
      <c r="J147" s="10">
        <f t="shared" si="10"/>
        <v>56863277.312635295</v>
      </c>
      <c r="K147" s="10"/>
      <c r="L147" s="15"/>
      <c r="Y147" s="11"/>
      <c r="Z147" s="11"/>
      <c r="AA147" s="11"/>
    </row>
    <row r="148" spans="1:12" ht="12.75">
      <c r="A148" s="3">
        <v>38384</v>
      </c>
      <c r="B148" s="51">
        <v>53401240</v>
      </c>
      <c r="C148" s="50">
        <v>635</v>
      </c>
      <c r="D148" s="50">
        <v>0</v>
      </c>
      <c r="E148" s="40">
        <f t="shared" si="13"/>
        <v>131.10000000000008</v>
      </c>
      <c r="F148" s="10">
        <v>28</v>
      </c>
      <c r="G148" s="10">
        <v>0</v>
      </c>
      <c r="H148" s="52">
        <f t="shared" si="12"/>
        <v>42768</v>
      </c>
      <c r="I148" s="10">
        <v>319.872</v>
      </c>
      <c r="J148" s="10">
        <f t="shared" si="10"/>
        <v>53392795.184728496</v>
      </c>
      <c r="K148" s="10"/>
      <c r="L148" s="15"/>
    </row>
    <row r="149" spans="1:12" ht="12.75">
      <c r="A149" s="3">
        <v>38412</v>
      </c>
      <c r="B149" s="51">
        <v>56026000</v>
      </c>
      <c r="C149" s="50">
        <v>644.3</v>
      </c>
      <c r="D149" s="50">
        <v>0</v>
      </c>
      <c r="E149" s="40">
        <f t="shared" si="13"/>
        <v>131.39000000000007</v>
      </c>
      <c r="F149" s="10">
        <v>31</v>
      </c>
      <c r="G149" s="10">
        <v>1</v>
      </c>
      <c r="H149" s="52">
        <f t="shared" si="12"/>
        <v>42787</v>
      </c>
      <c r="I149" s="10">
        <v>351.912</v>
      </c>
      <c r="J149" s="10">
        <f t="shared" si="10"/>
        <v>56681485.28512854</v>
      </c>
      <c r="K149" s="10"/>
      <c r="L149" s="15"/>
    </row>
    <row r="150" spans="1:12" ht="12.75">
      <c r="A150" s="3">
        <v>38443</v>
      </c>
      <c r="B150" s="51">
        <v>50073520</v>
      </c>
      <c r="C150" s="50">
        <v>316.2</v>
      </c>
      <c r="D150" s="50">
        <v>0</v>
      </c>
      <c r="E150" s="40">
        <f t="shared" si="13"/>
        <v>131.68000000000006</v>
      </c>
      <c r="F150" s="10">
        <v>30</v>
      </c>
      <c r="G150" s="10">
        <v>1</v>
      </c>
      <c r="H150" s="52">
        <f t="shared" si="12"/>
        <v>42806</v>
      </c>
      <c r="I150" s="10">
        <v>336.24</v>
      </c>
      <c r="J150" s="10">
        <f t="shared" si="10"/>
        <v>51677987.42079688</v>
      </c>
      <c r="K150" s="10"/>
      <c r="L150" s="15"/>
    </row>
    <row r="151" spans="1:12" ht="12.75">
      <c r="A151" s="3">
        <v>38473</v>
      </c>
      <c r="B151" s="51">
        <v>50162960</v>
      </c>
      <c r="C151" s="50">
        <v>208.5</v>
      </c>
      <c r="D151" s="50">
        <v>0.3</v>
      </c>
      <c r="E151" s="40">
        <f t="shared" si="13"/>
        <v>131.97000000000006</v>
      </c>
      <c r="F151" s="10">
        <v>31</v>
      </c>
      <c r="G151" s="10">
        <v>1</v>
      </c>
      <c r="H151" s="52">
        <f t="shared" si="12"/>
        <v>42825</v>
      </c>
      <c r="I151" s="10">
        <v>336.288</v>
      </c>
      <c r="J151" s="10">
        <f t="shared" si="10"/>
        <v>51140213.34599955</v>
      </c>
      <c r="K151" s="10"/>
      <c r="L151" s="15"/>
    </row>
    <row r="152" spans="1:12" ht="12.75">
      <c r="A152" s="3">
        <v>38504</v>
      </c>
      <c r="B152" s="51">
        <v>56597760</v>
      </c>
      <c r="C152" s="50">
        <v>11.2</v>
      </c>
      <c r="D152" s="50">
        <v>126.8</v>
      </c>
      <c r="E152" s="40">
        <f t="shared" si="13"/>
        <v>132.26000000000005</v>
      </c>
      <c r="F152" s="10">
        <v>30</v>
      </c>
      <c r="G152" s="10">
        <v>0</v>
      </c>
      <c r="H152" s="52">
        <f t="shared" si="12"/>
        <v>42844</v>
      </c>
      <c r="I152" s="10">
        <v>352.08</v>
      </c>
      <c r="J152" s="10">
        <f t="shared" si="10"/>
        <v>56086443.19006178</v>
      </c>
      <c r="K152" s="10"/>
      <c r="L152" s="15"/>
    </row>
    <row r="153" spans="1:12" ht="12.75">
      <c r="A153" s="3">
        <v>38534</v>
      </c>
      <c r="B153" s="51">
        <v>53676610</v>
      </c>
      <c r="C153" s="50">
        <v>2.2</v>
      </c>
      <c r="D153" s="50">
        <v>140.7</v>
      </c>
      <c r="E153" s="40">
        <f t="shared" si="13"/>
        <v>132.55000000000004</v>
      </c>
      <c r="F153" s="10">
        <v>31</v>
      </c>
      <c r="G153" s="10">
        <v>0</v>
      </c>
      <c r="H153" s="52">
        <f aca="true" t="shared" si="14" ref="H153:H158">+H152+19</f>
        <v>42863</v>
      </c>
      <c r="I153" s="10">
        <v>319.92</v>
      </c>
      <c r="J153" s="10">
        <f t="shared" si="10"/>
        <v>55898767.994344346</v>
      </c>
      <c r="K153" s="10"/>
      <c r="L153" s="15"/>
    </row>
    <row r="154" spans="1:12" ht="12.75">
      <c r="A154" s="3">
        <v>38565</v>
      </c>
      <c r="B154" s="51">
        <v>57518680</v>
      </c>
      <c r="C154" s="50">
        <v>5.9</v>
      </c>
      <c r="D154" s="50">
        <v>94.1</v>
      </c>
      <c r="E154" s="40">
        <f t="shared" si="13"/>
        <v>132.84000000000003</v>
      </c>
      <c r="F154" s="10">
        <v>31</v>
      </c>
      <c r="G154" s="10">
        <v>0</v>
      </c>
      <c r="H154" s="52">
        <f t="shared" si="14"/>
        <v>42882</v>
      </c>
      <c r="I154" s="10">
        <v>351.912</v>
      </c>
      <c r="J154" s="10">
        <f t="shared" si="10"/>
        <v>54962013.22055606</v>
      </c>
      <c r="K154" s="10"/>
      <c r="L154" s="15"/>
    </row>
    <row r="155" spans="1:12" ht="12.75">
      <c r="A155" s="3">
        <v>38596</v>
      </c>
      <c r="B155" s="51">
        <v>52250000</v>
      </c>
      <c r="C155" s="50">
        <v>44</v>
      </c>
      <c r="D155" s="50">
        <v>30.4</v>
      </c>
      <c r="E155" s="40">
        <f t="shared" si="13"/>
        <v>133.13000000000002</v>
      </c>
      <c r="F155" s="10">
        <v>30</v>
      </c>
      <c r="G155" s="10">
        <v>1</v>
      </c>
      <c r="H155" s="52">
        <f t="shared" si="14"/>
        <v>42901</v>
      </c>
      <c r="I155" s="10">
        <v>336.24</v>
      </c>
      <c r="J155" s="10">
        <f t="shared" si="10"/>
        <v>50466274.81239561</v>
      </c>
      <c r="K155" s="10"/>
      <c r="L155" s="15"/>
    </row>
    <row r="156" spans="1:12" ht="12.75">
      <c r="A156" s="3">
        <v>38626</v>
      </c>
      <c r="B156" s="51">
        <v>52711210</v>
      </c>
      <c r="C156" s="50">
        <v>243.4</v>
      </c>
      <c r="D156" s="50">
        <v>13.7</v>
      </c>
      <c r="E156" s="40">
        <f t="shared" si="13"/>
        <v>133.42000000000002</v>
      </c>
      <c r="F156" s="10">
        <v>31</v>
      </c>
      <c r="G156" s="10">
        <v>1</v>
      </c>
      <c r="H156" s="52">
        <f t="shared" si="14"/>
        <v>42920</v>
      </c>
      <c r="I156" s="10">
        <v>319.92</v>
      </c>
      <c r="J156" s="10">
        <f t="shared" si="10"/>
        <v>51719591.79532694</v>
      </c>
      <c r="K156" s="10"/>
      <c r="L156" s="15"/>
    </row>
    <row r="157" spans="1:12" ht="12.75">
      <c r="A157" s="3">
        <v>38657</v>
      </c>
      <c r="B157" s="51">
        <v>53362010</v>
      </c>
      <c r="C157" s="50">
        <v>418.9</v>
      </c>
      <c r="D157" s="50">
        <v>0</v>
      </c>
      <c r="E157" s="40">
        <f>+E158-0.29</f>
        <v>133.71</v>
      </c>
      <c r="F157" s="10">
        <v>30</v>
      </c>
      <c r="G157" s="10">
        <v>1</v>
      </c>
      <c r="H157" s="52">
        <f t="shared" si="14"/>
        <v>42939</v>
      </c>
      <c r="I157" s="10">
        <v>352.08</v>
      </c>
      <c r="J157" s="10">
        <f t="shared" si="10"/>
        <v>53887794.128186285</v>
      </c>
      <c r="K157" s="10"/>
      <c r="L157" s="15"/>
    </row>
    <row r="158" spans="1:12" ht="12.75">
      <c r="A158" s="3">
        <v>38687</v>
      </c>
      <c r="B158" s="51">
        <f>54760170+741540</f>
        <v>55501710</v>
      </c>
      <c r="C158" s="50">
        <v>699.1</v>
      </c>
      <c r="D158" s="50">
        <v>0</v>
      </c>
      <c r="E158" s="40">
        <v>134</v>
      </c>
      <c r="F158" s="10">
        <v>31</v>
      </c>
      <c r="G158" s="10">
        <v>0</v>
      </c>
      <c r="H158" s="52">
        <f t="shared" si="14"/>
        <v>42958</v>
      </c>
      <c r="I158" s="10">
        <v>319.92</v>
      </c>
      <c r="J158" s="10">
        <f t="shared" si="10"/>
        <v>56412574.05639102</v>
      </c>
      <c r="K158" s="10"/>
      <c r="L158" s="15"/>
    </row>
    <row r="159" spans="1:27" ht="12.75">
      <c r="A159" s="3">
        <v>38718</v>
      </c>
      <c r="B159" s="47">
        <v>56528710</v>
      </c>
      <c r="C159" s="50">
        <v>576.3</v>
      </c>
      <c r="D159" s="50">
        <v>0</v>
      </c>
      <c r="E159" s="40">
        <f aca="true" t="shared" si="15" ref="E159:E168">+E160-0.28</f>
        <v>134.22</v>
      </c>
      <c r="F159" s="10">
        <v>31</v>
      </c>
      <c r="G159" s="10">
        <v>0</v>
      </c>
      <c r="H159" s="52">
        <f>+H158+19</f>
        <v>42977</v>
      </c>
      <c r="I159" s="10">
        <v>336.288</v>
      </c>
      <c r="J159" s="10">
        <f t="shared" si="10"/>
        <v>55795131.59507028</v>
      </c>
      <c r="K159" s="10"/>
      <c r="L159" s="15"/>
      <c r="Y159" s="11"/>
      <c r="Z159" s="11"/>
      <c r="AA159" s="11"/>
    </row>
    <row r="160" spans="1:12" ht="12.75">
      <c r="A160" s="3">
        <v>38749</v>
      </c>
      <c r="B160" s="47">
        <v>52548160</v>
      </c>
      <c r="C160" s="50">
        <v>628.2</v>
      </c>
      <c r="D160" s="50">
        <v>0</v>
      </c>
      <c r="E160" s="40">
        <f t="shared" si="15"/>
        <v>134.5</v>
      </c>
      <c r="F160" s="10">
        <v>28</v>
      </c>
      <c r="G160" s="10">
        <v>0</v>
      </c>
      <c r="H160" s="52">
        <f>+H159+20</f>
        <v>42997</v>
      </c>
      <c r="I160" s="10">
        <v>319.872</v>
      </c>
      <c r="J160" s="10">
        <f t="shared" si="10"/>
        <v>53806888.14369195</v>
      </c>
      <c r="K160" s="10"/>
      <c r="L160" s="15"/>
    </row>
    <row r="161" spans="1:12" ht="12.75">
      <c r="A161" s="3">
        <v>38777</v>
      </c>
      <c r="B161" s="47">
        <v>56081470</v>
      </c>
      <c r="C161" s="50">
        <v>571.1</v>
      </c>
      <c r="D161" s="50">
        <v>0</v>
      </c>
      <c r="E161" s="40">
        <f t="shared" si="15"/>
        <v>134.78</v>
      </c>
      <c r="F161" s="10">
        <v>31</v>
      </c>
      <c r="G161" s="10">
        <v>1</v>
      </c>
      <c r="H161" s="52">
        <f>+H160+20</f>
        <v>43017</v>
      </c>
      <c r="I161" s="10">
        <v>368.28</v>
      </c>
      <c r="J161" s="10">
        <f t="shared" si="10"/>
        <v>57095800.31391891</v>
      </c>
      <c r="K161" s="10"/>
      <c r="L161" s="15"/>
    </row>
    <row r="162" spans="1:12" ht="12.75">
      <c r="A162" s="3">
        <v>38808</v>
      </c>
      <c r="B162" s="47">
        <v>48548560</v>
      </c>
      <c r="C162" s="50">
        <v>307.9</v>
      </c>
      <c r="D162" s="50">
        <v>0</v>
      </c>
      <c r="E162" s="40">
        <f t="shared" si="15"/>
        <v>135.06</v>
      </c>
      <c r="F162" s="10">
        <v>30</v>
      </c>
      <c r="G162" s="10">
        <v>1</v>
      </c>
      <c r="H162" s="52">
        <f aca="true" t="shared" si="16" ref="H162:H167">+H161+21</f>
        <v>43038</v>
      </c>
      <c r="I162" s="10">
        <v>303.84</v>
      </c>
      <c r="J162" s="10">
        <f t="shared" si="10"/>
        <v>50542008.83475946</v>
      </c>
      <c r="K162" s="10"/>
      <c r="L162" s="15"/>
    </row>
    <row r="163" spans="1:12" ht="12.75">
      <c r="A163" s="3">
        <v>38838</v>
      </c>
      <c r="B163" s="47">
        <v>51563020</v>
      </c>
      <c r="C163" s="50">
        <v>163.2</v>
      </c>
      <c r="D163" s="50">
        <v>23.9</v>
      </c>
      <c r="E163" s="40">
        <f t="shared" si="15"/>
        <v>135.34</v>
      </c>
      <c r="F163" s="10">
        <v>31</v>
      </c>
      <c r="G163" s="10">
        <v>1</v>
      </c>
      <c r="H163" s="52">
        <f t="shared" si="16"/>
        <v>43059</v>
      </c>
      <c r="I163" s="10">
        <v>351.912</v>
      </c>
      <c r="J163" s="10">
        <f t="shared" si="10"/>
        <v>53073562.33317659</v>
      </c>
      <c r="K163" s="10"/>
      <c r="L163" s="15"/>
    </row>
    <row r="164" spans="1:12" ht="12.75">
      <c r="A164" s="3">
        <v>38869</v>
      </c>
      <c r="B164" s="47">
        <v>52813920</v>
      </c>
      <c r="C164" s="50">
        <v>42.2</v>
      </c>
      <c r="D164" s="50">
        <v>42.8</v>
      </c>
      <c r="E164" s="40">
        <f t="shared" si="15"/>
        <v>135.62</v>
      </c>
      <c r="F164" s="10">
        <v>30</v>
      </c>
      <c r="G164" s="10">
        <v>0</v>
      </c>
      <c r="H164" s="52">
        <f t="shared" si="16"/>
        <v>43080</v>
      </c>
      <c r="I164" s="10">
        <v>352.08</v>
      </c>
      <c r="J164" s="10">
        <f t="shared" si="10"/>
        <v>52342286.87425944</v>
      </c>
      <c r="K164" s="10"/>
      <c r="L164" s="15"/>
    </row>
    <row r="165" spans="1:12" ht="12.75">
      <c r="A165" s="3">
        <v>38899</v>
      </c>
      <c r="B165" s="47">
        <v>54008040</v>
      </c>
      <c r="C165" s="50">
        <v>7</v>
      </c>
      <c r="D165" s="50">
        <v>127</v>
      </c>
      <c r="E165" s="40">
        <f t="shared" si="15"/>
        <v>135.9</v>
      </c>
      <c r="F165" s="10">
        <v>31</v>
      </c>
      <c r="G165" s="10">
        <v>0</v>
      </c>
      <c r="H165" s="52">
        <f t="shared" si="16"/>
        <v>43101</v>
      </c>
      <c r="I165" s="10">
        <v>319.92</v>
      </c>
      <c r="J165" s="10">
        <f t="shared" si="10"/>
        <v>55629485.854112945</v>
      </c>
      <c r="K165" s="10"/>
      <c r="L165" s="15"/>
    </row>
    <row r="166" spans="1:12" ht="12.75">
      <c r="A166" s="3">
        <v>38930</v>
      </c>
      <c r="B166" s="47">
        <v>55895490</v>
      </c>
      <c r="C166" s="50">
        <v>9.8</v>
      </c>
      <c r="D166" s="50">
        <v>57.3</v>
      </c>
      <c r="E166" s="40">
        <f t="shared" si="15"/>
        <v>136.18</v>
      </c>
      <c r="F166" s="10">
        <v>31</v>
      </c>
      <c r="G166" s="10">
        <v>0</v>
      </c>
      <c r="H166" s="52">
        <f t="shared" si="16"/>
        <v>43122</v>
      </c>
      <c r="I166" s="10">
        <v>351.912</v>
      </c>
      <c r="J166" s="10">
        <f t="shared" si="10"/>
        <v>53421774.59537927</v>
      </c>
      <c r="K166" s="10"/>
      <c r="L166" s="15"/>
    </row>
    <row r="167" spans="1:12" ht="12.75">
      <c r="A167" s="3">
        <v>38961</v>
      </c>
      <c r="B167" s="47">
        <v>49552320</v>
      </c>
      <c r="C167" s="50">
        <v>108.2</v>
      </c>
      <c r="D167" s="50">
        <v>6.1</v>
      </c>
      <c r="E167" s="40">
        <f t="shared" si="15"/>
        <v>136.46</v>
      </c>
      <c r="F167" s="10">
        <v>30</v>
      </c>
      <c r="G167" s="10">
        <v>1</v>
      </c>
      <c r="H167" s="52">
        <f t="shared" si="16"/>
        <v>43143</v>
      </c>
      <c r="I167" s="10">
        <v>319.68</v>
      </c>
      <c r="J167" s="10">
        <f t="shared" si="10"/>
        <v>49494212.812560685</v>
      </c>
      <c r="K167" s="10"/>
      <c r="L167" s="15"/>
    </row>
    <row r="168" spans="1:12" ht="12.75">
      <c r="A168" s="3">
        <v>38991</v>
      </c>
      <c r="B168" s="47">
        <v>52532530</v>
      </c>
      <c r="C168" s="50">
        <v>312.6</v>
      </c>
      <c r="D168" s="50">
        <v>0.3</v>
      </c>
      <c r="E168" s="40">
        <f t="shared" si="15"/>
        <v>136.74</v>
      </c>
      <c r="F168" s="10">
        <v>31</v>
      </c>
      <c r="G168" s="10">
        <v>1</v>
      </c>
      <c r="H168" s="52">
        <f aca="true" t="shared" si="17" ref="H168:H173">+H167+20</f>
        <v>43163</v>
      </c>
      <c r="I168" s="10">
        <v>336.288</v>
      </c>
      <c r="J168" s="10">
        <f t="shared" si="10"/>
        <v>52910877.14548115</v>
      </c>
      <c r="K168" s="10"/>
      <c r="L168" s="15"/>
    </row>
    <row r="169" spans="1:12" ht="12.75">
      <c r="A169" s="3">
        <v>39022</v>
      </c>
      <c r="B169" s="47">
        <v>53385930</v>
      </c>
      <c r="C169" s="50">
        <v>394.5</v>
      </c>
      <c r="D169" s="50">
        <v>0</v>
      </c>
      <c r="E169" s="40">
        <f>+E170-0.28</f>
        <v>137.02</v>
      </c>
      <c r="F169" s="10">
        <v>30</v>
      </c>
      <c r="G169" s="10">
        <v>1</v>
      </c>
      <c r="H169" s="52">
        <f t="shared" si="17"/>
        <v>43183</v>
      </c>
      <c r="I169" s="10">
        <v>352.08</v>
      </c>
      <c r="J169" s="10">
        <f t="shared" si="10"/>
        <v>53972461.76276013</v>
      </c>
      <c r="K169" s="10"/>
      <c r="L169" s="15"/>
    </row>
    <row r="170" spans="1:12" ht="12.75">
      <c r="A170" s="3">
        <v>39052</v>
      </c>
      <c r="B170" s="47">
        <v>51983542</v>
      </c>
      <c r="C170" s="50">
        <v>533.1</v>
      </c>
      <c r="D170" s="50">
        <v>0</v>
      </c>
      <c r="E170" s="40">
        <v>137.3</v>
      </c>
      <c r="F170" s="10">
        <v>31</v>
      </c>
      <c r="G170" s="10">
        <v>0</v>
      </c>
      <c r="H170" s="52">
        <f t="shared" si="17"/>
        <v>43203</v>
      </c>
      <c r="I170" s="10">
        <v>304.296</v>
      </c>
      <c r="J170" s="10">
        <f t="shared" si="10"/>
        <v>54161338.78930904</v>
      </c>
      <c r="K170" s="10"/>
      <c r="L170" s="15"/>
    </row>
    <row r="171" spans="1:27" ht="12.75">
      <c r="A171" s="3">
        <v>39083</v>
      </c>
      <c r="B171" s="47">
        <v>57509800</v>
      </c>
      <c r="C171" s="76">
        <v>433.3</v>
      </c>
      <c r="D171" s="50">
        <v>0</v>
      </c>
      <c r="E171" s="40">
        <f aca="true" t="shared" si="18" ref="E171:E180">+E172-0.25</f>
        <v>137.55</v>
      </c>
      <c r="F171" s="10">
        <v>31</v>
      </c>
      <c r="G171" s="10">
        <v>0</v>
      </c>
      <c r="H171" s="52">
        <f t="shared" si="17"/>
        <v>43223</v>
      </c>
      <c r="I171" s="10">
        <v>351.912</v>
      </c>
      <c r="J171" s="10">
        <f t="shared" si="10"/>
        <v>55266048.73903067</v>
      </c>
      <c r="K171" s="10"/>
      <c r="L171" s="15"/>
      <c r="Y171" s="11"/>
      <c r="Z171" s="11"/>
      <c r="AA171" s="11"/>
    </row>
    <row r="172" spans="1:12" ht="12.75">
      <c r="A172" s="3">
        <v>39114</v>
      </c>
      <c r="B172" s="47">
        <v>54145600</v>
      </c>
      <c r="C172" s="50">
        <v>504.7</v>
      </c>
      <c r="D172" s="50">
        <v>0</v>
      </c>
      <c r="E172" s="40">
        <f t="shared" si="18"/>
        <v>137.8</v>
      </c>
      <c r="F172" s="10">
        <v>28</v>
      </c>
      <c r="G172" s="10">
        <v>0</v>
      </c>
      <c r="H172" s="52">
        <f t="shared" si="17"/>
        <v>43243</v>
      </c>
      <c r="I172" s="10">
        <v>319.872</v>
      </c>
      <c r="J172" s="10">
        <f t="shared" si="10"/>
        <v>52756165.80602317</v>
      </c>
      <c r="K172" s="10"/>
      <c r="L172" s="15"/>
    </row>
    <row r="173" spans="1:12" ht="12.75">
      <c r="A173" s="3">
        <v>39142</v>
      </c>
      <c r="B173" s="47">
        <v>55841344</v>
      </c>
      <c r="C173" s="50">
        <v>402.6</v>
      </c>
      <c r="D173" s="50">
        <v>0</v>
      </c>
      <c r="E173" s="40">
        <f t="shared" si="18"/>
        <v>138.05</v>
      </c>
      <c r="F173" s="10">
        <v>31</v>
      </c>
      <c r="G173" s="10">
        <v>1</v>
      </c>
      <c r="H173" s="52">
        <f t="shared" si="17"/>
        <v>43263</v>
      </c>
      <c r="I173" s="10">
        <v>351.912</v>
      </c>
      <c r="J173" s="10">
        <f t="shared" si="10"/>
        <v>54760543.67531485</v>
      </c>
      <c r="K173" s="10"/>
      <c r="L173" s="15"/>
    </row>
    <row r="174" spans="1:12" ht="12.75">
      <c r="A174" s="3">
        <v>39173</v>
      </c>
      <c r="B174" s="47">
        <v>49890898</v>
      </c>
      <c r="C174" s="50">
        <v>277.2</v>
      </c>
      <c r="D174" s="50">
        <v>0</v>
      </c>
      <c r="E174" s="40">
        <f t="shared" si="18"/>
        <v>138.3</v>
      </c>
      <c r="F174" s="10">
        <v>30</v>
      </c>
      <c r="G174" s="10">
        <v>1</v>
      </c>
      <c r="H174" s="52">
        <f>+H173+21</f>
        <v>43284</v>
      </c>
      <c r="I174" s="10">
        <v>319.68</v>
      </c>
      <c r="J174" s="10">
        <f t="shared" si="10"/>
        <v>51244153.54601935</v>
      </c>
      <c r="K174" s="10"/>
      <c r="L174" s="15"/>
    </row>
    <row r="175" spans="1:12" ht="12.75">
      <c r="A175" s="3">
        <v>39203</v>
      </c>
      <c r="B175" s="47">
        <v>50950599</v>
      </c>
      <c r="C175" s="50">
        <v>85.8</v>
      </c>
      <c r="D175" s="50">
        <v>20.9</v>
      </c>
      <c r="E175" s="40">
        <f t="shared" si="18"/>
        <v>138.55</v>
      </c>
      <c r="F175" s="10">
        <v>31</v>
      </c>
      <c r="G175" s="10">
        <v>1</v>
      </c>
      <c r="H175" s="52">
        <f aca="true" t="shared" si="19" ref="H175:H180">+H174+21</f>
        <v>43305</v>
      </c>
      <c r="I175" s="10">
        <v>351.912</v>
      </c>
      <c r="J175" s="10">
        <f t="shared" si="10"/>
        <v>52334906.675983585</v>
      </c>
      <c r="K175" s="10"/>
      <c r="L175" s="15"/>
    </row>
    <row r="176" spans="1:12" ht="12.75">
      <c r="A176" s="3">
        <v>39234</v>
      </c>
      <c r="B176" s="47">
        <v>52949918</v>
      </c>
      <c r="C176" s="50">
        <v>25.2</v>
      </c>
      <c r="D176" s="50">
        <v>62.8</v>
      </c>
      <c r="E176" s="40">
        <f t="shared" si="18"/>
        <v>138.8</v>
      </c>
      <c r="F176" s="10">
        <v>30</v>
      </c>
      <c r="G176" s="10">
        <v>0</v>
      </c>
      <c r="H176" s="52">
        <f t="shared" si="19"/>
        <v>43326</v>
      </c>
      <c r="I176" s="10">
        <v>336.24</v>
      </c>
      <c r="J176" s="10">
        <f t="shared" si="10"/>
        <v>52772804.81025777</v>
      </c>
      <c r="K176" s="10"/>
      <c r="L176" s="15"/>
    </row>
    <row r="177" spans="1:12" ht="12.75">
      <c r="A177" s="3">
        <v>39264</v>
      </c>
      <c r="B177" s="47">
        <v>50695162</v>
      </c>
      <c r="C177" s="50">
        <v>8.9</v>
      </c>
      <c r="D177" s="50">
        <v>43.9</v>
      </c>
      <c r="E177" s="40">
        <f t="shared" si="18"/>
        <v>139.05</v>
      </c>
      <c r="F177" s="10">
        <v>31</v>
      </c>
      <c r="G177" s="10">
        <v>0</v>
      </c>
      <c r="H177" s="52">
        <f t="shared" si="19"/>
        <v>43347</v>
      </c>
      <c r="I177" s="10">
        <v>336.288</v>
      </c>
      <c r="J177" s="10">
        <f t="shared" si="10"/>
        <v>52200769.14672635</v>
      </c>
      <c r="K177" s="10"/>
      <c r="L177" s="15"/>
    </row>
    <row r="178" spans="1:12" ht="12.75">
      <c r="A178" s="3">
        <v>39295</v>
      </c>
      <c r="B178" s="47">
        <v>55177149</v>
      </c>
      <c r="C178" s="50">
        <v>9.1</v>
      </c>
      <c r="D178" s="50">
        <v>66.5</v>
      </c>
      <c r="E178" s="40">
        <f t="shared" si="18"/>
        <v>139.3</v>
      </c>
      <c r="F178" s="10">
        <v>31</v>
      </c>
      <c r="G178" s="10">
        <v>0</v>
      </c>
      <c r="H178" s="52">
        <f t="shared" si="19"/>
        <v>43368</v>
      </c>
      <c r="I178" s="10">
        <v>351.912</v>
      </c>
      <c r="J178" s="10">
        <f t="shared" si="10"/>
        <v>54159543.671834566</v>
      </c>
      <c r="K178" s="10"/>
      <c r="L178" s="15"/>
    </row>
    <row r="179" spans="1:12" ht="12.75">
      <c r="A179" s="3">
        <v>39326</v>
      </c>
      <c r="B179" s="47">
        <v>49919310</v>
      </c>
      <c r="C179" s="50">
        <v>27.6</v>
      </c>
      <c r="D179" s="50">
        <v>23.9</v>
      </c>
      <c r="E179" s="40">
        <f t="shared" si="18"/>
        <v>139.55</v>
      </c>
      <c r="F179" s="10">
        <v>30</v>
      </c>
      <c r="G179" s="10">
        <v>1</v>
      </c>
      <c r="H179" s="52">
        <f>+H178+20</f>
        <v>43388</v>
      </c>
      <c r="I179" s="10">
        <v>303.84</v>
      </c>
      <c r="J179" s="10">
        <f t="shared" si="10"/>
        <v>49046784.31375681</v>
      </c>
      <c r="K179" s="10"/>
      <c r="L179" s="15"/>
    </row>
    <row r="180" spans="1:12" ht="12.75">
      <c r="A180" s="3">
        <v>39356</v>
      </c>
      <c r="B180" s="47">
        <v>52289030</v>
      </c>
      <c r="C180" s="50">
        <v>107.7</v>
      </c>
      <c r="D180" s="50">
        <v>12.2</v>
      </c>
      <c r="E180" s="40">
        <f t="shared" si="18"/>
        <v>139.8</v>
      </c>
      <c r="F180" s="10">
        <v>31</v>
      </c>
      <c r="G180" s="10">
        <v>1</v>
      </c>
      <c r="H180" s="52">
        <f t="shared" si="19"/>
        <v>43409</v>
      </c>
      <c r="I180" s="10">
        <v>351.912</v>
      </c>
      <c r="J180" s="10">
        <f t="shared" si="10"/>
        <v>52183293.79422737</v>
      </c>
      <c r="K180" s="10"/>
      <c r="L180" s="15"/>
    </row>
    <row r="181" spans="1:12" ht="12.75">
      <c r="A181" s="3">
        <v>39387</v>
      </c>
      <c r="B181" s="47">
        <v>52590120</v>
      </c>
      <c r="C181" s="50">
        <v>287.2</v>
      </c>
      <c r="D181" s="50">
        <v>0</v>
      </c>
      <c r="E181" s="40">
        <f>+E182-0.25</f>
        <v>140.05</v>
      </c>
      <c r="F181" s="10">
        <v>30</v>
      </c>
      <c r="G181" s="10">
        <v>1</v>
      </c>
      <c r="H181" s="52">
        <f>+H180+20</f>
        <v>43429</v>
      </c>
      <c r="I181" s="10">
        <v>352.08</v>
      </c>
      <c r="J181" s="10">
        <f t="shared" si="10"/>
        <v>52964059.82782549</v>
      </c>
      <c r="K181" s="10"/>
      <c r="L181" s="15"/>
    </row>
    <row r="182" spans="1:12" ht="12.75">
      <c r="A182" s="3">
        <v>39417</v>
      </c>
      <c r="B182" s="47">
        <f>52322880+437744-396634</f>
        <v>52363990</v>
      </c>
      <c r="C182" s="50">
        <v>421.2</v>
      </c>
      <c r="D182" s="50">
        <v>0</v>
      </c>
      <c r="E182" s="40">
        <v>140.3</v>
      </c>
      <c r="F182" s="10">
        <v>31</v>
      </c>
      <c r="G182" s="10">
        <v>0</v>
      </c>
      <c r="H182" s="52">
        <f>+H181+20</f>
        <v>43449</v>
      </c>
      <c r="I182" s="10">
        <v>304.296</v>
      </c>
      <c r="J182" s="10">
        <f t="shared" si="10"/>
        <v>53085372.34061043</v>
      </c>
      <c r="K182" s="10"/>
      <c r="L182" s="15"/>
    </row>
    <row r="183" spans="1:10" ht="12.75">
      <c r="A183" s="3">
        <v>39448</v>
      </c>
      <c r="B183" s="52">
        <v>56931880</v>
      </c>
      <c r="C183" s="77">
        <v>430.1</v>
      </c>
      <c r="D183" s="77">
        <v>0</v>
      </c>
      <c r="E183" s="39">
        <f aca="true" t="shared" si="20" ref="E183:E192">+E184+0.04</f>
        <v>140.23999999999992</v>
      </c>
      <c r="F183" s="10">
        <v>31</v>
      </c>
      <c r="G183" s="10">
        <v>0</v>
      </c>
      <c r="H183" s="52">
        <f>+H182+20</f>
        <v>43469</v>
      </c>
      <c r="I183" s="1">
        <v>352</v>
      </c>
      <c r="J183" s="10">
        <f t="shared" si="10"/>
        <v>55260143.400767</v>
      </c>
    </row>
    <row r="184" spans="1:10" ht="12.75">
      <c r="A184" s="3">
        <v>39479</v>
      </c>
      <c r="B184" s="52">
        <v>53808360</v>
      </c>
      <c r="C184" s="77">
        <v>476.6</v>
      </c>
      <c r="D184" s="77">
        <v>0</v>
      </c>
      <c r="E184" s="39">
        <f t="shared" si="20"/>
        <v>140.19999999999993</v>
      </c>
      <c r="F184" s="10">
        <v>29</v>
      </c>
      <c r="G184" s="10">
        <v>0</v>
      </c>
      <c r="H184" s="52">
        <f>+H183+20</f>
        <v>43489</v>
      </c>
      <c r="I184" s="1">
        <v>320</v>
      </c>
      <c r="J184" s="10">
        <f t="shared" si="10"/>
        <v>52935041.01869427</v>
      </c>
    </row>
    <row r="185" spans="1:10" ht="12.75">
      <c r="A185" s="3">
        <v>39508</v>
      </c>
      <c r="B185" s="52">
        <v>54411970</v>
      </c>
      <c r="C185" s="77">
        <v>420.6</v>
      </c>
      <c r="D185" s="77">
        <v>0</v>
      </c>
      <c r="E185" s="39">
        <f t="shared" si="20"/>
        <v>140.15999999999994</v>
      </c>
      <c r="F185" s="10">
        <v>31</v>
      </c>
      <c r="G185" s="10">
        <v>1</v>
      </c>
      <c r="H185" s="52">
        <f>+H184+20</f>
        <v>43509</v>
      </c>
      <c r="I185" s="1">
        <v>304</v>
      </c>
      <c r="J185" s="10">
        <f t="shared" si="10"/>
        <v>52460938.71517036</v>
      </c>
    </row>
    <row r="186" spans="1:10" ht="12.75">
      <c r="A186" s="3">
        <v>39539</v>
      </c>
      <c r="B186" s="52">
        <v>49720310</v>
      </c>
      <c r="C186" s="77">
        <v>160.1</v>
      </c>
      <c r="D186" s="77">
        <v>0</v>
      </c>
      <c r="E186" s="39">
        <f t="shared" si="20"/>
        <v>140.11999999999995</v>
      </c>
      <c r="F186" s="10">
        <v>30</v>
      </c>
      <c r="G186" s="10">
        <v>1</v>
      </c>
      <c r="H186" s="52">
        <f aca="true" t="shared" si="21" ref="H186:H191">+H185+21</f>
        <v>43530</v>
      </c>
      <c r="I186" s="1">
        <v>352</v>
      </c>
      <c r="J186" s="10">
        <f t="shared" si="10"/>
        <v>50997210.67004368</v>
      </c>
    </row>
    <row r="187" spans="1:10" ht="12.75">
      <c r="A187" s="3">
        <v>39569</v>
      </c>
      <c r="B187" s="52">
        <v>48905780</v>
      </c>
      <c r="C187" s="77">
        <v>139.9</v>
      </c>
      <c r="D187" s="77">
        <v>0</v>
      </c>
      <c r="E187" s="39">
        <f t="shared" si="20"/>
        <v>140.07999999999996</v>
      </c>
      <c r="F187" s="10">
        <v>31</v>
      </c>
      <c r="G187" s="10">
        <v>1</v>
      </c>
      <c r="H187" s="52">
        <f t="shared" si="21"/>
        <v>43551</v>
      </c>
      <c r="I187" s="1">
        <v>336</v>
      </c>
      <c r="J187" s="10">
        <f t="shared" si="10"/>
        <v>50502358.84062048</v>
      </c>
    </row>
    <row r="188" spans="1:10" ht="12.75">
      <c r="A188" s="3">
        <v>39600</v>
      </c>
      <c r="B188" s="52">
        <v>50409100</v>
      </c>
      <c r="C188" s="77">
        <v>25</v>
      </c>
      <c r="D188" s="77">
        <v>34</v>
      </c>
      <c r="E188" s="39">
        <f t="shared" si="20"/>
        <v>140.03999999999996</v>
      </c>
      <c r="F188" s="10">
        <v>30</v>
      </c>
      <c r="G188" s="10">
        <v>0</v>
      </c>
      <c r="H188" s="52">
        <f t="shared" si="21"/>
        <v>43572</v>
      </c>
      <c r="I188" s="1">
        <v>336</v>
      </c>
      <c r="J188" s="10">
        <f t="shared" si="10"/>
        <v>50478956.62982657</v>
      </c>
    </row>
    <row r="189" spans="1:10" ht="12.75">
      <c r="A189" s="3">
        <v>39630</v>
      </c>
      <c r="B189" s="52">
        <v>51274000</v>
      </c>
      <c r="C189" s="77">
        <v>0.5</v>
      </c>
      <c r="D189" s="77">
        <v>53.2</v>
      </c>
      <c r="E189" s="39">
        <f t="shared" si="20"/>
        <v>139.99999999999997</v>
      </c>
      <c r="F189" s="10">
        <v>31</v>
      </c>
      <c r="G189" s="10">
        <v>0</v>
      </c>
      <c r="H189" s="52">
        <f t="shared" si="21"/>
        <v>43593</v>
      </c>
      <c r="I189" s="1">
        <v>352</v>
      </c>
      <c r="J189" s="10">
        <f t="shared" si="10"/>
        <v>52457227.44216302</v>
      </c>
    </row>
    <row r="190" spans="1:10" ht="12.75">
      <c r="A190" s="3">
        <v>39661</v>
      </c>
      <c r="B190" s="52">
        <v>49872730</v>
      </c>
      <c r="C190" s="77">
        <v>14.4</v>
      </c>
      <c r="D190" s="77">
        <v>17.7</v>
      </c>
      <c r="E190" s="39">
        <f t="shared" si="20"/>
        <v>139.95999999999998</v>
      </c>
      <c r="F190" s="10">
        <v>31</v>
      </c>
      <c r="G190" s="10">
        <v>0</v>
      </c>
      <c r="H190" s="52">
        <f t="shared" si="21"/>
        <v>43614</v>
      </c>
      <c r="I190" s="1">
        <v>320</v>
      </c>
      <c r="J190" s="10">
        <f t="shared" si="10"/>
        <v>49076231.75969069</v>
      </c>
    </row>
    <row r="191" spans="1:10" ht="12.75">
      <c r="A191" s="3">
        <v>39692</v>
      </c>
      <c r="B191" s="52">
        <v>48308210</v>
      </c>
      <c r="C191" s="77">
        <v>58.7</v>
      </c>
      <c r="D191" s="77">
        <v>11.1</v>
      </c>
      <c r="E191" s="39">
        <f t="shared" si="20"/>
        <v>139.92</v>
      </c>
      <c r="F191" s="10">
        <v>30</v>
      </c>
      <c r="G191" s="10">
        <v>1</v>
      </c>
      <c r="H191" s="52">
        <f t="shared" si="21"/>
        <v>43635</v>
      </c>
      <c r="I191" s="1">
        <v>336</v>
      </c>
      <c r="J191" s="10">
        <f t="shared" si="10"/>
        <v>49015600.56484678</v>
      </c>
    </row>
    <row r="192" spans="1:10" ht="12.75">
      <c r="A192" s="3">
        <v>39722</v>
      </c>
      <c r="B192" s="52">
        <v>49255560</v>
      </c>
      <c r="C192" s="77">
        <v>227.4</v>
      </c>
      <c r="D192" s="77">
        <v>0</v>
      </c>
      <c r="E192" s="39">
        <f t="shared" si="20"/>
        <v>139.88</v>
      </c>
      <c r="F192" s="10">
        <v>31</v>
      </c>
      <c r="G192" s="10">
        <v>1</v>
      </c>
      <c r="H192" s="52">
        <f aca="true" t="shared" si="22" ref="H192:H197">+H191+20</f>
        <v>43655</v>
      </c>
      <c r="I192" s="1">
        <v>352</v>
      </c>
      <c r="J192" s="10">
        <f aca="true" t="shared" si="23" ref="J192:J218">$N$79+C192*$N$80+D192*$N$81+E192*$N$82+F192*$N$83+G192*$N$84+H192*$N$85+I192*$N$86</f>
        <v>51548735.08647159</v>
      </c>
    </row>
    <row r="193" spans="1:10" ht="12.75">
      <c r="A193" s="3">
        <v>39753</v>
      </c>
      <c r="B193" s="52">
        <v>49017380</v>
      </c>
      <c r="C193" s="77">
        <v>282.4</v>
      </c>
      <c r="D193" s="77">
        <v>0</v>
      </c>
      <c r="E193" s="39">
        <f>+E194+0.04</f>
        <v>139.84</v>
      </c>
      <c r="F193" s="10">
        <v>30</v>
      </c>
      <c r="G193" s="10">
        <v>1</v>
      </c>
      <c r="H193" s="52">
        <f t="shared" si="22"/>
        <v>43675</v>
      </c>
      <c r="I193" s="1">
        <v>304</v>
      </c>
      <c r="J193" s="10">
        <f t="shared" si="23"/>
        <v>49191035.308164366</v>
      </c>
    </row>
    <row r="194" spans="1:10" ht="12.75">
      <c r="A194" s="3">
        <v>39783</v>
      </c>
      <c r="B194" s="52">
        <f>49664880+470438-383399</f>
        <v>49751919</v>
      </c>
      <c r="C194" s="77">
        <v>448.2</v>
      </c>
      <c r="D194" s="77">
        <v>0</v>
      </c>
      <c r="E194" s="39">
        <v>139.8</v>
      </c>
      <c r="F194" s="10">
        <v>31</v>
      </c>
      <c r="G194" s="10">
        <v>0</v>
      </c>
      <c r="H194" s="52">
        <f t="shared" si="22"/>
        <v>43695</v>
      </c>
      <c r="I194" s="1">
        <v>336</v>
      </c>
      <c r="J194" s="10">
        <f t="shared" si="23"/>
        <v>53228768.97651964</v>
      </c>
    </row>
    <row r="195" spans="1:10" ht="12.75">
      <c r="A195" s="3">
        <v>39814</v>
      </c>
      <c r="C195" s="20">
        <f aca="true" t="shared" si="24" ref="C195:D198">(+C63+C75+C87+C99+C111+C123+C135+C147+C159+C171+C183)/11</f>
        <v>667.3272727272728</v>
      </c>
      <c r="D195" s="20">
        <f t="shared" si="24"/>
        <v>0</v>
      </c>
      <c r="E195" s="39">
        <f aca="true" t="shared" si="25" ref="E195:E204">+E196+0.29</f>
        <v>139.48999999999992</v>
      </c>
      <c r="F195" s="10">
        <v>31</v>
      </c>
      <c r="G195" s="10">
        <v>0</v>
      </c>
      <c r="H195" s="52">
        <f t="shared" si="22"/>
        <v>43715</v>
      </c>
      <c r="I195" s="1">
        <v>336</v>
      </c>
      <c r="J195" s="10">
        <f t="shared" si="23"/>
        <v>55429885.254391156</v>
      </c>
    </row>
    <row r="196" spans="1:10" ht="12.75">
      <c r="A196" s="3">
        <v>39845</v>
      </c>
      <c r="C196" s="20">
        <f t="shared" si="24"/>
        <v>589.9636363636364</v>
      </c>
      <c r="D196" s="20">
        <f t="shared" si="24"/>
        <v>0</v>
      </c>
      <c r="E196" s="39">
        <f t="shared" si="25"/>
        <v>139.19999999999993</v>
      </c>
      <c r="F196" s="10">
        <v>28</v>
      </c>
      <c r="G196" s="10">
        <v>0</v>
      </c>
      <c r="H196" s="52">
        <f t="shared" si="22"/>
        <v>43735</v>
      </c>
      <c r="I196" s="1">
        <v>304</v>
      </c>
      <c r="J196" s="10">
        <f t="shared" si="23"/>
        <v>50960859.70669142</v>
      </c>
    </row>
    <row r="197" spans="1:10" ht="12.75">
      <c r="A197" s="3">
        <v>39873</v>
      </c>
      <c r="C197" s="20">
        <f t="shared" si="24"/>
        <v>532.3181818181819</v>
      </c>
      <c r="D197" s="20">
        <f t="shared" si="24"/>
        <v>0.09090909090909091</v>
      </c>
      <c r="E197" s="39">
        <f t="shared" si="25"/>
        <v>138.90999999999994</v>
      </c>
      <c r="F197" s="10">
        <v>31</v>
      </c>
      <c r="G197" s="10">
        <v>1</v>
      </c>
      <c r="H197" s="52">
        <f t="shared" si="22"/>
        <v>43755</v>
      </c>
      <c r="I197" s="1">
        <v>352</v>
      </c>
      <c r="J197" s="10">
        <f t="shared" si="23"/>
        <v>53932713.69552383</v>
      </c>
    </row>
    <row r="198" spans="1:10" ht="12.75">
      <c r="A198" s="3">
        <v>39904</v>
      </c>
      <c r="C198" s="20">
        <f t="shared" si="24"/>
        <v>309.3636363636363</v>
      </c>
      <c r="D198" s="20">
        <f t="shared" si="24"/>
        <v>1.0818181818181818</v>
      </c>
      <c r="E198" s="39">
        <f t="shared" si="25"/>
        <v>138.61999999999995</v>
      </c>
      <c r="F198" s="10">
        <v>30</v>
      </c>
      <c r="G198" s="10">
        <v>1</v>
      </c>
      <c r="H198" s="52">
        <f aca="true" t="shared" si="26" ref="H198:H203">+H197+21</f>
        <v>43776</v>
      </c>
      <c r="I198" s="1">
        <v>320</v>
      </c>
      <c r="J198" s="10">
        <f t="shared" si="23"/>
        <v>49097722.84928031</v>
      </c>
    </row>
    <row r="199" spans="1:10" ht="12.75">
      <c r="A199" s="3">
        <v>39934</v>
      </c>
      <c r="C199" s="20">
        <f aca="true" t="shared" si="27" ref="C199:C206">(+C67+C79+C91+C103+C115+C127+C139+C151+C163+C175+C187)/11</f>
        <v>147</v>
      </c>
      <c r="D199" s="20">
        <f aca="true" t="shared" si="28" ref="D199:D206">(+D67+D79+D91+D103+D115+D127+D139+D151+D163+D175+D187)/11</f>
        <v>12.436363636363637</v>
      </c>
      <c r="E199" s="39">
        <f t="shared" si="25"/>
        <v>138.32999999999996</v>
      </c>
      <c r="F199" s="10">
        <v>31</v>
      </c>
      <c r="G199" s="10">
        <v>1</v>
      </c>
      <c r="H199" s="52">
        <f t="shared" si="26"/>
        <v>43797</v>
      </c>
      <c r="I199" s="1">
        <v>320</v>
      </c>
      <c r="J199" s="10">
        <f t="shared" si="23"/>
        <v>48222771.17109291</v>
      </c>
    </row>
    <row r="200" spans="1:10" ht="12.75">
      <c r="A200" s="3">
        <v>39965</v>
      </c>
      <c r="C200" s="20">
        <f t="shared" si="27"/>
        <v>40.54545454545454</v>
      </c>
      <c r="D200" s="20">
        <f t="shared" si="28"/>
        <v>61.01818181818181</v>
      </c>
      <c r="E200" s="39">
        <f t="shared" si="25"/>
        <v>138.03999999999996</v>
      </c>
      <c r="F200" s="10">
        <v>30</v>
      </c>
      <c r="G200" s="10">
        <v>0</v>
      </c>
      <c r="H200" s="52">
        <f t="shared" si="26"/>
        <v>43818</v>
      </c>
      <c r="I200" s="1">
        <v>352</v>
      </c>
      <c r="J200" s="10">
        <f t="shared" si="23"/>
        <v>50437435.5047583</v>
      </c>
    </row>
    <row r="201" spans="1:10" ht="12.75">
      <c r="A201" s="3">
        <v>39995</v>
      </c>
      <c r="C201" s="20">
        <f t="shared" si="27"/>
        <v>8.863636363636363</v>
      </c>
      <c r="D201" s="20">
        <f t="shared" si="28"/>
        <v>89.10000000000001</v>
      </c>
      <c r="E201" s="39">
        <f t="shared" si="25"/>
        <v>137.74999999999997</v>
      </c>
      <c r="F201" s="10">
        <v>31</v>
      </c>
      <c r="G201" s="10">
        <v>0</v>
      </c>
      <c r="H201" s="52">
        <f t="shared" si="26"/>
        <v>43839</v>
      </c>
      <c r="I201" s="1">
        <v>352</v>
      </c>
      <c r="J201" s="10">
        <f t="shared" si="23"/>
        <v>51939209.230480224</v>
      </c>
    </row>
    <row r="202" spans="1:10" ht="12.75">
      <c r="A202" s="3">
        <v>40026</v>
      </c>
      <c r="C202" s="20">
        <f t="shared" si="27"/>
        <v>13.9</v>
      </c>
      <c r="D202" s="20">
        <f t="shared" si="28"/>
        <v>67.04545454545453</v>
      </c>
      <c r="E202" s="39">
        <f t="shared" si="25"/>
        <v>137.45999999999998</v>
      </c>
      <c r="F202" s="10">
        <v>31</v>
      </c>
      <c r="G202" s="10">
        <v>0</v>
      </c>
      <c r="H202" s="52">
        <f t="shared" si="26"/>
        <v>43860</v>
      </c>
      <c r="I202" s="1">
        <v>320</v>
      </c>
      <c r="J202" s="10">
        <f t="shared" si="23"/>
        <v>49052252.615589604</v>
      </c>
    </row>
    <row r="203" spans="1:10" ht="12.75">
      <c r="A203" s="3">
        <v>40057</v>
      </c>
      <c r="C203" s="20">
        <f t="shared" si="27"/>
        <v>67.64545454545454</v>
      </c>
      <c r="D203" s="20">
        <f t="shared" si="28"/>
        <v>27.58181818181818</v>
      </c>
      <c r="E203" s="39">
        <f t="shared" si="25"/>
        <v>137.17</v>
      </c>
      <c r="F203" s="10">
        <v>30</v>
      </c>
      <c r="G203" s="10">
        <v>1</v>
      </c>
      <c r="H203" s="52">
        <f t="shared" si="26"/>
        <v>43881</v>
      </c>
      <c r="I203" s="1">
        <v>336</v>
      </c>
      <c r="J203" s="10">
        <f t="shared" si="23"/>
        <v>47197704.31864127</v>
      </c>
    </row>
    <row r="204" spans="1:10" ht="12.75">
      <c r="A204" s="3">
        <v>40087</v>
      </c>
      <c r="C204" s="20">
        <f t="shared" si="27"/>
        <v>249.6181818181818</v>
      </c>
      <c r="D204" s="20">
        <f t="shared" si="28"/>
        <v>3.4181818181818184</v>
      </c>
      <c r="E204" s="39">
        <f t="shared" si="25"/>
        <v>136.88</v>
      </c>
      <c r="F204" s="10">
        <v>31</v>
      </c>
      <c r="G204" s="10">
        <v>1</v>
      </c>
      <c r="H204" s="52">
        <f aca="true" t="shared" si="29" ref="H204:H209">+H203+20</f>
        <v>43901</v>
      </c>
      <c r="I204" s="1">
        <v>336</v>
      </c>
      <c r="J204" s="10">
        <f t="shared" si="23"/>
        <v>48303094.10757118</v>
      </c>
    </row>
    <row r="205" spans="1:10" ht="12.75">
      <c r="A205" s="3">
        <v>40118</v>
      </c>
      <c r="C205" s="20">
        <f t="shared" si="27"/>
        <v>389.3636363636364</v>
      </c>
      <c r="D205" s="20">
        <f t="shared" si="28"/>
        <v>0</v>
      </c>
      <c r="E205" s="39">
        <f>+E206+0.29</f>
        <v>136.59</v>
      </c>
      <c r="F205" s="10">
        <v>30</v>
      </c>
      <c r="G205" s="10">
        <v>1</v>
      </c>
      <c r="H205" s="52">
        <f t="shared" si="29"/>
        <v>43921</v>
      </c>
      <c r="I205" s="1">
        <v>320</v>
      </c>
      <c r="J205" s="10">
        <f t="shared" si="23"/>
        <v>48075346.32528113</v>
      </c>
    </row>
    <row r="206" spans="1:10" ht="12.75">
      <c r="A206" s="3">
        <v>40148</v>
      </c>
      <c r="C206" s="20">
        <f t="shared" si="27"/>
        <v>593.6363636363636</v>
      </c>
      <c r="D206" s="20">
        <f t="shared" si="28"/>
        <v>0</v>
      </c>
      <c r="E206" s="39">
        <v>136.3</v>
      </c>
      <c r="F206" s="10">
        <v>31</v>
      </c>
      <c r="G206" s="10">
        <v>0</v>
      </c>
      <c r="H206" s="52">
        <f t="shared" si="29"/>
        <v>43941</v>
      </c>
      <c r="I206" s="1">
        <v>352</v>
      </c>
      <c r="J206" s="10">
        <f t="shared" si="23"/>
        <v>52417312.18220106</v>
      </c>
    </row>
    <row r="207" spans="1:10" ht="12.75">
      <c r="A207" s="3">
        <v>40179</v>
      </c>
      <c r="C207" s="20">
        <f aca="true" t="shared" si="30" ref="C207:C218">(+C63+C75+C87+C99+C111+C123+C135+C147+C159+C171+C183+C195)/12</f>
        <v>667.3272727272728</v>
      </c>
      <c r="D207" s="20">
        <f aca="true" t="shared" si="31" ref="D207:D218">(+D63+D75+D87+D99+D111+D123+D135+D147+D159+D171+D183+D195)/12</f>
        <v>0</v>
      </c>
      <c r="E207" s="39">
        <f aca="true" t="shared" si="32" ref="E207:E216">+E208-0.26</f>
        <v>136.5400000000001</v>
      </c>
      <c r="F207" s="10">
        <v>31</v>
      </c>
      <c r="G207" s="10">
        <v>0</v>
      </c>
      <c r="H207" s="52">
        <f t="shared" si="29"/>
        <v>43961</v>
      </c>
      <c r="I207" s="1">
        <v>320</v>
      </c>
      <c r="J207" s="10">
        <f t="shared" si="23"/>
        <v>51775262.150536224</v>
      </c>
    </row>
    <row r="208" spans="1:10" ht="12.75">
      <c r="A208" s="3">
        <v>40210</v>
      </c>
      <c r="C208" s="20">
        <f t="shared" si="30"/>
        <v>589.9636363636364</v>
      </c>
      <c r="D208" s="20">
        <f t="shared" si="31"/>
        <v>0</v>
      </c>
      <c r="E208" s="39">
        <f t="shared" si="32"/>
        <v>136.8000000000001</v>
      </c>
      <c r="F208" s="10">
        <v>28</v>
      </c>
      <c r="G208" s="10">
        <v>0</v>
      </c>
      <c r="H208" s="52">
        <f t="shared" si="29"/>
        <v>43981</v>
      </c>
      <c r="I208" s="1">
        <v>304</v>
      </c>
      <c r="J208" s="10">
        <f t="shared" si="23"/>
        <v>48336335.032400526</v>
      </c>
    </row>
    <row r="209" spans="1:10" ht="12.75">
      <c r="A209" s="3">
        <v>40238</v>
      </c>
      <c r="C209" s="20">
        <f t="shared" si="30"/>
        <v>532.3181818181819</v>
      </c>
      <c r="D209" s="20">
        <f t="shared" si="31"/>
        <v>0.0909090909090909</v>
      </c>
      <c r="E209" s="39">
        <f t="shared" si="32"/>
        <v>137.0600000000001</v>
      </c>
      <c r="F209" s="10">
        <v>31</v>
      </c>
      <c r="G209" s="10">
        <v>1</v>
      </c>
      <c r="H209" s="52">
        <f t="shared" si="29"/>
        <v>44001</v>
      </c>
      <c r="I209" s="1">
        <v>368</v>
      </c>
      <c r="J209" s="10">
        <f t="shared" si="23"/>
        <v>52338287.45079695</v>
      </c>
    </row>
    <row r="210" spans="1:10" ht="12.75">
      <c r="A210" s="3">
        <v>40269</v>
      </c>
      <c r="C210" s="20">
        <f t="shared" si="30"/>
        <v>309.3636363636363</v>
      </c>
      <c r="D210" s="20">
        <f t="shared" si="31"/>
        <v>1.0818181818181818</v>
      </c>
      <c r="E210" s="39">
        <f t="shared" si="32"/>
        <v>137.32000000000008</v>
      </c>
      <c r="F210" s="10">
        <v>30</v>
      </c>
      <c r="G210" s="10">
        <v>1</v>
      </c>
      <c r="H210" s="52">
        <f aca="true" t="shared" si="33" ref="H210:H215">+H209+21</f>
        <v>44022</v>
      </c>
      <c r="I210" s="1">
        <v>320</v>
      </c>
      <c r="J210" s="10">
        <f t="shared" si="23"/>
        <v>47046032.89572914</v>
      </c>
    </row>
    <row r="211" spans="1:10" ht="12.75">
      <c r="A211" s="3">
        <v>40299</v>
      </c>
      <c r="C211" s="20">
        <f t="shared" si="30"/>
        <v>147</v>
      </c>
      <c r="D211" s="20">
        <f t="shared" si="31"/>
        <v>12.436363636363637</v>
      </c>
      <c r="E211" s="39">
        <f t="shared" si="32"/>
        <v>137.58000000000007</v>
      </c>
      <c r="F211" s="10">
        <v>31</v>
      </c>
      <c r="G211" s="10">
        <v>1</v>
      </c>
      <c r="H211" s="52">
        <f t="shared" si="33"/>
        <v>44043</v>
      </c>
      <c r="I211" s="1">
        <v>320</v>
      </c>
      <c r="J211" s="10">
        <f t="shared" si="23"/>
        <v>46457498.57791166</v>
      </c>
    </row>
    <row r="212" spans="1:10" ht="12.75">
      <c r="A212" s="3">
        <v>40330</v>
      </c>
      <c r="C212" s="20">
        <f t="shared" si="30"/>
        <v>40.54545454545454</v>
      </c>
      <c r="D212" s="20">
        <f t="shared" si="31"/>
        <v>61.01818181818181</v>
      </c>
      <c r="E212" s="39">
        <f t="shared" si="32"/>
        <v>137.84000000000006</v>
      </c>
      <c r="F212" s="10">
        <v>30</v>
      </c>
      <c r="G212" s="10">
        <v>0</v>
      </c>
      <c r="H212" s="52">
        <f t="shared" si="33"/>
        <v>44064</v>
      </c>
      <c r="I212" s="1">
        <v>352</v>
      </c>
      <c r="J212" s="10">
        <f t="shared" si="23"/>
        <v>48958580.27194691</v>
      </c>
    </row>
    <row r="213" spans="1:10" ht="12.75">
      <c r="A213" s="3">
        <v>40360</v>
      </c>
      <c r="C213" s="20">
        <f t="shared" si="30"/>
        <v>8.863636363636363</v>
      </c>
      <c r="D213" s="20">
        <f t="shared" si="31"/>
        <v>89.10000000000001</v>
      </c>
      <c r="E213" s="39">
        <f t="shared" si="32"/>
        <v>138.10000000000005</v>
      </c>
      <c r="F213" s="10">
        <v>31</v>
      </c>
      <c r="G213" s="10">
        <v>0</v>
      </c>
      <c r="H213" s="52">
        <f t="shared" si="33"/>
        <v>44085</v>
      </c>
      <c r="I213" s="1">
        <v>336</v>
      </c>
      <c r="J213" s="10">
        <f t="shared" si="23"/>
        <v>50003090.28884452</v>
      </c>
    </row>
    <row r="214" spans="1:10" ht="12.75">
      <c r="A214" s="3">
        <v>40391</v>
      </c>
      <c r="C214" s="20">
        <f t="shared" si="30"/>
        <v>13.9</v>
      </c>
      <c r="D214" s="20">
        <f t="shared" si="31"/>
        <v>67.04545454545453</v>
      </c>
      <c r="E214" s="39">
        <f t="shared" si="32"/>
        <v>138.36000000000004</v>
      </c>
      <c r="F214" s="10">
        <v>31</v>
      </c>
      <c r="G214" s="10">
        <v>0</v>
      </c>
      <c r="H214" s="52">
        <f t="shared" si="33"/>
        <v>44106</v>
      </c>
      <c r="I214" s="1">
        <v>336</v>
      </c>
      <c r="J214" s="10">
        <f t="shared" si="23"/>
        <v>48889913.17271211</v>
      </c>
    </row>
    <row r="215" spans="1:10" ht="12.75">
      <c r="A215" s="3">
        <v>40422</v>
      </c>
      <c r="C215" s="20">
        <f t="shared" si="30"/>
        <v>67.64545454545454</v>
      </c>
      <c r="D215" s="20">
        <f t="shared" si="31"/>
        <v>27.58181818181818</v>
      </c>
      <c r="E215" s="39">
        <f t="shared" si="32"/>
        <v>138.62000000000003</v>
      </c>
      <c r="F215" s="10">
        <v>30</v>
      </c>
      <c r="G215" s="10">
        <v>1</v>
      </c>
      <c r="H215" s="52">
        <f t="shared" si="33"/>
        <v>44127</v>
      </c>
      <c r="I215" s="1">
        <v>336</v>
      </c>
      <c r="J215" s="10">
        <f t="shared" si="23"/>
        <v>46578101.16693952</v>
      </c>
    </row>
    <row r="216" spans="1:10" ht="12.75">
      <c r="A216" s="3">
        <v>40452</v>
      </c>
      <c r="C216" s="20">
        <f t="shared" si="30"/>
        <v>249.6181818181818</v>
      </c>
      <c r="D216" s="20">
        <f t="shared" si="31"/>
        <v>3.4181818181818184</v>
      </c>
      <c r="E216" s="39">
        <f t="shared" si="32"/>
        <v>138.88000000000002</v>
      </c>
      <c r="F216" s="10">
        <v>31</v>
      </c>
      <c r="G216" s="10">
        <v>1</v>
      </c>
      <c r="H216" s="52">
        <f>+H215+20</f>
        <v>44147</v>
      </c>
      <c r="I216" s="1">
        <v>320</v>
      </c>
      <c r="J216" s="10">
        <f t="shared" si="23"/>
        <v>47226227.247045115</v>
      </c>
    </row>
    <row r="217" spans="1:10" ht="12.75">
      <c r="A217" s="3">
        <v>40483</v>
      </c>
      <c r="C217" s="20">
        <f t="shared" si="30"/>
        <v>389.3636363636363</v>
      </c>
      <c r="D217" s="20">
        <f t="shared" si="31"/>
        <v>0</v>
      </c>
      <c r="E217" s="39">
        <f>+E218-0.26</f>
        <v>139.14000000000001</v>
      </c>
      <c r="F217" s="10">
        <v>30</v>
      </c>
      <c r="G217" s="10">
        <v>1</v>
      </c>
      <c r="H217" s="52">
        <f>+H216+20</f>
        <v>44167</v>
      </c>
      <c r="I217" s="1">
        <v>336</v>
      </c>
      <c r="J217" s="10">
        <f t="shared" si="23"/>
        <v>48772258.96351328</v>
      </c>
    </row>
    <row r="218" spans="1:10" ht="12.75">
      <c r="A218" s="3">
        <v>40513</v>
      </c>
      <c r="C218" s="20">
        <f t="shared" si="30"/>
        <v>593.6363636363636</v>
      </c>
      <c r="D218" s="20">
        <f t="shared" si="31"/>
        <v>0</v>
      </c>
      <c r="E218" s="39">
        <v>139.4</v>
      </c>
      <c r="F218" s="10">
        <v>31</v>
      </c>
      <c r="G218" s="10">
        <v>0</v>
      </c>
      <c r="H218" s="52">
        <f>+H217+20</f>
        <v>44187</v>
      </c>
      <c r="I218" s="1">
        <v>368</v>
      </c>
      <c r="J218" s="10">
        <f t="shared" si="23"/>
        <v>53400642.180803135</v>
      </c>
    </row>
    <row r="219" spans="1:8" ht="12.75">
      <c r="A219" s="3"/>
      <c r="H219" s="59">
        <f>+H218+20</f>
        <v>44207</v>
      </c>
    </row>
    <row r="220" spans="1:10" ht="12.75">
      <c r="A220" s="3"/>
      <c r="C220" s="21"/>
      <c r="D220" s="1" t="s">
        <v>19</v>
      </c>
      <c r="J220" s="59">
        <f>SUM(J63:J218)</f>
        <v>8044363037.9206915</v>
      </c>
    </row>
    <row r="221" ht="12.75">
      <c r="A221" s="3"/>
    </row>
    <row r="222" spans="1:12" ht="12.75">
      <c r="A222">
        <v>1996</v>
      </c>
      <c r="J222" s="6"/>
      <c r="K222" s="45"/>
      <c r="L222" s="5"/>
    </row>
    <row r="223" spans="1:12" ht="12.75">
      <c r="A223" s="18">
        <v>1997</v>
      </c>
      <c r="E223" s="40">
        <f>+E206*1.025</f>
        <v>139.7075</v>
      </c>
      <c r="J223" s="6"/>
      <c r="K223" s="45"/>
      <c r="L223" s="5"/>
    </row>
    <row r="224" spans="1:12" ht="12.75">
      <c r="A224">
        <v>1998</v>
      </c>
      <c r="B224" s="6">
        <f>SUM(B63:B74)</f>
        <v>567117349</v>
      </c>
      <c r="J224" s="6">
        <f>SUM(J63:J74)</f>
        <v>565333998.7456169</v>
      </c>
      <c r="K224" s="45">
        <f aca="true" t="shared" si="34" ref="K224:K234">J224-B224</f>
        <v>-1783350.2543830872</v>
      </c>
      <c r="L224" s="5">
        <f aca="true" t="shared" si="35" ref="L224:L234">K224/B224</f>
        <v>-0.003144587725146612</v>
      </c>
    </row>
    <row r="225" spans="1:12" ht="12.75">
      <c r="A225" s="18">
        <v>1999</v>
      </c>
      <c r="B225" s="6">
        <f>SUM(B75:B86)</f>
        <v>593828652</v>
      </c>
      <c r="J225" s="6">
        <f>SUM(J75:J86)</f>
        <v>593691923.2116864</v>
      </c>
      <c r="K225" s="45">
        <f t="shared" si="34"/>
        <v>-136728.78831362724</v>
      </c>
      <c r="L225" s="5">
        <f t="shared" si="35"/>
        <v>-0.0002302495641682632</v>
      </c>
    </row>
    <row r="226" spans="1:12" ht="12.75">
      <c r="A226">
        <v>2000</v>
      </c>
      <c r="B226" s="6">
        <f>SUM(B87:B98)</f>
        <v>611283741.3000001</v>
      </c>
      <c r="J226" s="6">
        <f>SUM(J87:J98)</f>
        <v>617457354.1785637</v>
      </c>
      <c r="K226" s="45">
        <f t="shared" si="34"/>
        <v>6173612.8785636425</v>
      </c>
      <c r="L226" s="5">
        <f t="shared" si="35"/>
        <v>0.010099422676340765</v>
      </c>
    </row>
    <row r="227" spans="1:12" ht="12.75">
      <c r="A227" s="18">
        <v>2001</v>
      </c>
      <c r="B227" s="6">
        <f>SUM(B99:B110)</f>
        <v>616059685</v>
      </c>
      <c r="J227" s="6">
        <f>SUM(J99:J110)</f>
        <v>625665509.8204998</v>
      </c>
      <c r="K227" s="45">
        <f t="shared" si="34"/>
        <v>9605824.820499778</v>
      </c>
      <c r="L227" s="5">
        <f t="shared" si="35"/>
        <v>0.015592360698784856</v>
      </c>
    </row>
    <row r="228" spans="1:12" ht="12.75">
      <c r="A228">
        <v>2002</v>
      </c>
      <c r="B228" s="6">
        <f>SUM(B111:B122)</f>
        <v>639349517.1499999</v>
      </c>
      <c r="J228" s="6">
        <f>SUM(J111:J122)</f>
        <v>637542922.00601</v>
      </c>
      <c r="K228" s="45">
        <f t="shared" si="34"/>
        <v>-1806595.1439898014</v>
      </c>
      <c r="L228" s="5">
        <f t="shared" si="35"/>
        <v>-0.0028256768723983416</v>
      </c>
    </row>
    <row r="229" spans="1:12" ht="12.75">
      <c r="A229" s="18">
        <v>2003</v>
      </c>
      <c r="B229" s="6">
        <f>SUM(B123:B134)</f>
        <v>640334466.11</v>
      </c>
      <c r="J229" s="6">
        <f>SUM(J123:J134)</f>
        <v>635007487.4822842</v>
      </c>
      <c r="K229" s="45">
        <f t="shared" si="34"/>
        <v>-5326978.627715826</v>
      </c>
      <c r="L229" s="5">
        <f t="shared" si="35"/>
        <v>-0.008319056539431581</v>
      </c>
    </row>
    <row r="230" spans="1:12" ht="12.75">
      <c r="A230">
        <v>2004</v>
      </c>
      <c r="B230" s="6">
        <f>SUM(B135:B146)</f>
        <v>649308540</v>
      </c>
      <c r="J230" s="6">
        <f>SUM(J135:J146)</f>
        <v>633453564.5537257</v>
      </c>
      <c r="K230" s="45">
        <f t="shared" si="34"/>
        <v>-15854975.44627428</v>
      </c>
      <c r="L230" s="5">
        <f t="shared" si="35"/>
        <v>-0.02441824567142499</v>
      </c>
    </row>
    <row r="231" spans="1:12" ht="12.75">
      <c r="A231" s="18">
        <v>2005</v>
      </c>
      <c r="B231" s="6">
        <f>SUM(B147:B158)</f>
        <v>650800740</v>
      </c>
      <c r="J231" s="6">
        <f>SUM(J147:J158)</f>
        <v>649189217.7465508</v>
      </c>
      <c r="K231" s="45">
        <f t="shared" si="34"/>
        <v>-1611522.2534492016</v>
      </c>
      <c r="L231" s="5">
        <f t="shared" si="35"/>
        <v>-0.0024762145375698276</v>
      </c>
    </row>
    <row r="232" spans="1:12" ht="12.75">
      <c r="A232">
        <v>2006</v>
      </c>
      <c r="B232" s="6">
        <f>SUM(B159:B170)</f>
        <v>635441692</v>
      </c>
      <c r="J232" s="6">
        <f>SUM(J159:J170)</f>
        <v>642245829.0544798</v>
      </c>
      <c r="K232" s="45">
        <f t="shared" si="34"/>
        <v>6804137.054479837</v>
      </c>
      <c r="L232" s="5">
        <f t="shared" si="35"/>
        <v>0.010707728403945892</v>
      </c>
    </row>
    <row r="233" spans="1:12" ht="12.75">
      <c r="A233" s="18">
        <v>2007</v>
      </c>
      <c r="B233" s="6">
        <f>SUM(B171:B182)</f>
        <v>634322920</v>
      </c>
      <c r="J233" s="6">
        <f>SUM(J171:J182)</f>
        <v>632774446.3476104</v>
      </c>
      <c r="K233" s="45">
        <f t="shared" si="34"/>
        <v>-1548473.6523896456</v>
      </c>
      <c r="L233" s="5">
        <f t="shared" si="35"/>
        <v>-0.002441144098008701</v>
      </c>
    </row>
    <row r="234" spans="1:12" ht="12.75">
      <c r="A234">
        <v>2008</v>
      </c>
      <c r="B234" s="6">
        <f>SUM(B183:B194)</f>
        <v>611667199</v>
      </c>
      <c r="J234" s="6">
        <f>SUM(J183:J194)</f>
        <v>617152248.4129784</v>
      </c>
      <c r="K234" s="45">
        <f t="shared" si="34"/>
        <v>5485049.412978411</v>
      </c>
      <c r="L234" s="5">
        <f t="shared" si="35"/>
        <v>0.00896737543217257</v>
      </c>
    </row>
    <row r="235" spans="1:10" ht="12.75">
      <c r="A235" s="18">
        <v>2009</v>
      </c>
      <c r="J235" s="6">
        <f>SUM(J195:J206)</f>
        <v>605066306.9615024</v>
      </c>
    </row>
    <row r="236" spans="1:10" ht="12.75">
      <c r="A236">
        <v>2010</v>
      </c>
      <c r="J236" s="6">
        <f>SUM(J207:J218)</f>
        <v>589782229.399179</v>
      </c>
    </row>
    <row r="237" spans="1:10" ht="12.75">
      <c r="A237" s="88">
        <v>2010</v>
      </c>
      <c r="B237" s="89" t="s">
        <v>157</v>
      </c>
      <c r="J237" s="89">
        <f>+J236+((774000+1161000)*1.0258)</f>
        <v>591767152.399179</v>
      </c>
    </row>
    <row r="238" spans="1:11" ht="12.75">
      <c r="A238" t="s">
        <v>67</v>
      </c>
      <c r="B238" s="6">
        <f>SUM(B224:B234)</f>
        <v>6849514501.559999</v>
      </c>
      <c r="J238" s="6">
        <f>SUM(J224:J234)</f>
        <v>6849514501.560005</v>
      </c>
      <c r="K238" s="6">
        <f>J238-B238</f>
        <v>0</v>
      </c>
    </row>
    <row r="240" spans="10:11" ht="12.75">
      <c r="J240" s="6">
        <f>SUM(J224:J236)</f>
        <v>8044363037.920687</v>
      </c>
      <c r="K240" s="59">
        <f>J220-J240</f>
        <v>0</v>
      </c>
    </row>
    <row r="241" spans="10:12" ht="12.75">
      <c r="J241" s="21"/>
      <c r="K241" s="21" t="s">
        <v>66</v>
      </c>
      <c r="L241" s="21"/>
    </row>
    <row r="245" ht="12.75">
      <c r="D245" s="2" t="s">
        <v>154</v>
      </c>
    </row>
    <row r="246" spans="3:5" ht="12.75">
      <c r="C246" s="1">
        <f aca="true" t="shared" si="36" ref="C246:C258">+A224</f>
        <v>1998</v>
      </c>
      <c r="D246" s="6">
        <f>+B224/1000000</f>
        <v>567.117349</v>
      </c>
      <c r="E246" s="6">
        <f aca="true" t="shared" si="37" ref="E246:E257">+J224/1000000</f>
        <v>565.3339987456169</v>
      </c>
    </row>
    <row r="247" spans="3:5" ht="12.75">
      <c r="C247" s="1">
        <f t="shared" si="36"/>
        <v>1999</v>
      </c>
      <c r="D247" s="6">
        <f aca="true" t="shared" si="38" ref="D247:D258">+B225/1000000</f>
        <v>593.828652</v>
      </c>
      <c r="E247" s="6">
        <f t="shared" si="37"/>
        <v>593.6919232116863</v>
      </c>
    </row>
    <row r="248" spans="3:5" ht="12.75">
      <c r="C248" s="1">
        <f t="shared" si="36"/>
        <v>2000</v>
      </c>
      <c r="D248" s="6">
        <f t="shared" si="38"/>
        <v>611.2837413000001</v>
      </c>
      <c r="E248" s="6">
        <f t="shared" si="37"/>
        <v>617.4573541785637</v>
      </c>
    </row>
    <row r="249" spans="3:5" ht="12.75">
      <c r="C249" s="1">
        <f t="shared" si="36"/>
        <v>2001</v>
      </c>
      <c r="D249" s="6">
        <f t="shared" si="38"/>
        <v>616.059685</v>
      </c>
      <c r="E249" s="6">
        <f t="shared" si="37"/>
        <v>625.6655098204998</v>
      </c>
    </row>
    <row r="250" spans="3:5" ht="12.75">
      <c r="C250" s="1">
        <f t="shared" si="36"/>
        <v>2002</v>
      </c>
      <c r="D250" s="6">
        <f t="shared" si="38"/>
        <v>639.3495171499999</v>
      </c>
      <c r="E250" s="6">
        <f t="shared" si="37"/>
        <v>637.54292200601</v>
      </c>
    </row>
    <row r="251" spans="3:5" ht="12.75">
      <c r="C251" s="1">
        <f t="shared" si="36"/>
        <v>2003</v>
      </c>
      <c r="D251" s="6">
        <f t="shared" si="38"/>
        <v>640.33446611</v>
      </c>
      <c r="E251" s="6">
        <f t="shared" si="37"/>
        <v>635.0074874822842</v>
      </c>
    </row>
    <row r="252" spans="3:5" ht="12.75">
      <c r="C252" s="1">
        <f t="shared" si="36"/>
        <v>2004</v>
      </c>
      <c r="D252" s="6">
        <f t="shared" si="38"/>
        <v>649.30854</v>
      </c>
      <c r="E252" s="6">
        <f t="shared" si="37"/>
        <v>633.4535645537258</v>
      </c>
    </row>
    <row r="253" spans="3:5" ht="12.75">
      <c r="C253" s="1">
        <f t="shared" si="36"/>
        <v>2005</v>
      </c>
      <c r="D253" s="6">
        <f t="shared" si="38"/>
        <v>650.80074</v>
      </c>
      <c r="E253" s="6">
        <f t="shared" si="37"/>
        <v>649.1892177465508</v>
      </c>
    </row>
    <row r="254" spans="3:5" ht="12.75">
      <c r="C254" s="1">
        <f t="shared" si="36"/>
        <v>2006</v>
      </c>
      <c r="D254" s="6">
        <f t="shared" si="38"/>
        <v>635.441692</v>
      </c>
      <c r="E254" s="6">
        <f t="shared" si="37"/>
        <v>642.2458290544798</v>
      </c>
    </row>
    <row r="255" spans="3:5" ht="12.75">
      <c r="C255" s="1">
        <f t="shared" si="36"/>
        <v>2007</v>
      </c>
      <c r="D255" s="6">
        <f t="shared" si="38"/>
        <v>634.32292</v>
      </c>
      <c r="E255" s="6">
        <f t="shared" si="37"/>
        <v>632.7744463476104</v>
      </c>
    </row>
    <row r="256" spans="3:5" ht="12.75">
      <c r="C256" s="1">
        <f t="shared" si="36"/>
        <v>2008</v>
      </c>
      <c r="D256" s="6">
        <f t="shared" si="38"/>
        <v>611.667199</v>
      </c>
      <c r="E256" s="6">
        <f t="shared" si="37"/>
        <v>617.1522484129785</v>
      </c>
    </row>
    <row r="257" spans="3:5" ht="12.75">
      <c r="C257" s="1">
        <f t="shared" si="36"/>
        <v>2009</v>
      </c>
      <c r="D257" s="6">
        <f t="shared" si="38"/>
        <v>0</v>
      </c>
      <c r="E257" s="6">
        <f t="shared" si="37"/>
        <v>605.0663069615024</v>
      </c>
    </row>
    <row r="258" spans="3:5" ht="12.75">
      <c r="C258" s="1">
        <f t="shared" si="36"/>
        <v>2010</v>
      </c>
      <c r="D258" s="6">
        <f t="shared" si="38"/>
        <v>0</v>
      </c>
      <c r="E258" s="6">
        <f>+J237/1000000</f>
        <v>591.7671523991789</v>
      </c>
    </row>
    <row r="259" ht="12.75">
      <c r="D259" s="6"/>
    </row>
    <row r="260" ht="12.75">
      <c r="D260" s="6"/>
    </row>
    <row r="261" ht="12.75">
      <c r="D261" s="6"/>
    </row>
  </sheetData>
  <sheetProtection/>
  <printOptions/>
  <pageMargins left="0.38" right="0.75" top="0.48" bottom="0.49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7"/>
  <sheetViews>
    <sheetView zoomScalePageLayoutView="0" workbookViewId="0" topLeftCell="A217">
      <selection activeCell="A242" sqref="A242"/>
    </sheetView>
  </sheetViews>
  <sheetFormatPr defaultColWidth="9.140625" defaultRowHeight="12.75"/>
  <cols>
    <col min="2" max="3" width="12.8515625" style="67" bestFit="1" customWidth="1"/>
    <col min="9" max="9" width="17.8515625" style="0" bestFit="1" customWidth="1"/>
  </cols>
  <sheetData>
    <row r="1" spans="1:3" ht="12.75">
      <c r="A1" s="65" t="s">
        <v>95</v>
      </c>
      <c r="B1" s="66" t="s">
        <v>96</v>
      </c>
      <c r="C1" s="66" t="s">
        <v>97</v>
      </c>
    </row>
    <row r="2" spans="1:3" ht="12.75">
      <c r="A2" s="3">
        <v>32143</v>
      </c>
      <c r="B2" s="67">
        <v>664.7</v>
      </c>
      <c r="C2" s="67">
        <v>0</v>
      </c>
    </row>
    <row r="3" spans="1:3" ht="12.75">
      <c r="A3" s="3">
        <v>32174</v>
      </c>
      <c r="B3" s="67">
        <v>717.4</v>
      </c>
      <c r="C3" s="67">
        <v>0</v>
      </c>
    </row>
    <row r="4" spans="1:3" ht="12.75">
      <c r="A4" s="3">
        <v>32203</v>
      </c>
      <c r="B4" s="67">
        <v>529.9</v>
      </c>
      <c r="C4" s="67">
        <v>0</v>
      </c>
    </row>
    <row r="5" spans="1:3" ht="12.75">
      <c r="A5" s="3">
        <v>32234</v>
      </c>
      <c r="B5" s="67">
        <v>437.3</v>
      </c>
      <c r="C5" s="67">
        <v>0</v>
      </c>
    </row>
    <row r="6" spans="1:3" ht="12.75">
      <c r="A6" s="3">
        <v>32264</v>
      </c>
      <c r="B6" s="67">
        <v>187.7</v>
      </c>
      <c r="C6" s="67">
        <v>0</v>
      </c>
    </row>
    <row r="7" spans="1:3" ht="12.75">
      <c r="A7" s="3">
        <v>32295</v>
      </c>
      <c r="B7" s="67">
        <v>29.7</v>
      </c>
      <c r="C7" s="67">
        <v>71.6</v>
      </c>
    </row>
    <row r="8" spans="1:3" ht="12.75">
      <c r="A8" s="3">
        <v>32325</v>
      </c>
      <c r="B8" s="67">
        <v>16.9</v>
      </c>
      <c r="C8" s="67">
        <v>102.7</v>
      </c>
    </row>
    <row r="9" spans="1:3" ht="12.75">
      <c r="A9" s="3">
        <v>32356</v>
      </c>
      <c r="B9" s="67">
        <v>1.9</v>
      </c>
      <c r="C9" s="67">
        <v>106.8</v>
      </c>
    </row>
    <row r="10" spans="1:3" ht="12.75">
      <c r="A10" s="3">
        <v>32387</v>
      </c>
      <c r="B10" s="67">
        <v>134.7</v>
      </c>
      <c r="C10" s="67">
        <v>8.8</v>
      </c>
    </row>
    <row r="11" spans="1:3" ht="12.75">
      <c r="A11" s="3">
        <v>32417</v>
      </c>
      <c r="B11" s="67">
        <v>227.9</v>
      </c>
      <c r="C11" s="67">
        <v>0.5</v>
      </c>
    </row>
    <row r="12" spans="1:3" ht="12.75">
      <c r="A12" s="3">
        <v>32448</v>
      </c>
      <c r="B12" s="67">
        <v>547.3</v>
      </c>
      <c r="C12" s="67">
        <v>0</v>
      </c>
    </row>
    <row r="13" spans="1:3" ht="12.75">
      <c r="A13" s="3">
        <v>32478</v>
      </c>
      <c r="B13" s="67">
        <v>739.2</v>
      </c>
      <c r="C13" s="67">
        <v>0</v>
      </c>
    </row>
    <row r="14" spans="1:3" ht="12.75">
      <c r="A14" s="3">
        <v>32509</v>
      </c>
      <c r="B14" s="67">
        <v>663</v>
      </c>
      <c r="C14" s="67">
        <v>0</v>
      </c>
    </row>
    <row r="15" spans="1:3" ht="12.75">
      <c r="A15" s="3">
        <v>32540</v>
      </c>
      <c r="B15" s="67">
        <v>711.6</v>
      </c>
      <c r="C15" s="67">
        <v>0</v>
      </c>
    </row>
    <row r="16" spans="1:3" ht="12.75">
      <c r="A16" s="3">
        <v>32568</v>
      </c>
      <c r="B16" s="67">
        <v>628.7</v>
      </c>
      <c r="C16" s="67">
        <v>0</v>
      </c>
    </row>
    <row r="17" spans="1:3" ht="12.75">
      <c r="A17" s="3">
        <v>32599</v>
      </c>
      <c r="B17" s="67">
        <v>423.1</v>
      </c>
      <c r="C17" s="67">
        <v>0</v>
      </c>
    </row>
    <row r="18" spans="1:3" ht="12.75">
      <c r="A18" s="3">
        <v>32629</v>
      </c>
      <c r="B18" s="67">
        <v>186.5</v>
      </c>
      <c r="C18" s="67">
        <v>6.5</v>
      </c>
    </row>
    <row r="19" spans="1:3" ht="12.75">
      <c r="A19" s="3">
        <v>32660</v>
      </c>
      <c r="B19" s="67">
        <v>41.7</v>
      </c>
      <c r="C19" s="67">
        <v>36.1</v>
      </c>
    </row>
    <row r="20" spans="1:3" ht="12.75">
      <c r="A20" s="3">
        <v>32690</v>
      </c>
      <c r="B20" s="67">
        <v>8.9</v>
      </c>
      <c r="C20" s="67">
        <v>79</v>
      </c>
    </row>
    <row r="21" spans="1:3" ht="12.75">
      <c r="A21" s="3">
        <v>32721</v>
      </c>
      <c r="B21" s="67">
        <v>28.3</v>
      </c>
      <c r="C21" s="67">
        <v>43.8</v>
      </c>
    </row>
    <row r="22" spans="1:3" ht="12.75">
      <c r="A22" s="3">
        <v>32752</v>
      </c>
      <c r="B22" s="67">
        <v>119.5</v>
      </c>
      <c r="C22" s="67">
        <v>20.7</v>
      </c>
    </row>
    <row r="23" spans="1:3" ht="12.75">
      <c r="A23" s="3">
        <v>32782</v>
      </c>
      <c r="B23" s="67">
        <v>272.5</v>
      </c>
      <c r="C23" s="67">
        <v>0</v>
      </c>
    </row>
    <row r="24" spans="1:3" ht="12.75">
      <c r="A24" s="3">
        <v>32813</v>
      </c>
      <c r="B24" s="67">
        <v>507.1</v>
      </c>
      <c r="C24" s="67">
        <v>0</v>
      </c>
    </row>
    <row r="25" spans="1:3" ht="12.75">
      <c r="A25" s="3">
        <v>32843</v>
      </c>
      <c r="B25" s="67">
        <v>873.2</v>
      </c>
      <c r="C25" s="67">
        <v>0</v>
      </c>
    </row>
    <row r="26" spans="1:3" ht="12.75">
      <c r="A26" s="3">
        <v>32874</v>
      </c>
      <c r="B26" s="67">
        <v>620</v>
      </c>
      <c r="C26" s="67">
        <v>0</v>
      </c>
    </row>
    <row r="27" spans="1:3" ht="12.75">
      <c r="A27" s="3">
        <v>32905</v>
      </c>
      <c r="B27" s="67">
        <v>612</v>
      </c>
      <c r="C27" s="67">
        <v>0</v>
      </c>
    </row>
    <row r="28" spans="1:3" ht="12.75">
      <c r="A28" s="3">
        <v>32933</v>
      </c>
      <c r="B28" s="67">
        <v>522.5</v>
      </c>
      <c r="C28" s="67">
        <v>0</v>
      </c>
    </row>
    <row r="29" spans="1:3" ht="12.75">
      <c r="A29" s="3">
        <v>32964</v>
      </c>
      <c r="B29" s="67">
        <v>317.8</v>
      </c>
      <c r="C29" s="67">
        <v>10.2</v>
      </c>
    </row>
    <row r="30" spans="1:3" ht="12.75">
      <c r="A30" s="3">
        <v>32994</v>
      </c>
      <c r="B30" s="67">
        <v>219.4</v>
      </c>
      <c r="C30" s="67">
        <v>0</v>
      </c>
    </row>
    <row r="31" spans="1:3" ht="12.75">
      <c r="A31" s="3">
        <v>33025</v>
      </c>
      <c r="B31" s="67">
        <v>57.4</v>
      </c>
      <c r="C31" s="67">
        <v>35.5</v>
      </c>
    </row>
    <row r="32" spans="1:3" ht="12.75">
      <c r="A32" s="3">
        <v>33055</v>
      </c>
      <c r="B32" s="67">
        <v>16.8</v>
      </c>
      <c r="C32" s="67">
        <v>47.4</v>
      </c>
    </row>
    <row r="33" spans="1:3" ht="12.75">
      <c r="A33" s="3">
        <v>33086</v>
      </c>
      <c r="B33" s="67">
        <v>18.6</v>
      </c>
      <c r="C33" s="67">
        <v>42.9</v>
      </c>
    </row>
    <row r="34" spans="1:3" ht="12.75">
      <c r="A34" s="3">
        <v>33117</v>
      </c>
      <c r="B34" s="67">
        <v>111</v>
      </c>
      <c r="C34" s="67">
        <v>9.4</v>
      </c>
    </row>
    <row r="35" spans="1:3" ht="12.75">
      <c r="A35" s="3">
        <v>33147</v>
      </c>
      <c r="B35" s="67">
        <v>285.6</v>
      </c>
      <c r="C35" s="67">
        <v>2</v>
      </c>
    </row>
    <row r="36" spans="1:3" ht="12.75">
      <c r="A36" s="3">
        <v>33178</v>
      </c>
      <c r="B36" s="67">
        <v>402.3</v>
      </c>
      <c r="C36" s="67">
        <v>0</v>
      </c>
    </row>
    <row r="37" spans="1:3" ht="12.75">
      <c r="A37" s="3">
        <v>33208</v>
      </c>
      <c r="B37" s="67">
        <v>603.3</v>
      </c>
      <c r="C37" s="67">
        <v>0</v>
      </c>
    </row>
    <row r="38" spans="1:3" ht="12.75">
      <c r="A38" s="3">
        <v>33239</v>
      </c>
      <c r="B38" s="67">
        <v>743</v>
      </c>
      <c r="C38" s="67">
        <v>0</v>
      </c>
    </row>
    <row r="39" spans="1:3" ht="12.75">
      <c r="A39" s="3">
        <v>33270</v>
      </c>
      <c r="B39" s="67">
        <v>589.7</v>
      </c>
      <c r="C39" s="67">
        <v>0</v>
      </c>
    </row>
    <row r="40" spans="1:3" ht="12.75">
      <c r="A40" s="3">
        <v>33298</v>
      </c>
      <c r="B40" s="67">
        <v>535.1</v>
      </c>
      <c r="C40" s="67">
        <v>0</v>
      </c>
    </row>
    <row r="41" spans="1:3" ht="12.75">
      <c r="A41" s="3">
        <v>33329</v>
      </c>
      <c r="B41" s="67">
        <v>287.4</v>
      </c>
      <c r="C41" s="67">
        <v>1.5</v>
      </c>
    </row>
    <row r="42" spans="1:3" ht="12.75">
      <c r="A42" s="3">
        <v>33359</v>
      </c>
      <c r="B42" s="67">
        <v>99.7</v>
      </c>
      <c r="C42" s="67">
        <v>60.4</v>
      </c>
    </row>
    <row r="43" spans="1:3" ht="12.75">
      <c r="A43" s="3">
        <v>33390</v>
      </c>
      <c r="B43" s="67">
        <v>19</v>
      </c>
      <c r="C43" s="67">
        <v>61</v>
      </c>
    </row>
    <row r="44" spans="1:3" ht="12.75">
      <c r="A44" s="3">
        <v>33420</v>
      </c>
      <c r="B44" s="67">
        <v>11.4</v>
      </c>
      <c r="C44" s="67">
        <v>76.7</v>
      </c>
    </row>
    <row r="45" spans="1:3" ht="12.75">
      <c r="A45" s="3">
        <v>33451</v>
      </c>
      <c r="B45" s="67">
        <v>9.1</v>
      </c>
      <c r="C45" s="67">
        <v>72.7</v>
      </c>
    </row>
    <row r="46" spans="1:3" ht="12.75">
      <c r="A46" s="3">
        <v>33482</v>
      </c>
      <c r="B46" s="67">
        <v>127.3</v>
      </c>
      <c r="C46" s="67">
        <v>28.8</v>
      </c>
    </row>
    <row r="47" spans="1:3" ht="12.75">
      <c r="A47" s="3">
        <v>33512</v>
      </c>
      <c r="B47" s="67">
        <v>236.7</v>
      </c>
      <c r="C47" s="67">
        <v>0</v>
      </c>
    </row>
    <row r="48" spans="1:3" ht="12.75">
      <c r="A48" s="3">
        <v>33543</v>
      </c>
      <c r="B48" s="67">
        <v>476.6</v>
      </c>
      <c r="C48" s="67">
        <v>0</v>
      </c>
    </row>
    <row r="49" spans="1:4" ht="12.75">
      <c r="A49" s="68">
        <v>33573</v>
      </c>
      <c r="B49" s="67">
        <v>603.3</v>
      </c>
      <c r="C49" s="67">
        <v>0</v>
      </c>
      <c r="D49" s="16" t="s">
        <v>98</v>
      </c>
    </row>
    <row r="50" spans="1:3" ht="12.75">
      <c r="A50" s="3">
        <v>33604</v>
      </c>
      <c r="B50" s="67">
        <v>695</v>
      </c>
      <c r="C50" s="67">
        <v>0</v>
      </c>
    </row>
    <row r="51" spans="1:3" ht="12.75">
      <c r="A51" s="3">
        <v>33635</v>
      </c>
      <c r="B51" s="67">
        <v>642.4</v>
      </c>
      <c r="C51" s="67">
        <v>0</v>
      </c>
    </row>
    <row r="52" spans="1:3" ht="12.75">
      <c r="A52" s="3">
        <v>33664</v>
      </c>
      <c r="B52" s="67">
        <v>598.5</v>
      </c>
      <c r="C52" s="67">
        <v>0</v>
      </c>
    </row>
    <row r="53" spans="1:3" ht="12.75">
      <c r="A53" s="3">
        <v>33695</v>
      </c>
      <c r="B53" s="67">
        <v>382.7</v>
      </c>
      <c r="C53" s="67">
        <v>0</v>
      </c>
    </row>
    <row r="54" spans="1:3" ht="12.75">
      <c r="A54" s="3">
        <v>33725</v>
      </c>
      <c r="B54" s="67">
        <v>166.4</v>
      </c>
      <c r="C54" s="67">
        <v>4.4</v>
      </c>
    </row>
    <row r="55" spans="1:3" ht="12.75">
      <c r="A55" s="3">
        <v>33756</v>
      </c>
      <c r="B55" s="67">
        <v>95</v>
      </c>
      <c r="C55" s="67">
        <v>13.3</v>
      </c>
    </row>
    <row r="56" spans="1:3" ht="12.75">
      <c r="A56" s="3">
        <v>33786</v>
      </c>
      <c r="B56" s="67">
        <v>39.1</v>
      </c>
      <c r="C56" s="67">
        <v>17.9</v>
      </c>
    </row>
    <row r="57" spans="1:3" ht="12.75">
      <c r="A57" s="3">
        <v>33817</v>
      </c>
      <c r="B57" s="67">
        <v>57</v>
      </c>
      <c r="C57" s="67">
        <v>23.3</v>
      </c>
    </row>
    <row r="58" spans="1:3" ht="12.75">
      <c r="A58" s="3">
        <v>33848</v>
      </c>
      <c r="B58" s="67">
        <v>10.7</v>
      </c>
      <c r="C58" s="67">
        <v>22.1</v>
      </c>
    </row>
    <row r="59" spans="1:3" ht="12.75">
      <c r="A59" s="3">
        <v>33878</v>
      </c>
      <c r="B59" s="67">
        <v>324.4</v>
      </c>
      <c r="C59" s="67">
        <v>0</v>
      </c>
    </row>
    <row r="60" spans="1:3" ht="12.75">
      <c r="A60" s="3">
        <v>33909</v>
      </c>
      <c r="B60" s="67">
        <v>464.8</v>
      </c>
      <c r="C60" s="67">
        <v>0</v>
      </c>
    </row>
    <row r="61" spans="1:3" ht="12.75">
      <c r="A61" s="3">
        <v>33939</v>
      </c>
      <c r="B61" s="67">
        <v>606.5</v>
      </c>
      <c r="C61" s="67">
        <v>0</v>
      </c>
    </row>
    <row r="62" spans="1:3" ht="12.75">
      <c r="A62" s="3">
        <v>33970</v>
      </c>
      <c r="B62" s="67">
        <v>681.7</v>
      </c>
      <c r="C62" s="67">
        <v>0</v>
      </c>
    </row>
    <row r="63" spans="1:3" ht="12.75">
      <c r="A63" s="3">
        <v>34001</v>
      </c>
      <c r="B63" s="67">
        <v>742.5</v>
      </c>
      <c r="C63" s="67">
        <v>0</v>
      </c>
    </row>
    <row r="64" spans="1:3" ht="12.75">
      <c r="A64" s="3">
        <v>34029</v>
      </c>
      <c r="B64" s="67">
        <v>630.6</v>
      </c>
      <c r="C64" s="67">
        <v>0</v>
      </c>
    </row>
    <row r="65" spans="1:3" ht="12.75">
      <c r="A65" s="3">
        <v>34060</v>
      </c>
      <c r="B65" s="67">
        <v>347.5</v>
      </c>
      <c r="C65" s="67">
        <v>0</v>
      </c>
    </row>
    <row r="66" spans="1:3" ht="12.75">
      <c r="A66" s="3">
        <v>34090</v>
      </c>
      <c r="B66" s="67">
        <v>189.2</v>
      </c>
      <c r="C66" s="67">
        <v>0.5</v>
      </c>
    </row>
    <row r="67" spans="1:3" ht="12.75">
      <c r="A67" s="3">
        <v>34121</v>
      </c>
      <c r="B67" s="67">
        <v>62.5</v>
      </c>
      <c r="C67" s="67">
        <v>24.9</v>
      </c>
    </row>
    <row r="68" spans="1:3" ht="12.75">
      <c r="A68" s="3">
        <v>34151</v>
      </c>
      <c r="B68" s="67">
        <v>12.1</v>
      </c>
      <c r="C68" s="67">
        <v>83.2</v>
      </c>
    </row>
    <row r="69" spans="1:3" ht="12.75">
      <c r="A69" s="3">
        <v>34182</v>
      </c>
      <c r="B69" s="67">
        <v>20</v>
      </c>
      <c r="C69" s="67">
        <v>76.7</v>
      </c>
    </row>
    <row r="70" spans="1:3" ht="12.75">
      <c r="A70" s="3">
        <v>34213</v>
      </c>
      <c r="B70" s="67">
        <v>166.9</v>
      </c>
      <c r="C70" s="67">
        <v>9.6</v>
      </c>
    </row>
    <row r="71" spans="1:3" ht="12.75">
      <c r="A71" s="3">
        <v>34243</v>
      </c>
      <c r="B71" s="67">
        <v>324.5</v>
      </c>
      <c r="C71" s="67">
        <v>0.3</v>
      </c>
    </row>
    <row r="72" spans="1:3" ht="12.75">
      <c r="A72" s="3">
        <v>34274</v>
      </c>
      <c r="B72" s="67">
        <v>466.8</v>
      </c>
      <c r="C72" s="67">
        <v>0</v>
      </c>
    </row>
    <row r="73" spans="1:3" ht="12.75">
      <c r="A73" s="3">
        <v>34304</v>
      </c>
      <c r="B73" s="67">
        <v>653.2</v>
      </c>
      <c r="C73" s="67">
        <v>0</v>
      </c>
    </row>
    <row r="74" spans="1:3" ht="12.75">
      <c r="A74" s="3">
        <v>34335</v>
      </c>
      <c r="B74" s="67">
        <v>928.2</v>
      </c>
      <c r="C74" s="67">
        <v>0</v>
      </c>
    </row>
    <row r="75" spans="1:3" ht="12.75">
      <c r="A75" s="3">
        <v>34366</v>
      </c>
      <c r="B75" s="67">
        <v>752.8</v>
      </c>
      <c r="C75" s="67">
        <v>0</v>
      </c>
    </row>
    <row r="76" spans="1:3" ht="12.75">
      <c r="A76" s="3">
        <v>34394</v>
      </c>
      <c r="B76" s="67">
        <v>620.8</v>
      </c>
      <c r="C76" s="67">
        <v>0</v>
      </c>
    </row>
    <row r="77" spans="1:3" ht="12.75">
      <c r="A77" s="3">
        <v>34425</v>
      </c>
      <c r="B77" s="67">
        <v>337.8</v>
      </c>
      <c r="C77" s="67">
        <v>0.8</v>
      </c>
    </row>
    <row r="78" spans="1:3" ht="12.75">
      <c r="A78" s="3">
        <v>34455</v>
      </c>
      <c r="B78" s="67">
        <v>236.8</v>
      </c>
      <c r="C78" s="67">
        <v>6.3</v>
      </c>
    </row>
    <row r="79" spans="1:3" ht="12.75">
      <c r="A79" s="3">
        <v>34486</v>
      </c>
      <c r="B79" s="67">
        <v>49.8</v>
      </c>
      <c r="C79" s="67">
        <v>59</v>
      </c>
    </row>
    <row r="80" spans="1:3" ht="12.75">
      <c r="A80" s="3">
        <v>34516</v>
      </c>
      <c r="B80" s="67">
        <v>8.2</v>
      </c>
      <c r="C80" s="67">
        <v>78</v>
      </c>
    </row>
    <row r="81" spans="1:3" ht="12.75">
      <c r="A81" s="3">
        <v>34547</v>
      </c>
      <c r="B81" s="67">
        <v>46.1</v>
      </c>
      <c r="C81" s="67">
        <v>33.7</v>
      </c>
    </row>
    <row r="82" spans="1:3" ht="12.75">
      <c r="A82" s="3">
        <v>34578</v>
      </c>
      <c r="B82" s="67">
        <v>101.6</v>
      </c>
      <c r="C82" s="67">
        <v>12.7</v>
      </c>
    </row>
    <row r="83" spans="1:3" ht="12.75">
      <c r="A83" s="3">
        <v>34608</v>
      </c>
      <c r="B83" s="67">
        <v>252</v>
      </c>
      <c r="C83" s="67">
        <v>0</v>
      </c>
    </row>
    <row r="84" spans="1:3" ht="12.75">
      <c r="A84" s="3">
        <v>34639</v>
      </c>
      <c r="B84" s="67">
        <v>390</v>
      </c>
      <c r="C84" s="67">
        <v>0</v>
      </c>
    </row>
    <row r="85" spans="1:3" ht="12.75">
      <c r="A85" s="3">
        <v>34669</v>
      </c>
      <c r="B85" s="67">
        <v>574.8</v>
      </c>
      <c r="C85" s="67">
        <v>0</v>
      </c>
    </row>
    <row r="86" spans="1:3" ht="12.75">
      <c r="A86" s="3">
        <v>34700</v>
      </c>
      <c r="B86" s="67">
        <v>664.7</v>
      </c>
      <c r="C86" s="67">
        <v>0</v>
      </c>
    </row>
    <row r="87" spans="1:3" ht="12.75">
      <c r="A87" s="3">
        <v>34731</v>
      </c>
      <c r="B87" s="67">
        <v>717.4</v>
      </c>
      <c r="C87" s="67">
        <v>0</v>
      </c>
    </row>
    <row r="88" spans="1:3" ht="12.75">
      <c r="A88" s="3">
        <v>34759</v>
      </c>
      <c r="B88" s="67">
        <v>529.9</v>
      </c>
      <c r="C88" s="67">
        <v>0</v>
      </c>
    </row>
    <row r="89" spans="1:3" ht="12.75">
      <c r="A89" s="3">
        <v>34790</v>
      </c>
      <c r="B89" s="67">
        <v>437.3</v>
      </c>
      <c r="C89" s="67">
        <v>0</v>
      </c>
    </row>
    <row r="90" spans="1:3" ht="12.75">
      <c r="A90" s="3">
        <v>34820</v>
      </c>
      <c r="B90" s="67">
        <v>187.7</v>
      </c>
      <c r="C90" s="67">
        <v>0</v>
      </c>
    </row>
    <row r="91" spans="1:3" ht="12.75">
      <c r="A91" s="3">
        <v>34851</v>
      </c>
      <c r="B91" s="67">
        <v>29.7</v>
      </c>
      <c r="C91" s="67">
        <v>71.6</v>
      </c>
    </row>
    <row r="92" spans="1:3" ht="12.75">
      <c r="A92" s="3">
        <v>34881</v>
      </c>
      <c r="B92" s="67">
        <v>16.9</v>
      </c>
      <c r="C92" s="67">
        <v>102.7</v>
      </c>
    </row>
    <row r="93" spans="1:3" ht="12.75">
      <c r="A93" s="3">
        <v>34912</v>
      </c>
      <c r="B93" s="67">
        <v>1.9</v>
      </c>
      <c r="C93" s="67">
        <v>106.8</v>
      </c>
    </row>
    <row r="94" spans="1:3" ht="12.75">
      <c r="A94" s="3">
        <v>34943</v>
      </c>
      <c r="B94" s="67">
        <v>134.7</v>
      </c>
      <c r="C94" s="67">
        <v>8.8</v>
      </c>
    </row>
    <row r="95" spans="1:3" ht="12.75">
      <c r="A95" s="3">
        <v>34973</v>
      </c>
      <c r="B95" s="67">
        <v>227.9</v>
      </c>
      <c r="C95" s="67">
        <v>0.5</v>
      </c>
    </row>
    <row r="96" spans="1:3" ht="12.75">
      <c r="A96" s="3">
        <v>35004</v>
      </c>
      <c r="B96" s="67">
        <v>547.3</v>
      </c>
      <c r="C96" s="67">
        <v>0</v>
      </c>
    </row>
    <row r="97" spans="1:3" ht="12.75">
      <c r="A97" s="3">
        <v>35034</v>
      </c>
      <c r="B97" s="67">
        <v>739.2</v>
      </c>
      <c r="C97" s="67">
        <v>0</v>
      </c>
    </row>
    <row r="98" spans="1:3" ht="12.75">
      <c r="A98" s="3">
        <v>35065</v>
      </c>
      <c r="B98" s="67">
        <v>781.8</v>
      </c>
      <c r="C98" s="67">
        <v>0</v>
      </c>
    </row>
    <row r="99" spans="1:3" ht="12.75">
      <c r="A99" s="3">
        <v>35096</v>
      </c>
      <c r="B99" s="67">
        <v>698.7</v>
      </c>
      <c r="C99" s="67">
        <v>0</v>
      </c>
    </row>
    <row r="100" spans="1:3" ht="12.75">
      <c r="A100" s="3">
        <v>35125</v>
      </c>
      <c r="B100" s="67">
        <v>651.9</v>
      </c>
      <c r="C100" s="67">
        <v>0</v>
      </c>
    </row>
    <row r="101" spans="1:3" ht="12.75">
      <c r="A101" s="3">
        <v>35156</v>
      </c>
      <c r="B101" s="67">
        <v>420.3</v>
      </c>
      <c r="C101" s="67">
        <v>0</v>
      </c>
    </row>
    <row r="102" spans="1:3" ht="12.75">
      <c r="A102" s="3">
        <v>35186</v>
      </c>
      <c r="B102" s="67">
        <v>213.9</v>
      </c>
      <c r="C102" s="67">
        <v>14</v>
      </c>
    </row>
    <row r="103" spans="1:3" ht="12.75">
      <c r="A103" s="3">
        <v>35217</v>
      </c>
      <c r="B103" s="67">
        <v>29.9</v>
      </c>
      <c r="C103" s="67">
        <v>38.7</v>
      </c>
    </row>
    <row r="104" spans="1:3" ht="12.75">
      <c r="A104" s="3">
        <v>35247</v>
      </c>
      <c r="B104" s="67">
        <v>19.9</v>
      </c>
      <c r="C104" s="67">
        <v>37.3</v>
      </c>
    </row>
    <row r="105" spans="1:3" ht="12.75">
      <c r="A105" s="3">
        <v>35278</v>
      </c>
      <c r="B105" s="67">
        <v>6.8</v>
      </c>
      <c r="C105" s="67">
        <v>57.9</v>
      </c>
    </row>
    <row r="106" spans="1:3" ht="12.75">
      <c r="A106" s="3">
        <v>35309</v>
      </c>
      <c r="B106" s="67">
        <v>91.5</v>
      </c>
      <c r="C106" s="67">
        <v>15.1</v>
      </c>
    </row>
    <row r="107" spans="1:3" ht="12.75">
      <c r="A107" s="3">
        <v>35339</v>
      </c>
      <c r="B107" s="67">
        <v>258.5</v>
      </c>
      <c r="C107" s="67">
        <v>1.8</v>
      </c>
    </row>
    <row r="108" spans="1:3" ht="12.75">
      <c r="A108" s="3">
        <v>35370</v>
      </c>
      <c r="B108" s="67">
        <v>534.9</v>
      </c>
      <c r="C108" s="67">
        <v>0</v>
      </c>
    </row>
    <row r="109" spans="1:3" ht="12.75">
      <c r="A109" s="3">
        <v>35400</v>
      </c>
      <c r="B109" s="67">
        <v>593.9</v>
      </c>
      <c r="C109" s="67">
        <v>0</v>
      </c>
    </row>
    <row r="110" spans="1:3" ht="12.75">
      <c r="A110" s="3">
        <v>35431</v>
      </c>
      <c r="B110" s="67">
        <v>773.8</v>
      </c>
      <c r="C110" s="67">
        <v>0</v>
      </c>
    </row>
    <row r="111" spans="1:3" ht="12.75">
      <c r="A111" s="3">
        <v>35462</v>
      </c>
      <c r="B111" s="67">
        <v>602.7</v>
      </c>
      <c r="C111" s="67">
        <v>0</v>
      </c>
    </row>
    <row r="112" spans="1:3" ht="12.75">
      <c r="A112" s="3">
        <v>35490</v>
      </c>
      <c r="B112" s="67">
        <v>582.5</v>
      </c>
      <c r="C112" s="67">
        <v>0</v>
      </c>
    </row>
    <row r="113" spans="1:3" ht="12.75">
      <c r="A113" s="3">
        <v>35521</v>
      </c>
      <c r="B113" s="67">
        <v>392.9</v>
      </c>
      <c r="C113" s="67">
        <v>0</v>
      </c>
    </row>
    <row r="114" spans="1:3" ht="12.75">
      <c r="A114" s="3">
        <v>35551</v>
      </c>
      <c r="B114" s="67">
        <v>302.2</v>
      </c>
      <c r="C114" s="67">
        <v>0</v>
      </c>
    </row>
    <row r="115" spans="1:3" ht="12.75">
      <c r="A115" s="3">
        <v>35582</v>
      </c>
      <c r="B115" s="67">
        <v>28.4</v>
      </c>
      <c r="C115" s="67">
        <v>53</v>
      </c>
    </row>
    <row r="116" spans="1:3" ht="12.75">
      <c r="A116" s="3">
        <v>35612</v>
      </c>
      <c r="B116" s="67">
        <v>22.6</v>
      </c>
      <c r="C116" s="67">
        <v>63</v>
      </c>
    </row>
    <row r="117" spans="1:3" ht="12.75">
      <c r="A117" s="3">
        <v>35643</v>
      </c>
      <c r="B117" s="67">
        <v>46.4</v>
      </c>
      <c r="C117" s="67">
        <v>21.1</v>
      </c>
    </row>
    <row r="118" spans="1:3" ht="12.75">
      <c r="A118" s="3">
        <v>35674</v>
      </c>
      <c r="B118" s="67">
        <v>92.8</v>
      </c>
      <c r="C118" s="67">
        <v>6.7</v>
      </c>
    </row>
    <row r="119" spans="1:3" ht="12.75">
      <c r="A119" s="3">
        <v>35704</v>
      </c>
      <c r="B119" s="67">
        <v>287.1</v>
      </c>
      <c r="C119" s="67">
        <v>4.6</v>
      </c>
    </row>
    <row r="120" spans="1:3" ht="12.75">
      <c r="A120" s="3">
        <v>35735</v>
      </c>
      <c r="B120" s="67">
        <v>493.8</v>
      </c>
      <c r="C120" s="67">
        <v>0</v>
      </c>
    </row>
    <row r="121" spans="1:3" ht="12.75">
      <c r="A121" s="3">
        <v>35765</v>
      </c>
      <c r="B121" s="67">
        <v>613.2</v>
      </c>
      <c r="C121" s="67">
        <v>0</v>
      </c>
    </row>
    <row r="122" spans="1:3" ht="12.75">
      <c r="A122" s="3">
        <v>35796</v>
      </c>
      <c r="B122" s="67">
        <v>629.3</v>
      </c>
      <c r="C122" s="67">
        <v>0</v>
      </c>
    </row>
    <row r="123" spans="1:3" ht="12.75">
      <c r="A123" s="3">
        <v>35827</v>
      </c>
      <c r="B123" s="67">
        <v>522.7</v>
      </c>
      <c r="C123" s="67">
        <v>0</v>
      </c>
    </row>
    <row r="124" spans="1:3" ht="12.75">
      <c r="A124" s="3">
        <v>35855</v>
      </c>
      <c r="B124" s="67">
        <v>517.6</v>
      </c>
      <c r="C124" s="67">
        <v>1</v>
      </c>
    </row>
    <row r="125" spans="1:3" ht="12.75">
      <c r="A125" s="3">
        <v>35886</v>
      </c>
      <c r="B125" s="67">
        <v>311</v>
      </c>
      <c r="C125" s="67">
        <v>0</v>
      </c>
    </row>
    <row r="126" spans="1:3" ht="12.75">
      <c r="A126" s="3">
        <v>35916</v>
      </c>
      <c r="B126" s="67">
        <v>67.1</v>
      </c>
      <c r="C126" s="67">
        <v>30.4</v>
      </c>
    </row>
    <row r="127" spans="1:3" ht="12.75">
      <c r="A127" s="3">
        <v>35947</v>
      </c>
      <c r="B127" s="67">
        <v>65.8</v>
      </c>
      <c r="C127" s="67">
        <v>74.4</v>
      </c>
    </row>
    <row r="128" spans="1:3" ht="12.75">
      <c r="A128" s="3">
        <v>35977</v>
      </c>
      <c r="B128" s="67">
        <v>7.4</v>
      </c>
      <c r="C128" s="67">
        <v>77</v>
      </c>
    </row>
    <row r="129" spans="1:3" ht="12.75">
      <c r="A129" s="3">
        <v>36008</v>
      </c>
      <c r="B129" s="67">
        <v>7.1</v>
      </c>
      <c r="C129" s="67">
        <v>88.1</v>
      </c>
    </row>
    <row r="130" spans="1:3" ht="12.75">
      <c r="A130" s="3">
        <v>36039</v>
      </c>
      <c r="B130" s="67">
        <v>49.3</v>
      </c>
      <c r="C130" s="67">
        <v>40</v>
      </c>
    </row>
    <row r="131" spans="1:3" ht="12.75">
      <c r="A131" s="3">
        <v>36069</v>
      </c>
      <c r="B131" s="67">
        <v>234.6</v>
      </c>
      <c r="C131" s="67">
        <v>0</v>
      </c>
    </row>
    <row r="132" spans="1:3" ht="12.75">
      <c r="A132" s="3">
        <v>36100</v>
      </c>
      <c r="B132" s="67">
        <v>416.9</v>
      </c>
      <c r="C132" s="67">
        <v>0</v>
      </c>
    </row>
    <row r="133" spans="1:3" ht="12.75">
      <c r="A133" s="3">
        <v>36130</v>
      </c>
      <c r="B133" s="67">
        <v>560.2</v>
      </c>
      <c r="C133" s="67">
        <v>0</v>
      </c>
    </row>
    <row r="134" spans="1:3" ht="12.75">
      <c r="A134" s="3">
        <v>36161</v>
      </c>
      <c r="B134" s="67">
        <v>767.7</v>
      </c>
      <c r="C134" s="67">
        <v>0</v>
      </c>
    </row>
    <row r="135" spans="1:3" ht="12.75">
      <c r="A135" s="3">
        <v>36192</v>
      </c>
      <c r="B135" s="67">
        <v>563.7</v>
      </c>
      <c r="C135" s="67">
        <v>0</v>
      </c>
    </row>
    <row r="136" spans="1:3" ht="12.75">
      <c r="A136" s="3">
        <v>36220</v>
      </c>
      <c r="B136" s="67">
        <v>601.3</v>
      </c>
      <c r="C136" s="67">
        <v>0</v>
      </c>
    </row>
    <row r="137" spans="1:3" ht="12.75">
      <c r="A137" s="3">
        <v>36251</v>
      </c>
      <c r="B137" s="67">
        <v>315.6</v>
      </c>
      <c r="C137" s="67">
        <v>0</v>
      </c>
    </row>
    <row r="138" spans="1:3" ht="12.75">
      <c r="A138" s="3">
        <v>36281</v>
      </c>
      <c r="B138" s="67">
        <v>113.3</v>
      </c>
      <c r="C138" s="67">
        <v>16</v>
      </c>
    </row>
    <row r="139" spans="1:3" ht="12.75">
      <c r="A139" s="3">
        <v>36312</v>
      </c>
      <c r="B139" s="67">
        <v>39.6</v>
      </c>
      <c r="C139" s="67">
        <v>87.6</v>
      </c>
    </row>
    <row r="140" spans="1:3" ht="12.75">
      <c r="A140" s="3">
        <v>36342</v>
      </c>
      <c r="B140" s="67">
        <v>3</v>
      </c>
      <c r="C140" s="67">
        <v>135.7</v>
      </c>
    </row>
    <row r="141" spans="1:3" ht="12.75">
      <c r="A141" s="3">
        <v>36373</v>
      </c>
      <c r="B141" s="67">
        <v>25.9</v>
      </c>
      <c r="C141" s="67">
        <v>38.5</v>
      </c>
    </row>
    <row r="142" spans="1:3" ht="12.75">
      <c r="A142" s="3">
        <v>36404</v>
      </c>
      <c r="B142" s="67">
        <v>75.5</v>
      </c>
      <c r="C142" s="67">
        <v>27.8</v>
      </c>
    </row>
    <row r="143" spans="1:3" ht="12.75">
      <c r="A143" s="3">
        <v>36434</v>
      </c>
      <c r="B143" s="67">
        <v>296.8</v>
      </c>
      <c r="C143" s="67">
        <v>0</v>
      </c>
    </row>
    <row r="144" spans="1:3" ht="12.75">
      <c r="A144" s="3">
        <v>36465</v>
      </c>
      <c r="B144" s="67">
        <v>403.4</v>
      </c>
      <c r="C144" s="67">
        <v>0</v>
      </c>
    </row>
    <row r="145" spans="1:3" ht="12.75">
      <c r="A145" s="3">
        <v>36495</v>
      </c>
      <c r="B145" s="67">
        <v>596.3</v>
      </c>
      <c r="C145" s="67">
        <v>0</v>
      </c>
    </row>
    <row r="146" spans="1:3" ht="12.75">
      <c r="A146" s="3">
        <v>36526</v>
      </c>
      <c r="B146" s="67">
        <v>737.5</v>
      </c>
      <c r="C146" s="67">
        <v>0</v>
      </c>
    </row>
    <row r="147" spans="1:3" ht="12.75">
      <c r="A147" s="3">
        <v>36557</v>
      </c>
      <c r="B147" s="67">
        <v>596.1</v>
      </c>
      <c r="C147" s="67">
        <v>0</v>
      </c>
    </row>
    <row r="148" spans="1:3" ht="12.75">
      <c r="A148" s="3">
        <v>36586</v>
      </c>
      <c r="B148" s="67">
        <v>434.5</v>
      </c>
      <c r="C148" s="67">
        <v>0</v>
      </c>
    </row>
    <row r="149" spans="1:3" ht="12.75">
      <c r="A149" s="3">
        <v>36617</v>
      </c>
      <c r="B149" s="67">
        <v>353.2</v>
      </c>
      <c r="C149" s="67">
        <v>0</v>
      </c>
    </row>
    <row r="150" spans="1:3" ht="12.75">
      <c r="A150" s="3">
        <v>36647</v>
      </c>
      <c r="B150" s="67">
        <v>134</v>
      </c>
      <c r="C150" s="67">
        <v>17.8</v>
      </c>
    </row>
    <row r="151" spans="1:3" ht="12.75">
      <c r="A151" s="3">
        <v>36678</v>
      </c>
      <c r="B151" s="67">
        <v>39.4</v>
      </c>
      <c r="C151" s="67">
        <v>48.1</v>
      </c>
    </row>
    <row r="152" spans="1:3" ht="12.75">
      <c r="A152" s="3">
        <v>36708</v>
      </c>
      <c r="B152" s="67">
        <v>23.1</v>
      </c>
      <c r="C152" s="67">
        <v>50.7</v>
      </c>
    </row>
    <row r="153" spans="1:3" ht="12.75">
      <c r="A153" s="3">
        <v>36739</v>
      </c>
      <c r="B153" s="67">
        <v>29.7</v>
      </c>
      <c r="C153" s="67">
        <v>52.3</v>
      </c>
    </row>
    <row r="154" spans="1:3" ht="12.75">
      <c r="A154" s="3">
        <v>36770</v>
      </c>
      <c r="B154" s="67">
        <v>114.7</v>
      </c>
      <c r="C154" s="67">
        <v>38.4</v>
      </c>
    </row>
    <row r="155" spans="1:3" ht="12.75">
      <c r="A155" s="3">
        <v>36800</v>
      </c>
      <c r="B155" s="67">
        <v>223.6</v>
      </c>
      <c r="C155" s="67">
        <v>1</v>
      </c>
    </row>
    <row r="156" spans="1:3" ht="12.75">
      <c r="A156" s="3">
        <v>36831</v>
      </c>
      <c r="B156" s="67">
        <v>458.6</v>
      </c>
      <c r="C156" s="67">
        <v>0</v>
      </c>
    </row>
    <row r="157" spans="1:3" ht="12.75">
      <c r="A157" s="3">
        <v>36861</v>
      </c>
      <c r="B157" s="67">
        <v>801.2</v>
      </c>
      <c r="C157" s="67">
        <v>0</v>
      </c>
    </row>
    <row r="158" spans="1:3" ht="12.75">
      <c r="A158" s="3">
        <v>36892</v>
      </c>
      <c r="B158" s="67">
        <v>701.2</v>
      </c>
      <c r="C158" s="67">
        <v>0</v>
      </c>
    </row>
    <row r="159" spans="1:3" ht="12.75">
      <c r="A159" s="3">
        <v>36923</v>
      </c>
      <c r="B159" s="67">
        <v>622.3</v>
      </c>
      <c r="C159" s="67">
        <v>0</v>
      </c>
    </row>
    <row r="160" spans="1:3" ht="12.75">
      <c r="A160" s="3">
        <v>36951</v>
      </c>
      <c r="B160" s="67">
        <v>611.9</v>
      </c>
      <c r="C160" s="67">
        <v>0</v>
      </c>
    </row>
    <row r="161" spans="1:3" ht="12.75">
      <c r="A161" s="3">
        <v>36982</v>
      </c>
      <c r="B161" s="67">
        <v>306.3</v>
      </c>
      <c r="C161" s="67">
        <v>0</v>
      </c>
    </row>
    <row r="162" spans="1:3" ht="12.75">
      <c r="A162" s="3">
        <v>37012</v>
      </c>
      <c r="B162" s="67">
        <v>114</v>
      </c>
      <c r="C162" s="67">
        <v>6.8</v>
      </c>
    </row>
    <row r="163" spans="1:3" ht="12.75">
      <c r="A163" s="3">
        <v>37043</v>
      </c>
      <c r="B163" s="67">
        <v>44.8</v>
      </c>
      <c r="C163" s="67">
        <v>59.5</v>
      </c>
    </row>
    <row r="164" spans="1:3" ht="12.75">
      <c r="A164" s="3">
        <v>37073</v>
      </c>
      <c r="B164" s="67">
        <v>23.3</v>
      </c>
      <c r="C164" s="67">
        <v>84.5</v>
      </c>
    </row>
    <row r="165" spans="1:3" ht="12.75">
      <c r="A165" s="3">
        <v>37104</v>
      </c>
      <c r="B165" s="67">
        <v>2</v>
      </c>
      <c r="C165" s="67">
        <v>103.5</v>
      </c>
    </row>
    <row r="166" spans="1:3" ht="12.75">
      <c r="A166" s="3">
        <v>37135</v>
      </c>
      <c r="B166" s="67">
        <v>105.3</v>
      </c>
      <c r="C166" s="67">
        <v>18.7</v>
      </c>
    </row>
    <row r="167" spans="1:3" ht="12.75">
      <c r="A167" s="3">
        <v>37165</v>
      </c>
      <c r="B167" s="67">
        <v>252.8</v>
      </c>
      <c r="C167" s="67">
        <v>5</v>
      </c>
    </row>
    <row r="168" spans="1:3" ht="12.75">
      <c r="A168" s="3">
        <v>37196</v>
      </c>
      <c r="B168" s="67">
        <v>335.6</v>
      </c>
      <c r="C168" s="67">
        <v>0</v>
      </c>
    </row>
    <row r="169" spans="1:3" ht="12.75">
      <c r="A169" s="3">
        <v>37226</v>
      </c>
      <c r="B169" s="67">
        <v>541.1</v>
      </c>
      <c r="C169" s="67">
        <v>0</v>
      </c>
    </row>
    <row r="170" spans="1:3" ht="12.75">
      <c r="A170" s="3">
        <v>37257</v>
      </c>
      <c r="B170" s="67">
        <v>616.9</v>
      </c>
      <c r="C170" s="67">
        <v>0</v>
      </c>
    </row>
    <row r="171" spans="1:3" ht="12.75">
      <c r="A171" s="3">
        <v>37288</v>
      </c>
      <c r="B171" s="67">
        <v>566.8</v>
      </c>
      <c r="C171" s="67">
        <v>0</v>
      </c>
    </row>
    <row r="172" spans="1:3" ht="12.75">
      <c r="A172" s="3">
        <v>37316</v>
      </c>
      <c r="B172" s="67">
        <v>551.8</v>
      </c>
      <c r="C172" s="67">
        <v>0</v>
      </c>
    </row>
    <row r="173" spans="1:3" ht="12.75">
      <c r="A173" s="3">
        <v>37347</v>
      </c>
      <c r="B173" s="67">
        <v>333.8</v>
      </c>
      <c r="C173" s="67">
        <v>8.6</v>
      </c>
    </row>
    <row r="174" spans="1:3" ht="12.75">
      <c r="A174" s="3">
        <v>37377</v>
      </c>
      <c r="B174" s="67">
        <v>240.1</v>
      </c>
      <c r="C174" s="67">
        <v>7.3</v>
      </c>
    </row>
    <row r="175" spans="1:3" ht="12.75">
      <c r="A175" s="3">
        <v>37408</v>
      </c>
      <c r="B175" s="67">
        <v>39.9</v>
      </c>
      <c r="C175" s="67">
        <v>70.7</v>
      </c>
    </row>
    <row r="176" spans="1:3" ht="12.75">
      <c r="A176" s="3">
        <v>37438</v>
      </c>
      <c r="B176" s="67">
        <v>4.8</v>
      </c>
      <c r="C176" s="67">
        <v>128.2</v>
      </c>
    </row>
    <row r="177" spans="1:3" ht="12.75">
      <c r="A177" s="3">
        <v>37469</v>
      </c>
      <c r="B177" s="67">
        <v>7.6</v>
      </c>
      <c r="C177" s="67">
        <v>89.4</v>
      </c>
    </row>
    <row r="178" spans="1:3" ht="12.75">
      <c r="A178" s="3">
        <v>37500</v>
      </c>
      <c r="B178" s="67">
        <v>38.2</v>
      </c>
      <c r="C178" s="67">
        <v>56.8</v>
      </c>
    </row>
    <row r="179" spans="1:3" ht="12.75">
      <c r="A179" s="3">
        <v>37530</v>
      </c>
      <c r="B179" s="67">
        <v>314.1</v>
      </c>
      <c r="C179" s="67">
        <v>9.6</v>
      </c>
    </row>
    <row r="180" spans="1:3" ht="12.75">
      <c r="A180" s="3">
        <v>37561</v>
      </c>
      <c r="B180" s="67">
        <v>475.3</v>
      </c>
      <c r="C180" s="67">
        <v>0</v>
      </c>
    </row>
    <row r="181" spans="1:3" ht="12.75">
      <c r="A181" s="3">
        <v>37591</v>
      </c>
      <c r="B181" s="67">
        <v>661.5</v>
      </c>
      <c r="C181" s="67">
        <v>0</v>
      </c>
    </row>
    <row r="182" spans="1:3" ht="12.75">
      <c r="A182" s="3">
        <v>37622</v>
      </c>
      <c r="B182" s="67">
        <v>821.9</v>
      </c>
      <c r="C182" s="67">
        <v>0</v>
      </c>
    </row>
    <row r="183" spans="1:3" ht="12.75">
      <c r="A183" s="3">
        <v>37653</v>
      </c>
      <c r="B183" s="67">
        <v>719.4</v>
      </c>
      <c r="C183" s="67">
        <v>0</v>
      </c>
    </row>
    <row r="184" spans="1:3" ht="12.75">
      <c r="A184" s="3">
        <v>37681</v>
      </c>
      <c r="B184" s="67">
        <v>585.7</v>
      </c>
      <c r="C184" s="67">
        <v>0</v>
      </c>
    </row>
    <row r="185" spans="1:3" ht="12.75">
      <c r="A185" s="3">
        <v>37712</v>
      </c>
      <c r="B185" s="67">
        <v>378.9</v>
      </c>
      <c r="C185" s="67">
        <v>2.3</v>
      </c>
    </row>
    <row r="186" spans="1:3" ht="12.75">
      <c r="A186" s="3">
        <v>37742</v>
      </c>
      <c r="B186" s="67">
        <v>189.3</v>
      </c>
      <c r="C186" s="67">
        <v>0</v>
      </c>
    </row>
    <row r="187" spans="1:3" ht="12.75">
      <c r="A187" s="3">
        <v>37773</v>
      </c>
      <c r="B187" s="67">
        <v>51.5</v>
      </c>
      <c r="C187" s="67">
        <v>34.9</v>
      </c>
    </row>
    <row r="188" spans="1:3" ht="12.75">
      <c r="A188" s="3">
        <v>37803</v>
      </c>
      <c r="B188" s="67">
        <v>7.1</v>
      </c>
      <c r="C188" s="67">
        <v>73.5</v>
      </c>
    </row>
    <row r="189" spans="1:3" ht="12.75">
      <c r="A189" s="3">
        <v>37834</v>
      </c>
      <c r="B189" s="67">
        <v>8.4</v>
      </c>
      <c r="C189" s="67">
        <v>88.2</v>
      </c>
    </row>
    <row r="190" spans="1:3" ht="12.75">
      <c r="A190" s="3">
        <v>37865</v>
      </c>
      <c r="B190" s="67">
        <v>72.9</v>
      </c>
      <c r="C190" s="67">
        <v>14.2</v>
      </c>
    </row>
    <row r="191" spans="1:3" ht="12.75">
      <c r="A191" s="3">
        <v>37895</v>
      </c>
      <c r="B191" s="67">
        <v>294.8</v>
      </c>
      <c r="C191" s="67">
        <v>0.3</v>
      </c>
    </row>
    <row r="192" spans="1:3" ht="12.75">
      <c r="A192" s="3">
        <v>37926</v>
      </c>
      <c r="B192" s="67">
        <v>400.7</v>
      </c>
      <c r="C192" s="67">
        <v>0</v>
      </c>
    </row>
    <row r="193" spans="1:3" ht="12.75">
      <c r="A193" s="3">
        <v>37956</v>
      </c>
      <c r="B193" s="67">
        <v>599.1</v>
      </c>
      <c r="C193" s="67">
        <v>0</v>
      </c>
    </row>
    <row r="194" spans="1:3" ht="12.75">
      <c r="A194" s="3">
        <v>37987</v>
      </c>
      <c r="B194" s="67">
        <v>843.7</v>
      </c>
      <c r="C194" s="67">
        <v>0</v>
      </c>
    </row>
    <row r="195" spans="1:3" ht="12.75">
      <c r="A195" s="3">
        <v>38018</v>
      </c>
      <c r="B195" s="67">
        <v>654.1</v>
      </c>
      <c r="C195" s="67">
        <v>0</v>
      </c>
    </row>
    <row r="196" spans="1:3" ht="12.75">
      <c r="A196" s="3">
        <v>38047</v>
      </c>
      <c r="B196" s="67">
        <v>514.1</v>
      </c>
      <c r="C196" s="67">
        <v>0</v>
      </c>
    </row>
    <row r="197" spans="1:3" ht="12.75">
      <c r="A197" s="3">
        <v>38078</v>
      </c>
      <c r="B197" s="67">
        <v>342.8</v>
      </c>
      <c r="C197" s="67">
        <v>1</v>
      </c>
    </row>
    <row r="198" spans="1:3" ht="12.75">
      <c r="A198" s="3">
        <v>38108</v>
      </c>
      <c r="B198" s="67">
        <v>161.8</v>
      </c>
      <c r="C198" s="67">
        <v>13.4</v>
      </c>
    </row>
    <row r="199" spans="1:3" ht="12.75">
      <c r="A199" s="3">
        <v>38139</v>
      </c>
      <c r="B199" s="67">
        <v>61.4</v>
      </c>
      <c r="C199" s="67">
        <v>29.6</v>
      </c>
    </row>
    <row r="200" spans="1:3" ht="12.75">
      <c r="A200" s="3">
        <v>38169</v>
      </c>
      <c r="B200" s="67">
        <v>10.2</v>
      </c>
      <c r="C200" s="67">
        <v>65.7</v>
      </c>
    </row>
    <row r="201" spans="1:3" ht="12.75">
      <c r="A201" s="3">
        <v>38200</v>
      </c>
      <c r="B201" s="67">
        <v>33</v>
      </c>
      <c r="C201" s="67">
        <v>419</v>
      </c>
    </row>
    <row r="202" spans="1:3" ht="12.75">
      <c r="A202" s="3">
        <v>38231</v>
      </c>
      <c r="B202" s="67">
        <v>49.7</v>
      </c>
      <c r="C202" s="67">
        <v>36</v>
      </c>
    </row>
    <row r="203" spans="1:3" ht="12.75">
      <c r="A203" s="3">
        <v>38261</v>
      </c>
      <c r="B203" s="67">
        <v>238</v>
      </c>
      <c r="C203" s="67">
        <v>0</v>
      </c>
    </row>
    <row r="204" spans="1:3" ht="12.75">
      <c r="A204" s="3">
        <v>38292</v>
      </c>
      <c r="B204" s="67">
        <v>409.5</v>
      </c>
      <c r="C204" s="67">
        <v>0</v>
      </c>
    </row>
    <row r="205" spans="1:3" ht="12.75">
      <c r="A205" s="3">
        <v>38322</v>
      </c>
      <c r="B205" s="67">
        <v>668</v>
      </c>
      <c r="C205" s="67">
        <v>0</v>
      </c>
    </row>
    <row r="206" spans="1:3" ht="12.75">
      <c r="A206" s="3">
        <v>38353</v>
      </c>
      <c r="B206" s="85">
        <v>782.7</v>
      </c>
      <c r="C206" s="85">
        <v>0</v>
      </c>
    </row>
    <row r="207" spans="1:3" ht="12.75">
      <c r="A207" s="3">
        <v>38384</v>
      </c>
      <c r="B207" s="85">
        <v>635</v>
      </c>
      <c r="C207" s="85">
        <v>0</v>
      </c>
    </row>
    <row r="208" spans="1:3" ht="12.75">
      <c r="A208" s="3">
        <v>38412</v>
      </c>
      <c r="B208" s="85">
        <v>644.3</v>
      </c>
      <c r="C208" s="85">
        <v>0</v>
      </c>
    </row>
    <row r="209" spans="1:3" ht="12.75">
      <c r="A209" s="3">
        <v>38443</v>
      </c>
      <c r="B209" s="85">
        <v>316.2</v>
      </c>
      <c r="C209" s="85">
        <v>0</v>
      </c>
    </row>
    <row r="210" spans="1:3" ht="12.75">
      <c r="A210" s="3">
        <v>38473</v>
      </c>
      <c r="B210" s="85">
        <v>208.5</v>
      </c>
      <c r="C210" s="85">
        <v>0.3</v>
      </c>
    </row>
    <row r="211" spans="1:3" ht="12.75">
      <c r="A211" s="3">
        <v>38504</v>
      </c>
      <c r="B211" s="85">
        <v>11.2</v>
      </c>
      <c r="C211" s="85">
        <v>126.8</v>
      </c>
    </row>
    <row r="212" spans="1:3" ht="12.75">
      <c r="A212" s="3">
        <v>38534</v>
      </c>
      <c r="B212" s="85">
        <v>2.2</v>
      </c>
      <c r="C212" s="85">
        <v>140.7</v>
      </c>
    </row>
    <row r="213" spans="1:3" ht="12.75">
      <c r="A213" s="3">
        <v>38565</v>
      </c>
      <c r="B213" s="85">
        <v>5.9</v>
      </c>
      <c r="C213" s="85">
        <v>94.1</v>
      </c>
    </row>
    <row r="214" spans="1:3" ht="12.75">
      <c r="A214" s="3">
        <v>38596</v>
      </c>
      <c r="B214" s="85">
        <v>44</v>
      </c>
      <c r="C214" s="85">
        <v>30.4</v>
      </c>
    </row>
    <row r="215" spans="1:3" ht="12.75">
      <c r="A215" s="3">
        <v>38626</v>
      </c>
      <c r="B215" s="85">
        <v>243.4</v>
      </c>
      <c r="C215" s="85">
        <v>13.7</v>
      </c>
    </row>
    <row r="216" spans="1:3" ht="12.75">
      <c r="A216" s="3">
        <v>38657</v>
      </c>
      <c r="B216" s="85">
        <v>418.9</v>
      </c>
      <c r="C216" s="85">
        <v>0</v>
      </c>
    </row>
    <row r="217" spans="1:3" ht="12.75">
      <c r="A217" s="3">
        <v>38687</v>
      </c>
      <c r="B217" s="85">
        <v>699.1</v>
      </c>
      <c r="C217" s="85">
        <v>0</v>
      </c>
    </row>
    <row r="218" spans="1:3" ht="12.75">
      <c r="A218" s="3">
        <v>38718</v>
      </c>
      <c r="B218" s="85">
        <v>576.3</v>
      </c>
      <c r="C218" s="85">
        <v>0</v>
      </c>
    </row>
    <row r="219" spans="1:3" ht="12.75">
      <c r="A219" s="3">
        <v>38749</v>
      </c>
      <c r="B219" s="85">
        <v>628.2</v>
      </c>
      <c r="C219" s="85">
        <v>0</v>
      </c>
    </row>
    <row r="220" spans="1:3" ht="12.75">
      <c r="A220" s="3">
        <v>38777</v>
      </c>
      <c r="B220" s="85">
        <v>571.1</v>
      </c>
      <c r="C220" s="85">
        <v>0</v>
      </c>
    </row>
    <row r="221" spans="1:3" ht="12.75">
      <c r="A221" s="3">
        <v>38808</v>
      </c>
      <c r="B221" s="85">
        <v>307.9</v>
      </c>
      <c r="C221" s="85">
        <v>0</v>
      </c>
    </row>
    <row r="222" spans="1:3" ht="12.75">
      <c r="A222" s="3">
        <v>38838</v>
      </c>
      <c r="B222" s="85">
        <v>163.2</v>
      </c>
      <c r="C222" s="85">
        <v>23.9</v>
      </c>
    </row>
    <row r="223" spans="1:3" ht="12.75">
      <c r="A223" s="3">
        <v>38869</v>
      </c>
      <c r="B223" s="85">
        <v>42.2</v>
      </c>
      <c r="C223" s="85">
        <v>42.8</v>
      </c>
    </row>
    <row r="224" spans="1:3" ht="12.75">
      <c r="A224" s="3">
        <v>38899</v>
      </c>
      <c r="B224" s="85">
        <v>7</v>
      </c>
      <c r="C224" s="85">
        <v>127</v>
      </c>
    </row>
    <row r="225" spans="1:3" ht="12.75">
      <c r="A225" s="3">
        <v>38930</v>
      </c>
      <c r="B225" s="85">
        <v>9.8</v>
      </c>
      <c r="C225" s="85">
        <v>57.3</v>
      </c>
    </row>
    <row r="226" spans="1:3" ht="12.75">
      <c r="A226" s="3">
        <v>38961</v>
      </c>
      <c r="B226" s="85">
        <v>108.2</v>
      </c>
      <c r="C226" s="85">
        <v>6.1</v>
      </c>
    </row>
    <row r="227" spans="1:3" ht="12.75">
      <c r="A227" s="3">
        <v>38991</v>
      </c>
      <c r="B227" s="85">
        <v>312.6</v>
      </c>
      <c r="C227" s="85">
        <v>0.3</v>
      </c>
    </row>
    <row r="228" spans="1:3" ht="12.75">
      <c r="A228" s="3">
        <v>39022</v>
      </c>
      <c r="B228" s="85">
        <v>394.5</v>
      </c>
      <c r="C228" s="85">
        <v>0</v>
      </c>
    </row>
    <row r="229" spans="1:3" ht="12.75">
      <c r="A229" s="3">
        <v>39052</v>
      </c>
      <c r="B229" s="85">
        <v>533.1</v>
      </c>
      <c r="C229" s="85">
        <v>0</v>
      </c>
    </row>
    <row r="230" spans="1:3" ht="12.75">
      <c r="A230" s="3">
        <v>39083</v>
      </c>
      <c r="B230" s="86">
        <v>433.3</v>
      </c>
      <c r="C230" s="85">
        <v>0</v>
      </c>
    </row>
    <row r="231" spans="1:3" ht="12.75">
      <c r="A231" s="3">
        <v>39114</v>
      </c>
      <c r="B231" s="85">
        <v>504.7</v>
      </c>
      <c r="C231" s="85">
        <v>0</v>
      </c>
    </row>
    <row r="232" spans="1:3" ht="12.75">
      <c r="A232" s="3">
        <v>39142</v>
      </c>
      <c r="B232" s="85">
        <v>402.6</v>
      </c>
      <c r="C232" s="85">
        <v>0</v>
      </c>
    </row>
    <row r="233" spans="1:3" ht="12.75">
      <c r="A233" s="3">
        <v>39173</v>
      </c>
      <c r="B233" s="85">
        <v>277.2</v>
      </c>
      <c r="C233" s="85">
        <v>0</v>
      </c>
    </row>
    <row r="234" spans="1:3" ht="12.75">
      <c r="A234" s="3">
        <v>39203</v>
      </c>
      <c r="B234" s="85">
        <v>85.8</v>
      </c>
      <c r="C234" s="85">
        <v>20.9</v>
      </c>
    </row>
    <row r="235" spans="1:3" ht="12.75">
      <c r="A235" s="3">
        <v>39234</v>
      </c>
      <c r="B235" s="85">
        <v>25.2</v>
      </c>
      <c r="C235" s="85">
        <v>62.8</v>
      </c>
    </row>
    <row r="236" spans="1:3" ht="12.75">
      <c r="A236" s="3">
        <v>39264</v>
      </c>
      <c r="B236" s="85">
        <v>8.9</v>
      </c>
      <c r="C236" s="85">
        <v>43.9</v>
      </c>
    </row>
    <row r="237" spans="1:3" ht="12.75">
      <c r="A237" s="3">
        <v>39295</v>
      </c>
      <c r="B237" s="85">
        <v>9.1</v>
      </c>
      <c r="C237" s="85">
        <v>66.5</v>
      </c>
    </row>
    <row r="238" spans="1:3" ht="12.75">
      <c r="A238" s="3">
        <v>39326</v>
      </c>
      <c r="B238" s="85">
        <v>27.6</v>
      </c>
      <c r="C238" s="85">
        <v>23.9</v>
      </c>
    </row>
    <row r="239" spans="1:3" ht="12.75">
      <c r="A239" s="3">
        <v>39356</v>
      </c>
      <c r="B239" s="85">
        <v>107.7</v>
      </c>
      <c r="C239" s="85">
        <v>12.2</v>
      </c>
    </row>
    <row r="240" spans="1:3" ht="12.75">
      <c r="A240" s="3">
        <v>39387</v>
      </c>
      <c r="B240" s="85">
        <v>287.2</v>
      </c>
      <c r="C240" s="85">
        <v>0</v>
      </c>
    </row>
    <row r="241" spans="1:3" ht="12.75">
      <c r="A241" s="3">
        <v>39417</v>
      </c>
      <c r="B241" s="85">
        <v>421.2</v>
      </c>
      <c r="C241" s="85">
        <v>0</v>
      </c>
    </row>
    <row r="242" spans="1:3" ht="12.75">
      <c r="A242" s="3">
        <v>39448</v>
      </c>
      <c r="B242" s="87">
        <v>430.1</v>
      </c>
      <c r="C242" s="87">
        <v>0</v>
      </c>
    </row>
    <row r="243" spans="1:3" ht="12.75">
      <c r="A243" s="3">
        <v>39479</v>
      </c>
      <c r="B243" s="87">
        <v>476.6</v>
      </c>
      <c r="C243" s="87">
        <v>0</v>
      </c>
    </row>
    <row r="244" spans="1:3" ht="12.75">
      <c r="A244" s="3">
        <v>39508</v>
      </c>
      <c r="B244" s="87">
        <v>420.6</v>
      </c>
      <c r="C244" s="87">
        <v>0</v>
      </c>
    </row>
    <row r="245" spans="1:3" ht="12.75">
      <c r="A245" s="3">
        <v>39539</v>
      </c>
      <c r="B245" s="87">
        <v>160.1</v>
      </c>
      <c r="C245" s="87">
        <v>0</v>
      </c>
    </row>
    <row r="246" spans="1:3" ht="12.75">
      <c r="A246" s="3">
        <v>39569</v>
      </c>
      <c r="B246" s="87">
        <v>139.9</v>
      </c>
      <c r="C246" s="87">
        <v>0</v>
      </c>
    </row>
    <row r="247" spans="1:3" ht="12.75">
      <c r="A247" s="3">
        <v>39600</v>
      </c>
      <c r="B247" s="87">
        <v>25</v>
      </c>
      <c r="C247" s="87">
        <v>34</v>
      </c>
    </row>
    <row r="248" spans="1:3" ht="12.75">
      <c r="A248" s="3">
        <v>39630</v>
      </c>
      <c r="B248" s="87">
        <v>0.5</v>
      </c>
      <c r="C248" s="87">
        <v>53.2</v>
      </c>
    </row>
    <row r="249" spans="1:3" ht="12.75">
      <c r="A249" s="3">
        <v>39661</v>
      </c>
      <c r="B249" s="87">
        <v>14.4</v>
      </c>
      <c r="C249" s="87">
        <v>17.7</v>
      </c>
    </row>
    <row r="250" spans="1:3" ht="12.75">
      <c r="A250" s="3">
        <v>39692</v>
      </c>
      <c r="B250" s="87">
        <v>58.7</v>
      </c>
      <c r="C250" s="87">
        <v>11.1</v>
      </c>
    </row>
    <row r="251" spans="1:3" ht="12.75">
      <c r="A251" s="3">
        <v>39722</v>
      </c>
      <c r="B251" s="87">
        <v>227.4</v>
      </c>
      <c r="C251" s="87">
        <v>0</v>
      </c>
    </row>
    <row r="252" spans="1:9" ht="12.75">
      <c r="A252" s="3">
        <v>39753</v>
      </c>
      <c r="B252" s="87">
        <v>282.4</v>
      </c>
      <c r="C252" s="87">
        <v>0</v>
      </c>
      <c r="E252" s="16" t="s">
        <v>153</v>
      </c>
      <c r="I252" s="16" t="s">
        <v>56</v>
      </c>
    </row>
    <row r="253" spans="1:3" ht="12.75">
      <c r="A253" s="3">
        <v>39783</v>
      </c>
      <c r="B253" s="87">
        <v>448.2</v>
      </c>
      <c r="C253" s="87">
        <v>0</v>
      </c>
    </row>
    <row r="254" spans="1:10" ht="12.75">
      <c r="A254" s="3">
        <v>39814</v>
      </c>
      <c r="B254" s="67">
        <f>(+B230+B218+B206+B194+B182+B170+B158+B146+B134+B122+B110+B98+B86+B74+B62+B50+B38+B26+B14+B2)/20</f>
        <v>706.3200000000002</v>
      </c>
      <c r="C254" s="67">
        <f>(+C230+C218+C206+C194+C182+C170+C158+C146+C134+C122+C110+C98+C86+C74+C62+C50+C38+C26+C14+C2)/20</f>
        <v>0</v>
      </c>
      <c r="E254" s="18">
        <f>+'Appendix A - 11 yr avge'!C195</f>
        <v>667.3272727272728</v>
      </c>
      <c r="F254" s="18">
        <f>+'Appendix A - 11 yr avge'!D195</f>
        <v>0</v>
      </c>
      <c r="I254" s="18">
        <f>+B254-E254</f>
        <v>38.99272727272739</v>
      </c>
      <c r="J254" s="18">
        <f>+C254-F254</f>
        <v>0</v>
      </c>
    </row>
    <row r="255" spans="1:10" ht="12.75">
      <c r="A255" s="3">
        <v>39845</v>
      </c>
      <c r="B255" s="67">
        <f aca="true" t="shared" si="0" ref="B255:C265">(+B231+B219+B207+B195+B183+B171+B159+B147+B135+B123+B111+B99+B87+B75+B63+B51+B39+B27+B15+B3)/20</f>
        <v>640.01</v>
      </c>
      <c r="C255" s="67">
        <f t="shared" si="0"/>
        <v>0</v>
      </c>
      <c r="E255" s="18">
        <f>+'Appendix A - 11 yr avge'!C196</f>
        <v>589.9636363636364</v>
      </c>
      <c r="F255" s="18">
        <f>+'Appendix A - 11 yr avge'!D196</f>
        <v>0</v>
      </c>
      <c r="I255" s="18">
        <f aca="true" t="shared" si="1" ref="I255:I277">+B255-E255</f>
        <v>50.046363636363594</v>
      </c>
      <c r="J255" s="18">
        <f aca="true" t="shared" si="2" ref="J255:J277">+C255-F255</f>
        <v>0</v>
      </c>
    </row>
    <row r="256" spans="1:10" ht="12.75">
      <c r="A256" s="3">
        <v>39873</v>
      </c>
      <c r="B256" s="67">
        <f t="shared" si="0"/>
        <v>563.2650000000001</v>
      </c>
      <c r="C256" s="67">
        <f t="shared" si="0"/>
        <v>0.05</v>
      </c>
      <c r="E256" s="18">
        <f>+'Appendix A - 11 yr avge'!C197</f>
        <v>532.3181818181819</v>
      </c>
      <c r="F256" s="18">
        <f>+'Appendix A - 11 yr avge'!D197</f>
        <v>0.09090909090909091</v>
      </c>
      <c r="I256" s="18">
        <f t="shared" si="1"/>
        <v>30.94681818181823</v>
      </c>
      <c r="J256" s="18">
        <f t="shared" si="2"/>
        <v>-0.04090909090909091</v>
      </c>
    </row>
    <row r="257" spans="1:10" ht="12.75">
      <c r="A257" s="3">
        <v>39904</v>
      </c>
      <c r="B257" s="67">
        <f t="shared" si="0"/>
        <v>351.35</v>
      </c>
      <c r="C257" s="67">
        <f t="shared" si="0"/>
        <v>1.22</v>
      </c>
      <c r="E257" s="18">
        <f>+'Appendix A - 11 yr avge'!C198</f>
        <v>309.3636363636363</v>
      </c>
      <c r="F257" s="18">
        <f>+'Appendix A - 11 yr avge'!D198</f>
        <v>1.0818181818181818</v>
      </c>
      <c r="I257" s="18">
        <f t="shared" si="1"/>
        <v>41.986363636363706</v>
      </c>
      <c r="J257" s="18">
        <f t="shared" si="2"/>
        <v>0.13818181818181818</v>
      </c>
    </row>
    <row r="258" spans="1:10" ht="12.75">
      <c r="A258" s="3">
        <v>39934</v>
      </c>
      <c r="B258" s="67">
        <f t="shared" si="0"/>
        <v>173.32999999999998</v>
      </c>
      <c r="C258" s="67">
        <f t="shared" si="0"/>
        <v>11.445</v>
      </c>
      <c r="E258" s="18">
        <f>+'Appendix A - 11 yr avge'!C199</f>
        <v>147</v>
      </c>
      <c r="F258" s="18">
        <f>+'Appendix A - 11 yr avge'!D199</f>
        <v>12.436363636363637</v>
      </c>
      <c r="I258" s="18">
        <f t="shared" si="1"/>
        <v>26.329999999999984</v>
      </c>
      <c r="J258" s="18">
        <f t="shared" si="2"/>
        <v>-0.9913636363636371</v>
      </c>
    </row>
    <row r="259" spans="1:10" ht="12.75">
      <c r="A259" s="3">
        <v>39965</v>
      </c>
      <c r="B259" s="67">
        <f t="shared" si="0"/>
        <v>43.205</v>
      </c>
      <c r="C259" s="67">
        <f t="shared" si="0"/>
        <v>55.09499999999999</v>
      </c>
      <c r="E259" s="18">
        <f>+'Appendix A - 11 yr avge'!C200</f>
        <v>40.54545454545454</v>
      </c>
      <c r="F259" s="18">
        <f>+'Appendix A - 11 yr avge'!D200</f>
        <v>61.01818181818181</v>
      </c>
      <c r="I259" s="18">
        <f t="shared" si="1"/>
        <v>2.6595454545454587</v>
      </c>
      <c r="J259" s="18">
        <f t="shared" si="2"/>
        <v>-5.923181818181817</v>
      </c>
    </row>
    <row r="260" spans="1:10" ht="12.75">
      <c r="A260" s="3">
        <v>39995</v>
      </c>
      <c r="B260" s="67">
        <f t="shared" si="0"/>
        <v>13.49</v>
      </c>
      <c r="C260" s="67">
        <f t="shared" si="0"/>
        <v>80.74000000000002</v>
      </c>
      <c r="E260" s="18">
        <f>+'Appendix A - 11 yr avge'!C201</f>
        <v>8.863636363636363</v>
      </c>
      <c r="F260" s="18">
        <f>+'Appendix A - 11 yr avge'!D201</f>
        <v>89.10000000000001</v>
      </c>
      <c r="I260" s="18">
        <f t="shared" si="1"/>
        <v>4.626363636363637</v>
      </c>
      <c r="J260" s="18">
        <f t="shared" si="2"/>
        <v>-8.359999999999985</v>
      </c>
    </row>
    <row r="261" spans="1:10" ht="12.75">
      <c r="A261" s="3">
        <v>40026</v>
      </c>
      <c r="B261" s="67">
        <f t="shared" si="0"/>
        <v>18.730000000000004</v>
      </c>
      <c r="C261" s="67">
        <f t="shared" si="0"/>
        <v>84.13</v>
      </c>
      <c r="E261" s="18">
        <f>+'Appendix A - 11 yr avge'!C202</f>
        <v>13.9</v>
      </c>
      <c r="F261" s="18">
        <f>+'Appendix A - 11 yr avge'!D202</f>
        <v>67.04545454545453</v>
      </c>
      <c r="I261" s="18">
        <f t="shared" si="1"/>
        <v>4.830000000000004</v>
      </c>
      <c r="J261" s="18">
        <f t="shared" si="2"/>
        <v>17.084545454545463</v>
      </c>
    </row>
    <row r="262" spans="1:10" ht="12.75">
      <c r="A262" s="3">
        <v>40057</v>
      </c>
      <c r="B262" s="67">
        <f t="shared" si="0"/>
        <v>88.80499999999999</v>
      </c>
      <c r="C262" s="67">
        <f t="shared" si="0"/>
        <v>21.750000000000004</v>
      </c>
      <c r="E262" s="18">
        <f>+'Appendix A - 11 yr avge'!C203</f>
        <v>67.64545454545454</v>
      </c>
      <c r="F262" s="18">
        <f>+'Appendix A - 11 yr avge'!D203</f>
        <v>27.58181818181818</v>
      </c>
      <c r="I262" s="18">
        <f t="shared" si="1"/>
        <v>21.15954545454545</v>
      </c>
      <c r="J262" s="18">
        <f t="shared" si="2"/>
        <v>-5.831818181818175</v>
      </c>
    </row>
    <row r="263" spans="1:10" ht="12.75">
      <c r="A263" s="3">
        <v>40087</v>
      </c>
      <c r="B263" s="67">
        <f t="shared" si="0"/>
        <v>260.775</v>
      </c>
      <c r="C263" s="67">
        <f t="shared" si="0"/>
        <v>2.59</v>
      </c>
      <c r="E263" s="18">
        <f>+'Appendix A - 11 yr avge'!C204</f>
        <v>249.6181818181818</v>
      </c>
      <c r="F263" s="18">
        <f>+'Appendix A - 11 yr avge'!D204</f>
        <v>3.4181818181818184</v>
      </c>
      <c r="I263" s="18">
        <f t="shared" si="1"/>
        <v>11.156818181818181</v>
      </c>
      <c r="J263" s="18">
        <f t="shared" si="2"/>
        <v>-0.8281818181818186</v>
      </c>
    </row>
    <row r="264" spans="1:10" ht="12.75">
      <c r="A264" s="3">
        <v>40118</v>
      </c>
      <c r="B264" s="67">
        <f t="shared" si="0"/>
        <v>441.575</v>
      </c>
      <c r="C264" s="67">
        <f t="shared" si="0"/>
        <v>0</v>
      </c>
      <c r="E264" s="18">
        <f>+'Appendix A - 11 yr avge'!C205</f>
        <v>389.3636363636364</v>
      </c>
      <c r="F264" s="18">
        <f>+'Appendix A - 11 yr avge'!D205</f>
        <v>0</v>
      </c>
      <c r="I264" s="18">
        <f t="shared" si="1"/>
        <v>52.211363636363615</v>
      </c>
      <c r="J264" s="18">
        <f t="shared" si="2"/>
        <v>0</v>
      </c>
    </row>
    <row r="265" spans="1:10" ht="12.75">
      <c r="A265" s="3">
        <v>40148</v>
      </c>
      <c r="B265" s="67">
        <f t="shared" si="0"/>
        <v>634.03</v>
      </c>
      <c r="C265" s="67">
        <f t="shared" si="0"/>
        <v>0</v>
      </c>
      <c r="E265" s="18">
        <f>+'Appendix A - 11 yr avge'!C206</f>
        <v>593.6363636363636</v>
      </c>
      <c r="F265" s="18">
        <f>+'Appendix A - 11 yr avge'!D206</f>
        <v>0</v>
      </c>
      <c r="I265" s="18">
        <f t="shared" si="1"/>
        <v>40.39363636363635</v>
      </c>
      <c r="J265" s="18">
        <f t="shared" si="2"/>
        <v>0</v>
      </c>
    </row>
    <row r="266" spans="1:10" ht="12.75">
      <c r="A266" s="3">
        <v>40179</v>
      </c>
      <c r="B266" s="67">
        <f>(+B242+B230+B218+B206+B194+B182+B170+B158+B146+B134+B122+B110+B98+B86+B74+B62+B50+B38+B26+B14+B254)/21</f>
        <v>695.1485714285716</v>
      </c>
      <c r="C266" s="67">
        <f>(+C242+C230+C218+C206+C194+C182+C170+C158+C146+C134+C122+C110+C98+C86+C74+C62+C50+C38+C26+C14+C254)/21</f>
        <v>0</v>
      </c>
      <c r="E266" s="18">
        <f>+'Appendix A - 11 yr avge'!C207</f>
        <v>667.3272727272728</v>
      </c>
      <c r="F266" s="18">
        <f>+'Appendix A - 11 yr avge'!D207</f>
        <v>0</v>
      </c>
      <c r="I266" s="18">
        <f t="shared" si="1"/>
        <v>27.821298701298815</v>
      </c>
      <c r="J266" s="18">
        <f t="shared" si="2"/>
        <v>0</v>
      </c>
    </row>
    <row r="267" spans="1:10" ht="12.75">
      <c r="A267" s="3">
        <v>40210</v>
      </c>
      <c r="B267" s="67">
        <f aca="true" t="shared" si="3" ref="B267:C277">(+B243+B231+B219+B207+B195+B183+B171+B159+B147+B135+B123+B111+B99+B87+B75+B63+B51+B39+B27+B15+B255)/21</f>
        <v>628.5433333333333</v>
      </c>
      <c r="C267" s="67">
        <f t="shared" si="3"/>
        <v>0</v>
      </c>
      <c r="E267" s="18">
        <f>+'Appendix A - 11 yr avge'!C208</f>
        <v>589.9636363636364</v>
      </c>
      <c r="F267" s="18">
        <f>+'Appendix A - 11 yr avge'!D208</f>
        <v>0</v>
      </c>
      <c r="I267" s="18">
        <f t="shared" si="1"/>
        <v>38.5796969696969</v>
      </c>
      <c r="J267" s="18">
        <f t="shared" si="2"/>
        <v>0</v>
      </c>
    </row>
    <row r="268" spans="1:10" ht="12.75">
      <c r="A268" s="3">
        <v>40238</v>
      </c>
      <c r="B268" s="67">
        <f t="shared" si="3"/>
        <v>558.0602380952381</v>
      </c>
      <c r="C268" s="67">
        <f t="shared" si="3"/>
        <v>0.05</v>
      </c>
      <c r="E268" s="18">
        <f>+'Appendix A - 11 yr avge'!C209</f>
        <v>532.3181818181819</v>
      </c>
      <c r="F268" s="18">
        <f>+'Appendix A - 11 yr avge'!D209</f>
        <v>0.0909090909090909</v>
      </c>
      <c r="I268" s="18">
        <f t="shared" si="1"/>
        <v>25.742056277056236</v>
      </c>
      <c r="J268" s="18">
        <f t="shared" si="2"/>
        <v>-0.040909090909090895</v>
      </c>
    </row>
    <row r="269" spans="1:10" ht="12.75">
      <c r="A269" s="3">
        <v>40269</v>
      </c>
      <c r="B269" s="67">
        <f t="shared" si="3"/>
        <v>338.15000000000003</v>
      </c>
      <c r="C269" s="67">
        <f t="shared" si="3"/>
        <v>1.22</v>
      </c>
      <c r="E269" s="18">
        <f>+'Appendix A - 11 yr avge'!C210</f>
        <v>309.3636363636363</v>
      </c>
      <c r="F269" s="18">
        <f>+'Appendix A - 11 yr avge'!D210</f>
        <v>1.0818181818181818</v>
      </c>
      <c r="I269" s="18">
        <f t="shared" si="1"/>
        <v>28.786363636363717</v>
      </c>
      <c r="J269" s="18">
        <f t="shared" si="2"/>
        <v>0.13818181818181818</v>
      </c>
    </row>
    <row r="270" spans="1:10" ht="12.75">
      <c r="A270" s="3">
        <v>40299</v>
      </c>
      <c r="B270" s="67">
        <f t="shared" si="3"/>
        <v>171.05380952380952</v>
      </c>
      <c r="C270" s="67">
        <f t="shared" si="3"/>
        <v>11.445</v>
      </c>
      <c r="E270" s="18">
        <f>+'Appendix A - 11 yr avge'!C211</f>
        <v>147</v>
      </c>
      <c r="F270" s="18">
        <f>+'Appendix A - 11 yr avge'!D211</f>
        <v>12.436363636363637</v>
      </c>
      <c r="I270" s="18">
        <f t="shared" si="1"/>
        <v>24.05380952380952</v>
      </c>
      <c r="J270" s="18">
        <f t="shared" si="2"/>
        <v>-0.9913636363636371</v>
      </c>
    </row>
    <row r="271" spans="1:10" ht="12.75">
      <c r="A271" s="3">
        <v>40330</v>
      </c>
      <c r="B271" s="67">
        <f t="shared" si="3"/>
        <v>42.98119047619048</v>
      </c>
      <c r="C271" s="67">
        <f t="shared" si="3"/>
        <v>53.3045238095238</v>
      </c>
      <c r="E271" s="18">
        <f>+'Appendix A - 11 yr avge'!C212</f>
        <v>40.54545454545454</v>
      </c>
      <c r="F271" s="18">
        <f>+'Appendix A - 11 yr avge'!D212</f>
        <v>61.01818181818181</v>
      </c>
      <c r="I271" s="18">
        <f t="shared" si="1"/>
        <v>2.4357359307359374</v>
      </c>
      <c r="J271" s="18">
        <f t="shared" si="2"/>
        <v>-7.713658008658008</v>
      </c>
    </row>
    <row r="272" spans="1:10" ht="12.75">
      <c r="A272" s="3">
        <v>40360</v>
      </c>
      <c r="B272" s="67">
        <f t="shared" si="3"/>
        <v>12.709047619047618</v>
      </c>
      <c r="C272" s="67">
        <f t="shared" si="3"/>
        <v>78.38285714285715</v>
      </c>
      <c r="E272" s="18">
        <f>+'Appendix A - 11 yr avge'!C213</f>
        <v>8.863636363636363</v>
      </c>
      <c r="F272" s="18">
        <f>+'Appendix A - 11 yr avge'!D213</f>
        <v>89.10000000000001</v>
      </c>
      <c r="I272" s="18">
        <f t="shared" si="1"/>
        <v>3.845411255411255</v>
      </c>
      <c r="J272" s="18">
        <f t="shared" si="2"/>
        <v>-10.71714285714286</v>
      </c>
    </row>
    <row r="273" spans="1:10" ht="12.75">
      <c r="A273" s="3">
        <v>40391</v>
      </c>
      <c r="B273" s="67">
        <f t="shared" si="3"/>
        <v>19.3252380952381</v>
      </c>
      <c r="C273" s="67">
        <f t="shared" si="3"/>
        <v>79.88714285714286</v>
      </c>
      <c r="E273" s="18">
        <f>+'Appendix A - 11 yr avge'!C214</f>
        <v>13.9</v>
      </c>
      <c r="F273" s="18">
        <f>+'Appendix A - 11 yr avge'!D214</f>
        <v>67.04545454545453</v>
      </c>
      <c r="I273" s="18">
        <f t="shared" si="1"/>
        <v>5.4252380952380985</v>
      </c>
      <c r="J273" s="18">
        <f t="shared" si="2"/>
        <v>12.84168831168833</v>
      </c>
    </row>
    <row r="274" spans="1:10" ht="12.75">
      <c r="A274" s="3">
        <v>40422</v>
      </c>
      <c r="B274" s="67">
        <f t="shared" si="3"/>
        <v>85.18595238095239</v>
      </c>
      <c r="C274" s="67">
        <f t="shared" si="3"/>
        <v>21.85952380952381</v>
      </c>
      <c r="E274" s="18">
        <f>+'Appendix A - 11 yr avge'!C215</f>
        <v>67.64545454545454</v>
      </c>
      <c r="F274" s="18">
        <f>+'Appendix A - 11 yr avge'!D215</f>
        <v>27.58181818181818</v>
      </c>
      <c r="I274" s="18">
        <f t="shared" si="1"/>
        <v>17.540497835497845</v>
      </c>
      <c r="J274" s="18">
        <f t="shared" si="2"/>
        <v>-5.7222943722943675</v>
      </c>
    </row>
    <row r="275" spans="1:10" ht="12.75">
      <c r="A275" s="3">
        <v>40452</v>
      </c>
      <c r="B275" s="67">
        <f t="shared" si="3"/>
        <v>260.75119047619046</v>
      </c>
      <c r="C275" s="67">
        <f t="shared" si="3"/>
        <v>2.566190476190476</v>
      </c>
      <c r="E275" s="18">
        <f>+'Appendix A - 11 yr avge'!C216</f>
        <v>249.6181818181818</v>
      </c>
      <c r="F275" s="18">
        <f>+'Appendix A - 11 yr avge'!D216</f>
        <v>3.4181818181818184</v>
      </c>
      <c r="I275" s="18">
        <f t="shared" si="1"/>
        <v>11.133008658008663</v>
      </c>
      <c r="J275" s="18">
        <f t="shared" si="2"/>
        <v>-0.8519913419913423</v>
      </c>
    </row>
    <row r="276" spans="1:10" ht="12.75">
      <c r="A276" s="3">
        <v>40483</v>
      </c>
      <c r="B276" s="67">
        <f t="shared" si="3"/>
        <v>428.96071428571435</v>
      </c>
      <c r="C276" s="67">
        <f t="shared" si="3"/>
        <v>0</v>
      </c>
      <c r="E276" s="18">
        <f>+'Appendix A - 11 yr avge'!C217</f>
        <v>389.3636363636363</v>
      </c>
      <c r="F276" s="18">
        <f>+'Appendix A - 11 yr avge'!D217</f>
        <v>0</v>
      </c>
      <c r="I276" s="18">
        <f t="shared" si="1"/>
        <v>39.59707792207803</v>
      </c>
      <c r="J276" s="18">
        <f t="shared" si="2"/>
        <v>0</v>
      </c>
    </row>
    <row r="277" spans="1:10" ht="12.75">
      <c r="A277" s="3">
        <v>40513</v>
      </c>
      <c r="B277" s="67">
        <f t="shared" si="3"/>
        <v>620.1728571428571</v>
      </c>
      <c r="C277" s="67">
        <f t="shared" si="3"/>
        <v>0</v>
      </c>
      <c r="E277" s="18">
        <f>+'Appendix A - 11 yr avge'!C218</f>
        <v>593.6363636363636</v>
      </c>
      <c r="F277" s="18">
        <f>+'Appendix A - 11 yr avge'!D218</f>
        <v>0</v>
      </c>
      <c r="I277" s="18">
        <f t="shared" si="1"/>
        <v>26.536493506493457</v>
      </c>
      <c r="J277" s="18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04"/>
  <sheetViews>
    <sheetView zoomScalePageLayoutView="0" workbookViewId="0" topLeftCell="A1">
      <pane xSplit="1" ySplit="2" topLeftCell="B5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56" sqref="G56"/>
    </sheetView>
  </sheetViews>
  <sheetFormatPr defaultColWidth="9.140625" defaultRowHeight="12.75"/>
  <cols>
    <col min="1" max="1" width="11.00390625" style="0" customWidth="1"/>
    <col min="2" max="5" width="18.00390625" style="1" customWidth="1"/>
    <col min="6" max="6" width="15.7109375" style="1" customWidth="1"/>
    <col min="7" max="7" width="15.7109375" style="6" customWidth="1"/>
    <col min="8" max="9" width="15.00390625" style="6" customWidth="1"/>
    <col min="10" max="11" width="14.140625" style="6" bestFit="1" customWidth="1"/>
    <col min="12" max="12" width="14.7109375" style="6" customWidth="1"/>
    <col min="13" max="13" width="12.57421875" style="6" customWidth="1"/>
    <col min="14" max="14" width="11.28125" style="6" customWidth="1"/>
    <col min="15" max="15" width="11.57421875" style="6" customWidth="1"/>
    <col min="16" max="16" width="12.7109375" style="6" bestFit="1" customWidth="1"/>
    <col min="17" max="17" width="11.140625" style="6" bestFit="1" customWidth="1"/>
    <col min="18" max="18" width="11.7109375" style="6" bestFit="1" customWidth="1"/>
    <col min="19" max="19" width="10.7109375" style="6" bestFit="1" customWidth="1"/>
    <col min="20" max="20" width="10.28125" style="69" bestFit="1" customWidth="1"/>
    <col min="21" max="21" width="11.140625" style="6" bestFit="1" customWidth="1"/>
  </cols>
  <sheetData>
    <row r="2" spans="2:15" ht="42" customHeight="1">
      <c r="B2" s="2" t="s">
        <v>12</v>
      </c>
      <c r="C2" s="2" t="s">
        <v>13</v>
      </c>
      <c r="D2" s="2" t="s">
        <v>56</v>
      </c>
      <c r="E2" s="2" t="s">
        <v>14</v>
      </c>
      <c r="F2" s="2" t="s">
        <v>1</v>
      </c>
      <c r="G2" s="7" t="s">
        <v>6</v>
      </c>
      <c r="H2" s="56" t="s">
        <v>2</v>
      </c>
      <c r="I2" s="57" t="s">
        <v>68</v>
      </c>
      <c r="J2" s="57" t="s">
        <v>64</v>
      </c>
      <c r="K2" s="57" t="s">
        <v>69</v>
      </c>
      <c r="L2" s="57" t="s">
        <v>70</v>
      </c>
      <c r="M2" s="58" t="s">
        <v>5</v>
      </c>
      <c r="N2" s="58" t="s">
        <v>3</v>
      </c>
      <c r="O2" s="58" t="s">
        <v>4</v>
      </c>
    </row>
    <row r="4" spans="1:2" ht="12.75">
      <c r="A4" s="21"/>
      <c r="B4" s="49" t="s">
        <v>58</v>
      </c>
    </row>
    <row r="5" spans="2:21" ht="12.7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80"/>
      <c r="U5"/>
    </row>
    <row r="7" spans="1:5" ht="12.75">
      <c r="A7">
        <f>'Appendix A - 11 yr avge'!A222</f>
        <v>1996</v>
      </c>
      <c r="B7" s="6">
        <f>'Appendix A - 11 yr avge'!B222</f>
        <v>0</v>
      </c>
      <c r="C7" s="6">
        <f>'Appendix A - 11 yr avge'!J222</f>
        <v>0</v>
      </c>
      <c r="D7" s="45">
        <f>C7-B7</f>
        <v>0</v>
      </c>
      <c r="E7" s="5" t="e">
        <f>D7/B7</f>
        <v>#DIV/0!</v>
      </c>
    </row>
    <row r="8" spans="1:5" ht="12.75">
      <c r="A8">
        <f>'Appendix A - 11 yr avge'!A223</f>
        <v>1997</v>
      </c>
      <c r="B8" s="6">
        <f>'Appendix A - 11 yr avge'!B223</f>
        <v>0</v>
      </c>
      <c r="C8" s="6">
        <f>'Appendix A - 11 yr avge'!J223</f>
        <v>0</v>
      </c>
      <c r="D8" s="45">
        <f aca="true" t="shared" si="0" ref="D8:D18">C8-B8</f>
        <v>0</v>
      </c>
      <c r="E8" s="5" t="e">
        <f aca="true" t="shared" si="1" ref="E8:E19">D8/B8</f>
        <v>#DIV/0!</v>
      </c>
    </row>
    <row r="9" spans="1:7" ht="12.75">
      <c r="A9">
        <f>'Appendix A - 11 yr avge'!A224</f>
        <v>1998</v>
      </c>
      <c r="B9" s="6">
        <f>'Appendix A - 11 yr avge'!B224</f>
        <v>567117349</v>
      </c>
      <c r="C9" s="6">
        <f>'Appendix A - 11 yr avge'!J224</f>
        <v>565333998.7456169</v>
      </c>
      <c r="D9" s="45">
        <f t="shared" si="0"/>
        <v>-1783350.2543830872</v>
      </c>
      <c r="E9" s="5">
        <f t="shared" si="1"/>
        <v>-0.003144587725146612</v>
      </c>
      <c r="G9" s="6">
        <f>596636023-G11</f>
        <v>54359.5679012537</v>
      </c>
    </row>
    <row r="10" spans="1:16" ht="12.75">
      <c r="A10">
        <f>'Appendix A - 11 yr avge'!A225</f>
        <v>1999</v>
      </c>
      <c r="B10" s="6">
        <f>'Appendix A - 11 yr avge'!B225</f>
        <v>593828652</v>
      </c>
      <c r="C10" s="6">
        <f>'Appendix A - 11 yr avge'!J225</f>
        <v>593691923.2116864</v>
      </c>
      <c r="D10" s="45">
        <f t="shared" si="0"/>
        <v>-136728.78831362724</v>
      </c>
      <c r="E10" s="5">
        <f t="shared" si="1"/>
        <v>-0.0002302495641682632</v>
      </c>
      <c r="F10" s="28"/>
      <c r="P10" s="11" t="s">
        <v>144</v>
      </c>
    </row>
    <row r="11" spans="1:15" ht="12.75">
      <c r="A11">
        <f>'Appendix A - 11 yr avge'!A226</f>
        <v>2000</v>
      </c>
      <c r="B11" s="6">
        <f>'Appendix A - 11 yr avge'!B226</f>
        <v>611283741.3000001</v>
      </c>
      <c r="C11" s="6">
        <f>'Appendix A - 11 yr avge'!J226</f>
        <v>617457354.1785637</v>
      </c>
      <c r="D11" s="45">
        <f t="shared" si="0"/>
        <v>6173612.8785636425</v>
      </c>
      <c r="E11" s="5">
        <f t="shared" si="1"/>
        <v>0.010099422676340765</v>
      </c>
      <c r="F11" s="28">
        <f>1+(B11-G11)/G11</f>
        <v>1.0246438648203184</v>
      </c>
      <c r="G11" s="31">
        <f aca="true" t="shared" si="2" ref="G11:G18">SUM(H11:O11)</f>
        <v>596581663.4320987</v>
      </c>
      <c r="H11" s="47">
        <f>135376169-3859268</f>
        <v>131516901</v>
      </c>
      <c r="I11" s="47">
        <v>3859268</v>
      </c>
      <c r="J11" s="47">
        <f>73361616-944445</f>
        <v>72417171</v>
      </c>
      <c r="K11" s="47">
        <f>+'Rate Class Load Adjustments'!H18</f>
        <v>308580266</v>
      </c>
      <c r="L11" s="47">
        <f>+'Rate Class Load Adjustments'!G18</f>
        <v>75496947</v>
      </c>
      <c r="M11" s="47">
        <v>3598812</v>
      </c>
      <c r="N11" s="47">
        <v>167853</v>
      </c>
      <c r="O11" s="47">
        <f>956251/162*160</f>
        <v>944445.4320987654</v>
      </c>
    </row>
    <row r="12" spans="1:15" ht="12.75">
      <c r="A12">
        <f>'Appendix A - 11 yr avge'!A227</f>
        <v>2001</v>
      </c>
      <c r="B12" s="6">
        <f>'Appendix A - 11 yr avge'!B227</f>
        <v>616059685</v>
      </c>
      <c r="C12" s="6">
        <f>'Appendix A - 11 yr avge'!J227</f>
        <v>625665509.8204998</v>
      </c>
      <c r="D12" s="45">
        <f t="shared" si="0"/>
        <v>9605824.820499778</v>
      </c>
      <c r="E12" s="5">
        <f t="shared" si="1"/>
        <v>0.015592360698784856</v>
      </c>
      <c r="F12" s="28">
        <f>1+(B12-G12)/G12</f>
        <v>1.0178748847866996</v>
      </c>
      <c r="G12" s="31">
        <f t="shared" si="2"/>
        <v>605241070.5949367</v>
      </c>
      <c r="H12" s="47">
        <f>7685310+125399384</f>
        <v>133084694</v>
      </c>
      <c r="I12" s="47">
        <v>4099937</v>
      </c>
      <c r="J12" s="47">
        <v>70701786</v>
      </c>
      <c r="K12" s="47">
        <f>+'Rate Class Load Adjustments'!H19</f>
        <v>318799805</v>
      </c>
      <c r="L12" s="47">
        <f>+'Rate Class Load Adjustments'!G19</f>
        <v>73794022</v>
      </c>
      <c r="M12" s="47">
        <f>640*5656</f>
        <v>3619840</v>
      </c>
      <c r="N12" s="47">
        <f>187104/79*78</f>
        <v>184735.59493670886</v>
      </c>
      <c r="O12" s="47">
        <f>15400+21077+13968+605408+300398</f>
        <v>956251</v>
      </c>
    </row>
    <row r="13" spans="1:15" ht="12.75">
      <c r="A13">
        <f>'Appendix A - 11 yr avge'!A228</f>
        <v>2002</v>
      </c>
      <c r="B13" s="6">
        <f>'Appendix A - 11 yr avge'!B228</f>
        <v>639349517.1499999</v>
      </c>
      <c r="C13" s="6">
        <f>'Appendix A - 11 yr avge'!J228</f>
        <v>637542922.00601</v>
      </c>
      <c r="D13" s="45">
        <f t="shared" si="0"/>
        <v>-1806595.1439898014</v>
      </c>
      <c r="E13" s="5">
        <f t="shared" si="1"/>
        <v>-0.0028256768723983416</v>
      </c>
      <c r="F13" s="28">
        <f aca="true" t="shared" si="3" ref="F13:F19">1+(B13-G13)/G13</f>
        <v>1.0230736113646557</v>
      </c>
      <c r="G13" s="31">
        <f t="shared" si="2"/>
        <v>624930122.3762242</v>
      </c>
      <c r="H13" s="47">
        <f>140876233-4302763</f>
        <v>136573470</v>
      </c>
      <c r="I13" s="47">
        <v>4302763</v>
      </c>
      <c r="J13" s="47">
        <f>70701786-1313754</f>
        <v>69388032</v>
      </c>
      <c r="K13" s="47">
        <f>+'Rate Class Load Adjustments'!H20</f>
        <v>337201829.28</v>
      </c>
      <c r="L13" s="47">
        <f>+'Rate Class Load Adjustments'!G20</f>
        <v>72301279.72</v>
      </c>
      <c r="M13" s="47">
        <f>3771712/1.0313</f>
        <v>3657240.3762241825</v>
      </c>
      <c r="N13" s="47">
        <v>191754</v>
      </c>
      <c r="O13" s="47">
        <v>1313754</v>
      </c>
    </row>
    <row r="14" spans="1:15" ht="12.75">
      <c r="A14">
        <f>'Appendix A - 11 yr avge'!A229</f>
        <v>2003</v>
      </c>
      <c r="B14" s="6">
        <f>'Appendix A - 11 yr avge'!B229</f>
        <v>640334466.11</v>
      </c>
      <c r="C14" s="6">
        <f>'Appendix A - 11 yr avge'!J229</f>
        <v>635007487.4822842</v>
      </c>
      <c r="D14" s="45">
        <f t="shared" si="0"/>
        <v>-5326978.627715826</v>
      </c>
      <c r="E14" s="5">
        <f t="shared" si="1"/>
        <v>-0.008319056539431581</v>
      </c>
      <c r="F14" s="28">
        <f t="shared" si="3"/>
        <v>1.0212161084583302</v>
      </c>
      <c r="G14" s="31">
        <f t="shared" si="2"/>
        <v>627031302</v>
      </c>
      <c r="H14" s="47">
        <f>139699816-4050220</f>
        <v>135649596</v>
      </c>
      <c r="I14" s="47">
        <v>4050220</v>
      </c>
      <c r="J14" s="47">
        <f>72293410-1246741</f>
        <v>71046669</v>
      </c>
      <c r="K14" s="47">
        <f>+'Rate Class Load Adjustments'!H21</f>
        <v>334616435.6</v>
      </c>
      <c r="L14" s="47">
        <f>+'Rate Class Load Adjustments'!G21</f>
        <v>76660027.4</v>
      </c>
      <c r="M14" s="47">
        <v>3613293</v>
      </c>
      <c r="N14" s="47">
        <v>148320</v>
      </c>
      <c r="O14" s="47">
        <v>1246741</v>
      </c>
    </row>
    <row r="15" spans="1:15" ht="12.75">
      <c r="A15">
        <f>'Appendix A - 11 yr avge'!A230</f>
        <v>2004</v>
      </c>
      <c r="B15" s="6">
        <f>'Appendix A - 11 yr avge'!B230</f>
        <v>649308540</v>
      </c>
      <c r="C15" s="6">
        <f>'Appendix A - 11 yr avge'!J230</f>
        <v>633453564.5537257</v>
      </c>
      <c r="D15" s="45">
        <f t="shared" si="0"/>
        <v>-15854975.44627428</v>
      </c>
      <c r="E15" s="5">
        <f t="shared" si="1"/>
        <v>-0.02441824567142499</v>
      </c>
      <c r="F15" s="28">
        <f t="shared" si="3"/>
        <v>1.0268344073574753</v>
      </c>
      <c r="G15" s="31">
        <f t="shared" si="2"/>
        <v>632340069</v>
      </c>
      <c r="H15" s="47">
        <f>140968240-4191324</f>
        <v>136776916</v>
      </c>
      <c r="I15" s="47">
        <v>4191324</v>
      </c>
      <c r="J15" s="47">
        <f>73081158-893792</f>
        <v>72187366</v>
      </c>
      <c r="K15" s="47">
        <f>+'Rate Class Load Adjustments'!H22</f>
        <v>338001625.4</v>
      </c>
      <c r="L15" s="47">
        <f>+'Rate Class Load Adjustments'!G22</f>
        <v>76391353.60000001</v>
      </c>
      <c r="M15" s="47">
        <v>3753742</v>
      </c>
      <c r="N15" s="47">
        <v>143950</v>
      </c>
      <c r="O15" s="47">
        <v>893792</v>
      </c>
    </row>
    <row r="16" spans="1:15" ht="12.75">
      <c r="A16">
        <f>'Appendix A - 11 yr avge'!A231</f>
        <v>2005</v>
      </c>
      <c r="B16" s="6">
        <f>'Appendix A - 11 yr avge'!B231</f>
        <v>650800740</v>
      </c>
      <c r="C16" s="6">
        <f>'Appendix A - 11 yr avge'!J231</f>
        <v>649189217.7465508</v>
      </c>
      <c r="D16" s="45">
        <f t="shared" si="0"/>
        <v>-1611522.2534492016</v>
      </c>
      <c r="E16" s="5">
        <f t="shared" si="1"/>
        <v>-0.0024762145375698276</v>
      </c>
      <c r="F16" s="28">
        <f t="shared" si="3"/>
        <v>1.0290237071518487</v>
      </c>
      <c r="G16" s="31">
        <f t="shared" si="2"/>
        <v>632444846</v>
      </c>
      <c r="H16" s="47">
        <f>147667028-4255224</f>
        <v>143411804</v>
      </c>
      <c r="I16" s="47">
        <v>4255224</v>
      </c>
      <c r="J16" s="47">
        <f>72195892-914396-1</f>
        <v>71281495</v>
      </c>
      <c r="K16" s="47">
        <f>+'Rate Class Load Adjustments'!H23</f>
        <v>334252909.6</v>
      </c>
      <c r="L16" s="47">
        <f>+'Rate Class Load Adjustments'!G23</f>
        <v>74489819.39999999</v>
      </c>
      <c r="M16" s="47">
        <v>3668342</v>
      </c>
      <c r="N16" s="47">
        <v>170856</v>
      </c>
      <c r="O16" s="47">
        <v>914396</v>
      </c>
    </row>
    <row r="17" spans="1:15" ht="12.75">
      <c r="A17">
        <f>'Appendix A - 11 yr avge'!A232</f>
        <v>2006</v>
      </c>
      <c r="B17" s="6">
        <f>'Appendix A - 11 yr avge'!B232</f>
        <v>635441692</v>
      </c>
      <c r="C17" s="6">
        <f>'Appendix A - 11 yr avge'!J232</f>
        <v>642245829.0544798</v>
      </c>
      <c r="D17" s="45">
        <f t="shared" si="0"/>
        <v>6804137.054479837</v>
      </c>
      <c r="E17" s="5">
        <f t="shared" si="1"/>
        <v>0.010707728403945892</v>
      </c>
      <c r="F17" s="28">
        <f>1+(B17-G17)/G17</f>
        <v>1.0283902488168077</v>
      </c>
      <c r="G17" s="31">
        <f>SUM(H17:O17)</f>
        <v>617899375</v>
      </c>
      <c r="H17" s="47">
        <f>142060467-3852878</f>
        <v>138207589</v>
      </c>
      <c r="I17" s="47">
        <v>3852878</v>
      </c>
      <c r="J17" s="47">
        <f>69103513-776820</f>
        <v>68326693</v>
      </c>
      <c r="K17" s="47">
        <f>+'Rate Class Load Adjustments'!H24</f>
        <v>327886392.9</v>
      </c>
      <c r="L17" s="47">
        <f>+'Rate Class Load Adjustments'!G24</f>
        <v>74918429.1</v>
      </c>
      <c r="M17" s="47">
        <v>3697097</v>
      </c>
      <c r="N17" s="47">
        <v>233476</v>
      </c>
      <c r="O17" s="47">
        <v>776820</v>
      </c>
    </row>
    <row r="18" spans="1:17" ht="12.75">
      <c r="A18">
        <f>'Appendix A - 11 yr avge'!A233</f>
        <v>2007</v>
      </c>
      <c r="B18" s="6">
        <f>'Appendix A - 11 yr avge'!B233</f>
        <v>634322920</v>
      </c>
      <c r="C18" s="6">
        <f>'Appendix A - 11 yr avge'!J233</f>
        <v>632774446.3476104</v>
      </c>
      <c r="D18" s="45">
        <f t="shared" si="0"/>
        <v>-1548473.6523896456</v>
      </c>
      <c r="E18" s="5">
        <f t="shared" si="1"/>
        <v>-0.002441144098008701</v>
      </c>
      <c r="F18" s="28">
        <f t="shared" si="3"/>
        <v>1.030522611283603</v>
      </c>
      <c r="G18" s="31">
        <f t="shared" si="2"/>
        <v>615535179</v>
      </c>
      <c r="H18" s="47">
        <f>143658315-4054439</f>
        <v>139603876</v>
      </c>
      <c r="I18" s="47">
        <v>4054439</v>
      </c>
      <c r="J18" s="47">
        <f>70364809-732005+1</f>
        <v>69632805</v>
      </c>
      <c r="K18" s="47">
        <f>+'Rate Class Load Adjustments'!H25</f>
        <v>328163463</v>
      </c>
      <c r="L18" s="47">
        <f>+'Rate Class Load Adjustments'!G25</f>
        <v>69600305</v>
      </c>
      <c r="M18" s="47">
        <v>3522815</v>
      </c>
      <c r="N18" s="47">
        <v>225471</v>
      </c>
      <c r="O18" s="47">
        <v>732005</v>
      </c>
      <c r="P18" s="81" t="s">
        <v>145</v>
      </c>
      <c r="Q18" s="11" t="s">
        <v>147</v>
      </c>
    </row>
    <row r="19" spans="1:16" ht="12.75">
      <c r="A19">
        <f>'Appendix A - 11 yr avge'!A234</f>
        <v>2008</v>
      </c>
      <c r="B19" s="6">
        <f>'Appendix A - 11 yr avge'!B234</f>
        <v>611667199</v>
      </c>
      <c r="C19" s="6">
        <f>'Appendix A - 11 yr avge'!J234</f>
        <v>617152248.4129784</v>
      </c>
      <c r="D19" s="45">
        <f>C19-B19</f>
        <v>5485049.412978411</v>
      </c>
      <c r="E19" s="5">
        <f t="shared" si="1"/>
        <v>0.00896737543217257</v>
      </c>
      <c r="F19" s="28">
        <f t="shared" si="3"/>
        <v>1.030805748830386</v>
      </c>
      <c r="G19" s="31">
        <f>SUM(H19:O19)</f>
        <v>593387454.129</v>
      </c>
      <c r="H19" s="47">
        <f>140987205-4016517</f>
        <v>136970688</v>
      </c>
      <c r="I19" s="47">
        <f>4094309*0.981</f>
        <v>4016517.1289999997</v>
      </c>
      <c r="J19" s="47">
        <f>67966501-681719</f>
        <v>67284782</v>
      </c>
      <c r="K19" s="47">
        <f>+'Rate Class Load Adjustments'!H26</f>
        <v>312948164</v>
      </c>
      <c r="L19" s="47">
        <f>+'Rate Class Load Adjustments'!G26</f>
        <v>67424347</v>
      </c>
      <c r="M19" s="47">
        <v>3842227</v>
      </c>
      <c r="N19" s="47">
        <v>219010</v>
      </c>
      <c r="O19" s="47">
        <v>681719</v>
      </c>
      <c r="P19" s="81" t="s">
        <v>146</v>
      </c>
    </row>
    <row r="20" spans="1:18" ht="12.75">
      <c r="A20">
        <f>'Appendix A - 11 yr avge'!A235</f>
        <v>2009</v>
      </c>
      <c r="B20" s="6"/>
      <c r="C20" s="6">
        <f>'Appendix A - 11 yr avge'!J235</f>
        <v>605066306.9615024</v>
      </c>
      <c r="G20" s="24">
        <f>C20/$F$23</f>
        <v>589836391.0183234</v>
      </c>
      <c r="P20" s="6">
        <f>+G19-G20</f>
        <v>3551063.110676527</v>
      </c>
      <c r="Q20" s="75">
        <f>+P20/G19</f>
        <v>0.005984391961722435</v>
      </c>
      <c r="R20" s="82" t="s">
        <v>148</v>
      </c>
    </row>
    <row r="21" spans="1:17" ht="12.75">
      <c r="A21">
        <f>'Appendix A - 11 yr avge'!A236</f>
        <v>2010</v>
      </c>
      <c r="B21" s="6"/>
      <c r="C21" s="6">
        <f>'Appendix A - 11 yr avge'!J236</f>
        <v>589782229.399179</v>
      </c>
      <c r="G21" s="24">
        <f>C21/$F$23</f>
        <v>574937023.7164541</v>
      </c>
      <c r="M21" s="6">
        <f>3816127-113519</f>
        <v>3702608</v>
      </c>
      <c r="P21" s="6">
        <f>+G20-G21</f>
        <v>14899367.301869273</v>
      </c>
      <c r="Q21" s="75">
        <f>+P21/G20</f>
        <v>0.02526016964830917</v>
      </c>
    </row>
    <row r="22" spans="1:7" ht="12.75">
      <c r="A22" s="24" t="s">
        <v>151</v>
      </c>
      <c r="C22" s="89">
        <f>+'Appendix A - 11 yr avge'!J237</f>
        <v>591767152.399179</v>
      </c>
      <c r="G22" s="90">
        <f>+G21+(774000+1161000)</f>
        <v>576872023.7164541</v>
      </c>
    </row>
    <row r="23" spans="1:9" ht="12.75">
      <c r="A23" s="22" t="s">
        <v>20</v>
      </c>
      <c r="C23" s="6"/>
      <c r="F23" s="28">
        <f>AVERAGE(F11:F19)</f>
        <v>1.0258205769855693</v>
      </c>
      <c r="I23" s="75"/>
    </row>
    <row r="24" spans="3:6" ht="12.75">
      <c r="C24" s="6"/>
      <c r="E24" s="79" t="s">
        <v>143</v>
      </c>
      <c r="F24" s="28">
        <f>AVERAGE(F15:F19)</f>
        <v>1.0291153446880241</v>
      </c>
    </row>
    <row r="25" ht="12.75">
      <c r="F25" s="1">
        <f>605/F24</f>
        <v>587.883567301589</v>
      </c>
    </row>
    <row r="26" spans="1:7" ht="12.75">
      <c r="A26" s="25" t="s">
        <v>22</v>
      </c>
      <c r="B26" s="13"/>
      <c r="G26" s="6">
        <f>1984923/1.0258</f>
        <v>1935000</v>
      </c>
    </row>
    <row r="28" spans="1:7" ht="12.75">
      <c r="A28">
        <f aca="true" t="shared" si="4" ref="A28:A39">A10</f>
        <v>1999</v>
      </c>
      <c r="G28" s="6">
        <f>1984923/1.0258</f>
        <v>1935000</v>
      </c>
    </row>
    <row r="29" spans="1:20" ht="12.75">
      <c r="A29">
        <f t="shared" si="4"/>
        <v>2000</v>
      </c>
      <c r="G29" s="6">
        <f>+G28+G21</f>
        <v>576872023.7164541</v>
      </c>
      <c r="H29" s="31">
        <f>H11/'Rate Class Customer Model'!B4</f>
        <v>8690.161292454077</v>
      </c>
      <c r="I29" s="31">
        <f>I11/'Rate Class Customer Model'!C4</f>
        <v>9529.056790123457</v>
      </c>
      <c r="J29" s="31">
        <f>J11/'Rate Class Customer Model'!D4</f>
        <v>36354.0015060241</v>
      </c>
      <c r="K29" s="31">
        <f>K11/'Rate Class Customer Model'!E4</f>
        <v>1487133.8120481928</v>
      </c>
      <c r="L29" s="31">
        <f>L11/'Rate Class Customer Model'!F4</f>
        <v>37748473.5</v>
      </c>
      <c r="M29" s="31">
        <f>M11/'Rate Class Customer Model'!G4</f>
        <v>641.0423940149626</v>
      </c>
      <c r="N29" s="31">
        <f>N11/'Rate Class Customer Model'!H4</f>
        <v>2194.156862745098</v>
      </c>
      <c r="O29" s="31">
        <f>O11/'Rate Class Customer Model'!I4</f>
        <v>5866.120696265623</v>
      </c>
      <c r="T29" s="70"/>
    </row>
    <row r="30" spans="1:15" ht="12.75">
      <c r="A30">
        <f t="shared" si="4"/>
        <v>2001</v>
      </c>
      <c r="H30" s="31">
        <f>H12/'Rate Class Customer Model'!B5</f>
        <v>8687.27399719312</v>
      </c>
      <c r="I30" s="31">
        <f>I12/'Rate Class Customer Model'!C5</f>
        <v>10061.19509202454</v>
      </c>
      <c r="J30" s="31">
        <f>J12/'Rate Class Customer Model'!D5</f>
        <v>35457.26479438315</v>
      </c>
      <c r="K30" s="31">
        <f>K12/'Rate Class Customer Model'!E5</f>
        <v>1529015.851318945</v>
      </c>
      <c r="L30" s="31">
        <f>L12/'Rate Class Customer Model'!F5</f>
        <v>36897011</v>
      </c>
      <c r="M30" s="31">
        <f>M12/'Rate Class Customer Model'!G5</f>
        <v>641.8156028368794</v>
      </c>
      <c r="N30" s="31">
        <f>N12/'Rate Class Customer Model'!H5</f>
        <v>2383.6850959575336</v>
      </c>
      <c r="O30" s="31">
        <f>O12/'Rate Class Customer Model'!I5</f>
        <v>5866.570552147239</v>
      </c>
    </row>
    <row r="31" spans="1:15" ht="12.75">
      <c r="A31">
        <f t="shared" si="4"/>
        <v>2002</v>
      </c>
      <c r="H31" s="31">
        <f>H13/'Rate Class Customer Model'!B6</f>
        <v>8782.577409086525</v>
      </c>
      <c r="I31" s="31">
        <f>I13/'Rate Class Customer Model'!C6</f>
        <v>10520.20293398533</v>
      </c>
      <c r="J31" s="31">
        <f>J13/'Rate Class Customer Model'!D6</f>
        <v>34763.54308617234</v>
      </c>
      <c r="K31" s="31">
        <f>K13/'Rate Class Customer Model'!E6</f>
        <v>1609555.2710262528</v>
      </c>
      <c r="L31" s="31">
        <f>L13/'Rate Class Customer Model'!F6</f>
        <v>36150639.86</v>
      </c>
      <c r="M31" s="31">
        <f>M13/'Rate Class Customer Model'!G6</f>
        <v>644.220605288741</v>
      </c>
      <c r="N31" s="31">
        <f>N13/'Rate Class Customer Model'!H6</f>
        <v>2442.7261146496817</v>
      </c>
      <c r="O31" s="31">
        <f>O13/'Rate Class Customer Model'!I6</f>
        <v>7938.090634441088</v>
      </c>
    </row>
    <row r="32" spans="1:15" ht="12.75">
      <c r="A32">
        <f t="shared" si="4"/>
        <v>2003</v>
      </c>
      <c r="H32" s="31">
        <f>H14/'Rate Class Customer Model'!B7</f>
        <v>8611.85258546805</v>
      </c>
      <c r="I32" s="31">
        <f>I14/'Rate Class Customer Model'!C7</f>
        <v>9951.40049140049</v>
      </c>
      <c r="J32" s="31">
        <f>J14/'Rate Class Customer Model'!D7</f>
        <v>35487.846653346656</v>
      </c>
      <c r="K32" s="31">
        <f>K14/'Rate Class Customer Model'!E7</f>
        <v>1593411.5980952382</v>
      </c>
      <c r="L32" s="31">
        <f>L14/'Rate Class Customer Model'!F7</f>
        <v>38330013.7</v>
      </c>
      <c r="M32" s="31">
        <f>M14/'Rate Class Customer Model'!G7</f>
        <v>634.0779152408528</v>
      </c>
      <c r="N32" s="31">
        <f>N14/'Rate Class Customer Model'!H7</f>
        <v>1901.5384615384614</v>
      </c>
      <c r="O32" s="31">
        <f>O14/'Rate Class Customer Model'!I7</f>
        <v>7399.056379821958</v>
      </c>
    </row>
    <row r="33" spans="1:15" ht="12.75">
      <c r="A33">
        <f t="shared" si="4"/>
        <v>2004</v>
      </c>
      <c r="H33" s="31">
        <f>H15/'Rate Class Customer Model'!B8</f>
        <v>8574.817628988778</v>
      </c>
      <c r="I33" s="31">
        <f>I15/'Rate Class Customer Model'!C8</f>
        <v>10298.093366093366</v>
      </c>
      <c r="J33" s="31">
        <f>J15/'Rate Class Customer Model'!D8</f>
        <v>36012.65452731354</v>
      </c>
      <c r="K33" s="31">
        <f>K15/'Rate Class Customer Model'!E8</f>
        <v>1648788.4165853658</v>
      </c>
      <c r="L33" s="31">
        <f>L15/'Rate Class Customer Model'!F8</f>
        <v>38195676.800000004</v>
      </c>
      <c r="M33" s="31">
        <f>M15/'Rate Class Customer Model'!G8</f>
        <v>658.5512280701754</v>
      </c>
      <c r="N33" s="31">
        <f>N15/'Rate Class Customer Model'!H8</f>
        <v>1869.4805194805194</v>
      </c>
      <c r="O33" s="31">
        <f>O15/'Rate Class Customer Model'!I8</f>
        <v>5226.853801169591</v>
      </c>
    </row>
    <row r="34" spans="1:15" ht="12.75">
      <c r="A34">
        <f t="shared" si="4"/>
        <v>2005</v>
      </c>
      <c r="H34" s="31">
        <f>H16/'Rate Class Customer Model'!B9</f>
        <v>8879.438053371308</v>
      </c>
      <c r="I34" s="31">
        <f>I16/'Rate Class Customer Model'!C9</f>
        <v>10403.970660146699</v>
      </c>
      <c r="J34" s="31">
        <f>J16/'Rate Class Customer Model'!D9</f>
        <v>35864.90314465409</v>
      </c>
      <c r="K34" s="31">
        <f>K16/'Rate Class Customer Model'!E9</f>
        <v>1626534.8399026764</v>
      </c>
      <c r="L34" s="31">
        <f>L16/'Rate Class Customer Model'!F9</f>
        <v>37244909.699999996</v>
      </c>
      <c r="M34" s="31">
        <f>M16/'Rate Class Customer Model'!G9</f>
        <v>641.2624770562014</v>
      </c>
      <c r="N34" s="31">
        <f>N16/'Rate Class Customer Model'!H9</f>
        <v>2149.132075471698</v>
      </c>
      <c r="O34" s="31">
        <f>O16/'Rate Class Customer Model'!I9</f>
        <v>5508.409638554217</v>
      </c>
    </row>
    <row r="35" spans="1:15" ht="12.75">
      <c r="A35">
        <f t="shared" si="4"/>
        <v>2006</v>
      </c>
      <c r="H35" s="31">
        <f>H17/'Rate Class Customer Model'!B10</f>
        <v>8461.343761479124</v>
      </c>
      <c r="I35" s="31">
        <f>I17/'Rate Class Customer Model'!C10</f>
        <v>9420.239608801956</v>
      </c>
      <c r="J35" s="31">
        <f>J17/'Rate Class Customer Model'!D10</f>
        <v>34648.42444219067</v>
      </c>
      <c r="K35" s="31">
        <f>K17/'Rate Class Customer Model'!E10</f>
        <v>1568834.4157894736</v>
      </c>
      <c r="L35" s="31">
        <f>L17/'Rate Class Customer Model'!F10</f>
        <v>37459214.55</v>
      </c>
      <c r="M35" s="31">
        <f>M17/'Rate Class Customer Model'!G10</f>
        <v>643.9813621320327</v>
      </c>
      <c r="N35" s="31">
        <f>N17/'Rate Class Customer Model'!H10</f>
        <v>2882.41975308642</v>
      </c>
      <c r="O35" s="31">
        <f>O17/'Rate Class Customer Model'!I10</f>
        <v>4947.898089171975</v>
      </c>
    </row>
    <row r="36" spans="1:15" ht="12.75">
      <c r="A36">
        <f t="shared" si="4"/>
        <v>2007</v>
      </c>
      <c r="H36" s="31">
        <f>H18/'Rate Class Customer Model'!B11</f>
        <v>8442.931720592682</v>
      </c>
      <c r="I36" s="31">
        <f>I18/'Rate Class Customer Model'!C11</f>
        <v>9900.94993894994</v>
      </c>
      <c r="J36" s="31">
        <f>J18/'Rate Class Customer Model'!D11</f>
        <v>35310.75304259635</v>
      </c>
      <c r="K36" s="31">
        <f>K18/'Rate Class Customer Model'!E11</f>
        <v>1573925.4820143885</v>
      </c>
      <c r="L36" s="31">
        <f>L18/'Rate Class Customer Model'!F11</f>
        <v>34800152.5</v>
      </c>
      <c r="M36" s="31">
        <f>M18/'Rate Class Customer Model'!G11</f>
        <v>610.8574648864228</v>
      </c>
      <c r="N36" s="31">
        <f>N18/'Rate Class Customer Model'!H11</f>
        <v>2800.88198757764</v>
      </c>
      <c r="O36" s="31">
        <f>O18/'Rate Class Customer Model'!I11</f>
        <v>4707.4276527331185</v>
      </c>
    </row>
    <row r="37" spans="1:15" ht="12.75">
      <c r="A37">
        <f t="shared" si="4"/>
        <v>2008</v>
      </c>
      <c r="H37" s="31">
        <f>H19/'Rate Class Customer Model'!B12</f>
        <v>8198.15579829418</v>
      </c>
      <c r="I37" s="31">
        <f>I19/'Rate Class Customer Model'!C12</f>
        <v>9760.673460510327</v>
      </c>
      <c r="J37" s="31">
        <f>J19/'Rate Class Customer Model'!D12</f>
        <v>34120.07200811359</v>
      </c>
      <c r="K37" s="31">
        <f>K19/'Rate Class Customer Model'!E12</f>
        <v>1435542.0366972478</v>
      </c>
      <c r="L37" s="31">
        <f>L19/'Rate Class Customer Model'!F12</f>
        <v>33712173.5</v>
      </c>
      <c r="M37" s="31">
        <f>M19/'Rate Class Customer Model'!G12</f>
        <v>656.1179986338798</v>
      </c>
      <c r="N37" s="31">
        <f>N19/'Rate Class Customer Model'!H12</f>
        <v>2687.239263803681</v>
      </c>
      <c r="O37" s="31">
        <f>O19/'Rate Class Customer Model'!I12</f>
        <v>4356.0319488817895</v>
      </c>
    </row>
    <row r="38" spans="1:15" ht="12.75">
      <c r="A38">
        <f t="shared" si="4"/>
        <v>2009</v>
      </c>
      <c r="H38" s="24">
        <f aca="true" t="shared" si="5" ref="H38:O38">H37*H52</f>
        <v>8138.646936208117</v>
      </c>
      <c r="I38" s="24">
        <f t="shared" si="5"/>
        <v>9790.01861192233</v>
      </c>
      <c r="J38" s="24">
        <f t="shared" si="5"/>
        <v>33850.66102096625</v>
      </c>
      <c r="K38" s="24">
        <f t="shared" si="5"/>
        <v>1429220.20646168</v>
      </c>
      <c r="L38" s="24">
        <f t="shared" si="5"/>
        <v>33238978.860307753</v>
      </c>
      <c r="M38" s="24">
        <f t="shared" si="5"/>
        <v>658.0272085307769</v>
      </c>
      <c r="N38" s="24">
        <f t="shared" si="5"/>
        <v>2756.202799075095</v>
      </c>
      <c r="O38" s="24">
        <f t="shared" si="5"/>
        <v>4196.947765911142</v>
      </c>
    </row>
    <row r="39" spans="1:15" ht="12.75">
      <c r="A39">
        <f t="shared" si="4"/>
        <v>2010</v>
      </c>
      <c r="H39" s="24">
        <f aca="true" t="shared" si="6" ref="H39:O39">H38*H52</f>
        <v>8079.570037694583</v>
      </c>
      <c r="I39" s="24">
        <f t="shared" si="6"/>
        <v>9819.451988589986</v>
      </c>
      <c r="J39" s="24">
        <f t="shared" si="6"/>
        <v>33583.37729427658</v>
      </c>
      <c r="K39" s="24">
        <f t="shared" si="6"/>
        <v>1422926.2162590094</v>
      </c>
      <c r="L39" s="24">
        <f t="shared" si="6"/>
        <v>32772426.1289764</v>
      </c>
      <c r="M39" s="24">
        <f t="shared" si="6"/>
        <v>659.941973956463</v>
      </c>
      <c r="N39" s="24">
        <f t="shared" si="6"/>
        <v>2826.936169009612</v>
      </c>
      <c r="O39" s="24">
        <f t="shared" si="6"/>
        <v>4043.6734065525397</v>
      </c>
    </row>
    <row r="41" spans="1:13" ht="12.75">
      <c r="A41" s="46">
        <v>1999</v>
      </c>
      <c r="D41" s="6"/>
      <c r="H41" s="29"/>
      <c r="I41" s="29"/>
      <c r="J41" s="29"/>
      <c r="K41" s="29"/>
      <c r="L41" s="29"/>
      <c r="M41" s="29"/>
    </row>
    <row r="42" spans="1:15" ht="12.75">
      <c r="A42" s="46">
        <v>2000</v>
      </c>
      <c r="D42" s="6"/>
      <c r="H42" s="29"/>
      <c r="I42" s="29"/>
      <c r="J42" s="29"/>
      <c r="K42" s="29"/>
      <c r="L42" s="29"/>
      <c r="M42" s="29"/>
      <c r="N42" s="29"/>
      <c r="O42" s="29"/>
    </row>
    <row r="43" spans="1:15" ht="12.75">
      <c r="A43" s="46">
        <v>2001</v>
      </c>
      <c r="D43" s="6"/>
      <c r="H43" s="29">
        <f aca="true" t="shared" si="7" ref="H43:H50">H30/H29</f>
        <v>0.9996677512460599</v>
      </c>
      <c r="I43" s="29">
        <f aca="true" t="shared" si="8" ref="I43:J50">I30/I29</f>
        <v>1.0558437538595242</v>
      </c>
      <c r="J43" s="29">
        <f t="shared" si="8"/>
        <v>0.9753332047507245</v>
      </c>
      <c r="K43" s="29">
        <f aca="true" t="shared" si="9" ref="K43:M48">K30/K29</f>
        <v>1.0281629258453004</v>
      </c>
      <c r="L43" s="29">
        <f t="shared" si="9"/>
        <v>0.9774437898793444</v>
      </c>
      <c r="M43" s="29">
        <f t="shared" si="9"/>
        <v>1.0012061742392326</v>
      </c>
      <c r="N43" s="29">
        <f aca="true" t="shared" si="10" ref="N43:N50">N30/N29</f>
        <v>1.0863786160554254</v>
      </c>
      <c r="O43" s="29">
        <f aca="true" t="shared" si="11" ref="O43:O48">O30/O29</f>
        <v>1.0000766871165645</v>
      </c>
    </row>
    <row r="44" spans="1:15" ht="12.75">
      <c r="A44" s="46">
        <v>2002</v>
      </c>
      <c r="D44" s="6"/>
      <c r="H44" s="29">
        <f t="shared" si="7"/>
        <v>1.0109704623020062</v>
      </c>
      <c r="I44" s="29">
        <f t="shared" si="8"/>
        <v>1.045621602380481</v>
      </c>
      <c r="J44" s="29">
        <f t="shared" si="8"/>
        <v>0.9804349909042985</v>
      </c>
      <c r="K44" s="29">
        <f t="shared" si="9"/>
        <v>1.0526740253463256</v>
      </c>
      <c r="L44" s="29">
        <f t="shared" si="9"/>
        <v>0.9797715012741818</v>
      </c>
      <c r="M44" s="29">
        <f t="shared" si="9"/>
        <v>1.0037471860160945</v>
      </c>
      <c r="N44" s="29">
        <f t="shared" si="10"/>
        <v>1.024768799701049</v>
      </c>
      <c r="O44" s="29">
        <f t="shared" si="11"/>
        <v>1.3531057990150048</v>
      </c>
    </row>
    <row r="45" spans="1:15" ht="12.75">
      <c r="A45" s="46">
        <v>2003</v>
      </c>
      <c r="D45" s="6"/>
      <c r="H45" s="29">
        <f t="shared" si="7"/>
        <v>0.9805609656862413</v>
      </c>
      <c r="I45" s="29">
        <f t="shared" si="8"/>
        <v>0.9459323697314495</v>
      </c>
      <c r="J45" s="29">
        <f t="shared" si="8"/>
        <v>1.020835148056655</v>
      </c>
      <c r="K45" s="29">
        <f t="shared" si="9"/>
        <v>0.9899701034058176</v>
      </c>
      <c r="L45" s="29">
        <f t="shared" si="9"/>
        <v>1.0602858994595954</v>
      </c>
      <c r="M45" s="29">
        <f t="shared" si="9"/>
        <v>0.9842558745177946</v>
      </c>
      <c r="N45" s="29">
        <f t="shared" si="10"/>
        <v>0.778449311256971</v>
      </c>
      <c r="O45" s="29">
        <f t="shared" si="11"/>
        <v>0.9320952254840207</v>
      </c>
    </row>
    <row r="46" spans="1:15" ht="12.75">
      <c r="A46" s="46">
        <v>2004</v>
      </c>
      <c r="D46" s="6"/>
      <c r="H46" s="29">
        <f t="shared" si="7"/>
        <v>0.9956995366430487</v>
      </c>
      <c r="I46" s="29">
        <f t="shared" si="8"/>
        <v>1.0348386013599262</v>
      </c>
      <c r="J46" s="29">
        <f t="shared" si="8"/>
        <v>1.0147883831637723</v>
      </c>
      <c r="K46" s="29">
        <f t="shared" si="9"/>
        <v>1.034753618309497</v>
      </c>
      <c r="L46" s="29">
        <f t="shared" si="9"/>
        <v>0.9964952556226193</v>
      </c>
      <c r="M46" s="29">
        <f t="shared" si="9"/>
        <v>1.0385966964643871</v>
      </c>
      <c r="N46" s="29">
        <f t="shared" si="10"/>
        <v>0.9831410498886227</v>
      </c>
      <c r="O46" s="29">
        <f t="shared" si="11"/>
        <v>0.7064216749886914</v>
      </c>
    </row>
    <row r="47" spans="1:15" ht="12.75">
      <c r="A47" s="46">
        <v>2005</v>
      </c>
      <c r="D47" s="6"/>
      <c r="H47" s="29">
        <f t="shared" si="7"/>
        <v>1.0355250032785193</v>
      </c>
      <c r="I47" s="29">
        <f t="shared" si="8"/>
        <v>1.010281252100698</v>
      </c>
      <c r="J47" s="29">
        <f t="shared" si="8"/>
        <v>0.9958972371073788</v>
      </c>
      <c r="K47" s="29">
        <f t="shared" si="9"/>
        <v>0.9865030731300403</v>
      </c>
      <c r="L47" s="29">
        <f t="shared" si="9"/>
        <v>0.9751079918028835</v>
      </c>
      <c r="M47" s="29">
        <f t="shared" si="9"/>
        <v>0.9737472951578314</v>
      </c>
      <c r="N47" s="29">
        <f t="shared" si="10"/>
        <v>1.1495878416903145</v>
      </c>
      <c r="O47" s="29">
        <f t="shared" si="11"/>
        <v>1.0538671728911997</v>
      </c>
    </row>
    <row r="48" spans="1:15" ht="12.75">
      <c r="A48" s="46">
        <v>2006</v>
      </c>
      <c r="D48" s="6"/>
      <c r="H48" s="29">
        <f t="shared" si="7"/>
        <v>0.9529143297831281</v>
      </c>
      <c r="I48" s="29">
        <f t="shared" si="8"/>
        <v>0.9054465757854346</v>
      </c>
      <c r="J48" s="29">
        <f t="shared" si="8"/>
        <v>0.966081639826072</v>
      </c>
      <c r="K48" s="29">
        <f t="shared" si="9"/>
        <v>0.9645255529130533</v>
      </c>
      <c r="L48" s="29">
        <f t="shared" si="9"/>
        <v>1.0057539366245263</v>
      </c>
      <c r="M48" s="29">
        <f t="shared" si="9"/>
        <v>1.0042398942291348</v>
      </c>
      <c r="N48" s="29">
        <f t="shared" si="10"/>
        <v>1.3412017744203915</v>
      </c>
      <c r="O48" s="29">
        <f t="shared" si="11"/>
        <v>0.8982443960850088</v>
      </c>
    </row>
    <row r="49" spans="1:15" ht="12.75">
      <c r="A49" s="46">
        <v>2007</v>
      </c>
      <c r="D49" s="6"/>
      <c r="H49" s="29">
        <f t="shared" si="7"/>
        <v>0.9978239814614005</v>
      </c>
      <c r="I49" s="29">
        <f t="shared" si="8"/>
        <v>1.0510295226141408</v>
      </c>
      <c r="J49" s="29">
        <f t="shared" si="8"/>
        <v>1.0191156917253408</v>
      </c>
      <c r="K49" s="29">
        <f aca="true" t="shared" si="12" ref="K49:O50">K36/K35</f>
        <v>1.003245126556172</v>
      </c>
      <c r="L49" s="29">
        <f t="shared" si="12"/>
        <v>0.9290144739567158</v>
      </c>
      <c r="M49" s="29">
        <f t="shared" si="12"/>
        <v>0.9485638883461682</v>
      </c>
      <c r="N49" s="29">
        <f t="shared" si="10"/>
        <v>0.9717120431812641</v>
      </c>
      <c r="O49" s="29">
        <f t="shared" si="12"/>
        <v>0.9513994766858469</v>
      </c>
    </row>
    <row r="50" spans="1:15" ht="12.75">
      <c r="A50" s="46">
        <v>2008</v>
      </c>
      <c r="D50" s="6"/>
      <c r="H50" s="29">
        <f t="shared" si="7"/>
        <v>0.9710081840764526</v>
      </c>
      <c r="I50" s="29">
        <f>I37/I36</f>
        <v>0.9858320182099123</v>
      </c>
      <c r="J50" s="29">
        <f t="shared" si="8"/>
        <v>0.9662799308458132</v>
      </c>
      <c r="K50" s="29">
        <f t="shared" si="12"/>
        <v>0.9120775113571256</v>
      </c>
      <c r="L50" s="29">
        <f t="shared" si="12"/>
        <v>0.9687363726351487</v>
      </c>
      <c r="M50" s="29">
        <f t="shared" si="12"/>
        <v>1.0740934446235708</v>
      </c>
      <c r="N50" s="29">
        <f t="shared" si="10"/>
        <v>0.9594260935383987</v>
      </c>
      <c r="O50" s="29">
        <f t="shared" si="12"/>
        <v>0.9253529252547705</v>
      </c>
    </row>
    <row r="51" spans="1:6" ht="12.75">
      <c r="A51" s="3"/>
      <c r="D51" s="6"/>
      <c r="E51" s="6"/>
      <c r="F51" s="6"/>
    </row>
    <row r="52" spans="1:15" ht="12.75">
      <c r="A52" t="s">
        <v>30</v>
      </c>
      <c r="D52" s="6"/>
      <c r="H52" s="29">
        <f aca="true" t="shared" si="13" ref="H52:O52">H54</f>
        <v>0.9927411891710518</v>
      </c>
      <c r="I52" s="29">
        <f>I54</f>
        <v>1.0030064678969877</v>
      </c>
      <c r="J52" s="29">
        <f>J54</f>
        <v>0.9921040322809613</v>
      </c>
      <c r="K52" s="29">
        <f t="shared" si="13"/>
        <v>0.995596206816686</v>
      </c>
      <c r="L52" s="29">
        <f t="shared" si="13"/>
        <v>0.985963686390845</v>
      </c>
      <c r="M52" s="29">
        <f t="shared" si="13"/>
        <v>1.0029098575269575</v>
      </c>
      <c r="N52" s="29">
        <f t="shared" si="13"/>
        <v>1.0256633401425517</v>
      </c>
      <c r="O52" s="29">
        <f t="shared" si="13"/>
        <v>0.9634795646961485</v>
      </c>
    </row>
    <row r="53" spans="1:15" ht="12.75">
      <c r="A53" s="3"/>
      <c r="D53" s="6"/>
      <c r="H53" s="13"/>
      <c r="I53" s="13"/>
      <c r="J53" s="13"/>
      <c r="L53" s="11"/>
      <c r="M53" s="11"/>
      <c r="N53" s="11"/>
      <c r="O53" s="11"/>
    </row>
    <row r="54" spans="1:15" ht="12.75">
      <c r="A54" t="s">
        <v>21</v>
      </c>
      <c r="D54" s="6"/>
      <c r="H54" s="29">
        <f>GEOMEAN(H43:H50)</f>
        <v>0.9927411891710518</v>
      </c>
      <c r="I54" s="29">
        <f>GEOMEAN(I43:I50)</f>
        <v>1.0030064678969877</v>
      </c>
      <c r="J54" s="29">
        <f aca="true" t="shared" si="14" ref="J54:O54">GEOMEAN(J43:J50)</f>
        <v>0.9921040322809613</v>
      </c>
      <c r="K54" s="29">
        <f t="shared" si="14"/>
        <v>0.995596206816686</v>
      </c>
      <c r="L54" s="29">
        <f t="shared" si="14"/>
        <v>0.985963686390845</v>
      </c>
      <c r="M54" s="29">
        <f t="shared" si="14"/>
        <v>1.0029098575269575</v>
      </c>
      <c r="N54" s="29">
        <f t="shared" si="14"/>
        <v>1.0256633401425517</v>
      </c>
      <c r="O54" s="29">
        <f t="shared" si="14"/>
        <v>0.9634795646961485</v>
      </c>
    </row>
    <row r="55" spans="1:15" ht="12.75">
      <c r="A55" s="22" t="s">
        <v>60</v>
      </c>
      <c r="D55" s="6"/>
      <c r="H55" s="29"/>
      <c r="I55" s="29"/>
      <c r="J55" s="29"/>
      <c r="K55" s="29"/>
      <c r="L55" s="29"/>
      <c r="M55" s="29"/>
      <c r="N55" s="29"/>
      <c r="O55" s="29"/>
    </row>
    <row r="56" spans="1:15" ht="12.75">
      <c r="A56" s="22">
        <v>2000</v>
      </c>
      <c r="D56" s="6"/>
      <c r="G56" s="6">
        <f>SUM(H56:O56)</f>
        <v>595637218</v>
      </c>
      <c r="H56" s="6">
        <f>H29*'Rate Class Customer Model'!B4</f>
        <v>131516901</v>
      </c>
      <c r="I56" s="6">
        <f>I29*'Rate Class Customer Model'!C4</f>
        <v>3859268</v>
      </c>
      <c r="J56" s="6">
        <f>J29*'Rate Class Customer Model'!D4</f>
        <v>72417171</v>
      </c>
      <c r="K56" s="6">
        <f>K29*'Rate Class Customer Model'!E4</f>
        <v>308580266</v>
      </c>
      <c r="L56" s="6">
        <f>L29*'Rate Class Customer Model'!F4</f>
        <v>75496947</v>
      </c>
      <c r="M56" s="6">
        <f>M29*'Rate Class Customer Model'!G4</f>
        <v>3598812</v>
      </c>
      <c r="N56" s="6">
        <f>N29*'Rate Class Customer Model'!H4</f>
        <v>167853</v>
      </c>
      <c r="O56" s="29"/>
    </row>
    <row r="57" spans="1:15" ht="12.75">
      <c r="A57">
        <v>2001</v>
      </c>
      <c r="D57" s="6"/>
      <c r="G57" s="6">
        <f aca="true" t="shared" si="15" ref="G57:G62">SUM(H57:O57)</f>
        <v>605241070.5949367</v>
      </c>
      <c r="H57" s="6">
        <f>H30*'Rate Class Customer Model'!B5</f>
        <v>133084694.00000001</v>
      </c>
      <c r="I57" s="6">
        <f>I30*'Rate Class Customer Model'!C5</f>
        <v>4099937</v>
      </c>
      <c r="J57" s="6">
        <f>J30*'Rate Class Customer Model'!D5</f>
        <v>70701786</v>
      </c>
      <c r="K57" s="6">
        <f>K30*'Rate Class Customer Model'!E5</f>
        <v>318799805</v>
      </c>
      <c r="L57" s="6">
        <f>L30*'Rate Class Customer Model'!F5</f>
        <v>73794022</v>
      </c>
      <c r="M57" s="6">
        <f>M30*'Rate Class Customer Model'!G5</f>
        <v>3619840</v>
      </c>
      <c r="N57" s="6">
        <f>N30*'Rate Class Customer Model'!H5</f>
        <v>184735.59493670886</v>
      </c>
      <c r="O57" s="6">
        <f>O30*'Rate Class Customer Model'!I5</f>
        <v>956251</v>
      </c>
    </row>
    <row r="58" spans="1:15" ht="12.75">
      <c r="A58">
        <v>2002</v>
      </c>
      <c r="D58" s="6"/>
      <c r="G58" s="6">
        <f t="shared" si="15"/>
        <v>624930122.3762242</v>
      </c>
      <c r="H58" s="6">
        <f>H31*'Rate Class Customer Model'!B6</f>
        <v>136573470</v>
      </c>
      <c r="I58" s="6">
        <f>I31*'Rate Class Customer Model'!C6</f>
        <v>4302763</v>
      </c>
      <c r="J58" s="6">
        <f>J31*'Rate Class Customer Model'!D6</f>
        <v>69388032</v>
      </c>
      <c r="K58" s="6">
        <f>K31*'Rate Class Customer Model'!E6</f>
        <v>337201829.28</v>
      </c>
      <c r="L58" s="6">
        <f>L31*'Rate Class Customer Model'!F6</f>
        <v>72301279.72</v>
      </c>
      <c r="M58" s="6">
        <f>M31*'Rate Class Customer Model'!G6</f>
        <v>3657240.3762241825</v>
      </c>
      <c r="N58" s="6">
        <f>N31*'Rate Class Customer Model'!H6</f>
        <v>191754</v>
      </c>
      <c r="O58" s="6">
        <f>O31*'Rate Class Customer Model'!I6</f>
        <v>1313754</v>
      </c>
    </row>
    <row r="59" spans="1:15" ht="12.75">
      <c r="A59">
        <v>2003</v>
      </c>
      <c r="D59" s="6"/>
      <c r="G59" s="6">
        <f t="shared" si="15"/>
        <v>627031302</v>
      </c>
      <c r="H59" s="6">
        <f>H32*'Rate Class Customer Model'!B7</f>
        <v>135649596</v>
      </c>
      <c r="I59" s="6">
        <f>I32*'Rate Class Customer Model'!C7</f>
        <v>4050220</v>
      </c>
      <c r="J59" s="6">
        <f>J32*'Rate Class Customer Model'!D7</f>
        <v>71046669</v>
      </c>
      <c r="K59" s="6">
        <f>K32*'Rate Class Customer Model'!E7</f>
        <v>334616435.6</v>
      </c>
      <c r="L59" s="6">
        <f>L32*'Rate Class Customer Model'!F7</f>
        <v>76660027.4</v>
      </c>
      <c r="M59" s="6">
        <f>M32*'Rate Class Customer Model'!G7</f>
        <v>3613292.9999999995</v>
      </c>
      <c r="N59" s="6">
        <f>N32*'Rate Class Customer Model'!H7</f>
        <v>148320</v>
      </c>
      <c r="O59" s="6">
        <f>O32*'Rate Class Customer Model'!I7</f>
        <v>1246741</v>
      </c>
    </row>
    <row r="60" spans="1:15" ht="12.75">
      <c r="A60">
        <v>2004</v>
      </c>
      <c r="D60" s="6"/>
      <c r="G60" s="6">
        <f t="shared" si="15"/>
        <v>632340069</v>
      </c>
      <c r="H60" s="6">
        <f>H33*'Rate Class Customer Model'!B8</f>
        <v>136776916</v>
      </c>
      <c r="I60" s="6">
        <f>I33*'Rate Class Customer Model'!C8</f>
        <v>4191324</v>
      </c>
      <c r="J60" s="6">
        <f>J33*'Rate Class Customer Model'!D8</f>
        <v>72187366</v>
      </c>
      <c r="K60" s="6">
        <f>K33*'Rate Class Customer Model'!E8</f>
        <v>338001625.4</v>
      </c>
      <c r="L60" s="6">
        <f>L33*'Rate Class Customer Model'!F8</f>
        <v>76391353.60000001</v>
      </c>
      <c r="M60" s="6">
        <f>M33*'Rate Class Customer Model'!G8</f>
        <v>3753742</v>
      </c>
      <c r="N60" s="6">
        <f>N33*'Rate Class Customer Model'!H8</f>
        <v>143950</v>
      </c>
      <c r="O60" s="6">
        <f>O33*'Rate Class Customer Model'!I8</f>
        <v>893792</v>
      </c>
    </row>
    <row r="61" spans="1:15" ht="12.75">
      <c r="A61">
        <v>2005</v>
      </c>
      <c r="D61" s="6"/>
      <c r="G61" s="6">
        <f t="shared" si="15"/>
        <v>632444846</v>
      </c>
      <c r="H61" s="6">
        <f>H34*'Rate Class Customer Model'!B9</f>
        <v>143411804</v>
      </c>
      <c r="I61" s="6">
        <f>I34*'Rate Class Customer Model'!C9</f>
        <v>4255224</v>
      </c>
      <c r="J61" s="6">
        <f>J34*'Rate Class Customer Model'!D9</f>
        <v>71281495</v>
      </c>
      <c r="K61" s="6">
        <f>K34*'Rate Class Customer Model'!E9</f>
        <v>334252909.6</v>
      </c>
      <c r="L61" s="6">
        <f>L34*'Rate Class Customer Model'!F9</f>
        <v>74489819.39999999</v>
      </c>
      <c r="M61" s="6">
        <f>M34*'Rate Class Customer Model'!G9</f>
        <v>3668342</v>
      </c>
      <c r="N61" s="6">
        <f>N34*'Rate Class Customer Model'!H9</f>
        <v>170856</v>
      </c>
      <c r="O61" s="6">
        <f>O34*'Rate Class Customer Model'!I9</f>
        <v>914396</v>
      </c>
    </row>
    <row r="62" spans="1:15" ht="12.75">
      <c r="A62">
        <v>2006</v>
      </c>
      <c r="D62" s="6"/>
      <c r="G62" s="6">
        <f t="shared" si="15"/>
        <v>617899375</v>
      </c>
      <c r="H62" s="6">
        <f>H35*'Rate Class Customer Model'!B10</f>
        <v>138207589</v>
      </c>
      <c r="I62" s="6">
        <f>I35*'Rate Class Customer Model'!C10</f>
        <v>3852878</v>
      </c>
      <c r="J62" s="6">
        <f>J35*'Rate Class Customer Model'!D10</f>
        <v>68326693</v>
      </c>
      <c r="K62" s="6">
        <f>K35*'Rate Class Customer Model'!E10</f>
        <v>327886392.9</v>
      </c>
      <c r="L62" s="6">
        <f>L35*'Rate Class Customer Model'!F10</f>
        <v>74918429.1</v>
      </c>
      <c r="M62" s="6">
        <f>M35*'Rate Class Customer Model'!G10</f>
        <v>3697096.9999999995</v>
      </c>
      <c r="N62" s="6">
        <f>N35*'Rate Class Customer Model'!H10</f>
        <v>233476</v>
      </c>
      <c r="O62" s="6">
        <f>O35*'Rate Class Customer Model'!I10</f>
        <v>776820</v>
      </c>
    </row>
    <row r="63" spans="1:15" ht="12.75">
      <c r="A63" s="22">
        <v>2007</v>
      </c>
      <c r="D63" s="6"/>
      <c r="G63" s="6">
        <f>SUM(H63:O63)</f>
        <v>615535179</v>
      </c>
      <c r="H63" s="6">
        <f>H36*'Rate Class Customer Model'!B11</f>
        <v>139603876</v>
      </c>
      <c r="I63" s="6">
        <f>I36*'Rate Class Customer Model'!C11</f>
        <v>4054439.0000000005</v>
      </c>
      <c r="J63" s="6">
        <f>J36*'Rate Class Customer Model'!D11</f>
        <v>69632805</v>
      </c>
      <c r="K63" s="6">
        <f>K36*'Rate Class Customer Model'!E11</f>
        <v>328163463</v>
      </c>
      <c r="L63" s="6">
        <f>L36*'Rate Class Customer Model'!F11</f>
        <v>69600305</v>
      </c>
      <c r="M63" s="6">
        <f>M36*'Rate Class Customer Model'!G11</f>
        <v>3522815.0000000005</v>
      </c>
      <c r="N63" s="6">
        <f>N36*'Rate Class Customer Model'!H11</f>
        <v>225471</v>
      </c>
      <c r="O63" s="6">
        <f>O36*'Rate Class Customer Model'!I11</f>
        <v>732004.9999999999</v>
      </c>
    </row>
    <row r="64" spans="1:15" ht="12.75">
      <c r="A64">
        <v>2008</v>
      </c>
      <c r="G64" s="6">
        <f>SUM(H64:O64)</f>
        <v>593387454.129</v>
      </c>
      <c r="H64" s="6">
        <f>H37*'Rate Class Customer Model'!B12</f>
        <v>136970688</v>
      </c>
      <c r="I64" s="6">
        <f>I37*'Rate Class Customer Model'!C12</f>
        <v>4016517.1289999993</v>
      </c>
      <c r="J64" s="6">
        <f>J37*'Rate Class Customer Model'!D12</f>
        <v>67284782</v>
      </c>
      <c r="K64" s="6">
        <f>K37*'Rate Class Customer Model'!E12</f>
        <v>312948164</v>
      </c>
      <c r="L64" s="6">
        <f>L37*'Rate Class Customer Model'!F12</f>
        <v>67424347</v>
      </c>
      <c r="M64" s="6">
        <f>M37*'Rate Class Customer Model'!G12</f>
        <v>3842227</v>
      </c>
      <c r="N64" s="6">
        <f>N37*'Rate Class Customer Model'!H12</f>
        <v>219010</v>
      </c>
      <c r="O64" s="6">
        <f>O37*'Rate Class Customer Model'!I12</f>
        <v>681719</v>
      </c>
    </row>
    <row r="65" spans="1:15" ht="12.75">
      <c r="A65">
        <v>2009</v>
      </c>
      <c r="G65" s="6">
        <f>SUM(H65:O65)</f>
        <v>592957840.8410621</v>
      </c>
      <c r="H65" s="6">
        <f>H38*'Rate Class Customer Model'!B13</f>
        <v>137625754.9816144</v>
      </c>
      <c r="I65" s="6">
        <f>I38*'Rate Class Customer Model'!C13</f>
        <v>4037946.4601881015</v>
      </c>
      <c r="J65" s="6">
        <f>J38*'Rate Class Customer Model'!D13</f>
        <v>66693594.30100206</v>
      </c>
      <c r="K65" s="6">
        <f>K38*'Rate Class Customer Model'!E13</f>
        <v>313367607.73267186</v>
      </c>
      <c r="L65" s="6">
        <f>L38*'Rate Class Customer Model'!F13</f>
        <v>66477957.720615506</v>
      </c>
      <c r="M65" s="6">
        <f>M38*'Rate Class Customer Model'!G13</f>
        <v>3873054.903851176</v>
      </c>
      <c r="N65" s="6">
        <f>N38*'Rate Class Customer Model'!H13</f>
        <v>226714.59708945084</v>
      </c>
      <c r="O65" s="6">
        <f>O38*'Rate Class Customer Model'!I13</f>
        <v>655210.144029571</v>
      </c>
    </row>
    <row r="66" spans="1:15" ht="12.75">
      <c r="A66">
        <v>2010</v>
      </c>
      <c r="G66" s="6">
        <f>SUM(H66:O66)</f>
        <v>592552064.3367385</v>
      </c>
      <c r="H66" s="6">
        <f>H39*'Rate Class Customer Model'!B14</f>
        <v>138283954.84338495</v>
      </c>
      <c r="I66" s="6">
        <f>I39*'Rate Class Customer Model'!C14</f>
        <v>4059490.1233261046</v>
      </c>
      <c r="J66" s="6">
        <f>J39*'Rate Class Customer Model'!D14</f>
        <v>66107600.984523594</v>
      </c>
      <c r="K66" s="6">
        <f>K39*'Rate Class Customer Model'!E14</f>
        <v>313787613.64485174</v>
      </c>
      <c r="L66" s="6">
        <f>L39*'Rate Class Customer Model'!F14</f>
        <v>65544852.2579528</v>
      </c>
      <c r="M66" s="6">
        <f>M39*'Rate Class Customer Model'!G14</f>
        <v>3904130.1537482417</v>
      </c>
      <c r="N66" s="6">
        <f>N39*'Rate Class Customer Model'!H14</f>
        <v>234690.23575833085</v>
      </c>
      <c r="O66" s="6">
        <f>O39*'Rate Class Customer Model'!I14</f>
        <v>629732.0931927249</v>
      </c>
    </row>
    <row r="67" ht="12.75">
      <c r="A67" s="22" t="s">
        <v>59</v>
      </c>
    </row>
    <row r="68" spans="1:16" ht="12.75">
      <c r="A68" s="22">
        <v>2000</v>
      </c>
      <c r="G68" s="24">
        <f>C11/F11</f>
        <v>602606793.8120539</v>
      </c>
      <c r="H68" s="6">
        <f>H56+H94</f>
        <v>134754835.82301146</v>
      </c>
      <c r="I68" s="6">
        <f aca="true" t="shared" si="16" ref="I68:O68">I56+I94</f>
        <v>3954282.8471680745</v>
      </c>
      <c r="J68" s="6">
        <f t="shared" si="16"/>
        <v>74200075.53912745</v>
      </c>
      <c r="K68" s="6">
        <f t="shared" si="16"/>
        <v>310433987.60274696</v>
      </c>
      <c r="L68" s="6">
        <f t="shared" si="16"/>
        <v>75496947</v>
      </c>
      <c r="M68" s="6">
        <f t="shared" si="16"/>
        <v>3598812</v>
      </c>
      <c r="N68" s="6">
        <f t="shared" si="16"/>
        <v>167853</v>
      </c>
      <c r="O68" s="6">
        <f t="shared" si="16"/>
        <v>0</v>
      </c>
      <c r="P68" s="6">
        <f aca="true" t="shared" si="17" ref="P68:P74">SUM(H68:O68)</f>
        <v>602606793.8120539</v>
      </c>
    </row>
    <row r="69" spans="1:16" ht="12.75">
      <c r="A69">
        <v>2001</v>
      </c>
      <c r="G69" s="24">
        <f aca="true" t="shared" si="18" ref="G69:G74">C12/F12</f>
        <v>614678207.6773717</v>
      </c>
      <c r="H69" s="6">
        <f aca="true" t="shared" si="19" ref="H69:O69">H57+H95</f>
        <v>137481105.27249482</v>
      </c>
      <c r="I69" s="6">
        <f t="shared" si="19"/>
        <v>4235377.137415942</v>
      </c>
      <c r="J69" s="6">
        <f t="shared" si="19"/>
        <v>73037397.40363681</v>
      </c>
      <c r="K69" s="6">
        <f t="shared" si="19"/>
        <v>321369479.26888746</v>
      </c>
      <c r="L69" s="6">
        <f t="shared" si="19"/>
        <v>73794022</v>
      </c>
      <c r="M69" s="6">
        <f t="shared" si="19"/>
        <v>3619840</v>
      </c>
      <c r="N69" s="6">
        <f t="shared" si="19"/>
        <v>184735.59493670886</v>
      </c>
      <c r="O69" s="6">
        <f t="shared" si="19"/>
        <v>956251</v>
      </c>
      <c r="P69" s="6">
        <f t="shared" si="17"/>
        <v>614678207.6773717</v>
      </c>
    </row>
    <row r="70" spans="1:16" ht="12.75">
      <c r="A70">
        <v>2002</v>
      </c>
      <c r="G70" s="24">
        <f t="shared" si="18"/>
        <v>623164271.7825606</v>
      </c>
      <c r="H70" s="6">
        <f aca="true" t="shared" si="20" ref="H70:O70">H58+H96</f>
        <v>135749079.84090787</v>
      </c>
      <c r="I70" s="6">
        <f t="shared" si="20"/>
        <v>4276790.492498319</v>
      </c>
      <c r="J70" s="6">
        <f t="shared" si="20"/>
        <v>68969189.22812366</v>
      </c>
      <c r="K70" s="6">
        <f t="shared" si="20"/>
        <v>336705184.1248065</v>
      </c>
      <c r="L70" s="6">
        <f t="shared" si="20"/>
        <v>72301279.72</v>
      </c>
      <c r="M70" s="6">
        <f t="shared" si="20"/>
        <v>3657240.3762241825</v>
      </c>
      <c r="N70" s="6">
        <f t="shared" si="20"/>
        <v>191754</v>
      </c>
      <c r="O70" s="6">
        <f t="shared" si="20"/>
        <v>1313754</v>
      </c>
      <c r="P70" s="6">
        <f t="shared" si="17"/>
        <v>623164271.7825606</v>
      </c>
    </row>
    <row r="71" spans="1:16" ht="12.75">
      <c r="A71">
        <v>2003</v>
      </c>
      <c r="G71" s="24">
        <f t="shared" si="18"/>
        <v>621814993.1466686</v>
      </c>
      <c r="H71" s="6">
        <f aca="true" t="shared" si="21" ref="H71:O71">H59+H97</f>
        <v>133229598.11368833</v>
      </c>
      <c r="I71" s="6">
        <f t="shared" si="21"/>
        <v>3977963.8036815296</v>
      </c>
      <c r="J71" s="6">
        <f t="shared" si="21"/>
        <v>69779191.66221653</v>
      </c>
      <c r="K71" s="6">
        <f t="shared" si="21"/>
        <v>333159858.1670822</v>
      </c>
      <c r="L71" s="6">
        <f t="shared" si="21"/>
        <v>76660027.4</v>
      </c>
      <c r="M71" s="6">
        <f t="shared" si="21"/>
        <v>3613292.9999999995</v>
      </c>
      <c r="N71" s="6">
        <f t="shared" si="21"/>
        <v>148320</v>
      </c>
      <c r="O71" s="6">
        <f t="shared" si="21"/>
        <v>1246741</v>
      </c>
      <c r="P71" s="6">
        <f t="shared" si="17"/>
        <v>621814993.1466686</v>
      </c>
    </row>
    <row r="72" spans="1:16" ht="12.75">
      <c r="A72">
        <v>2004</v>
      </c>
      <c r="G72" s="24">
        <f t="shared" si="18"/>
        <v>616899433.8472722</v>
      </c>
      <c r="H72" s="6">
        <f aca="true" t="shared" si="22" ref="H72:O72">H60+H98</f>
        <v>129633064.81298646</v>
      </c>
      <c r="I72" s="6">
        <f t="shared" si="22"/>
        <v>3972411.3661418254</v>
      </c>
      <c r="J72" s="6">
        <f t="shared" si="22"/>
        <v>68417023.63984267</v>
      </c>
      <c r="K72" s="6">
        <f t="shared" si="22"/>
        <v>333694096.42830116</v>
      </c>
      <c r="L72" s="6">
        <f t="shared" si="22"/>
        <v>76391353.60000001</v>
      </c>
      <c r="M72" s="6">
        <f t="shared" si="22"/>
        <v>3753742</v>
      </c>
      <c r="N72" s="6">
        <f t="shared" si="22"/>
        <v>143950</v>
      </c>
      <c r="O72" s="6">
        <f t="shared" si="22"/>
        <v>893792</v>
      </c>
      <c r="P72" s="6">
        <f t="shared" si="17"/>
        <v>616899433.8472722</v>
      </c>
    </row>
    <row r="73" spans="1:16" ht="12.75">
      <c r="A73">
        <v>2005</v>
      </c>
      <c r="G73" s="24">
        <f t="shared" si="18"/>
        <v>630878776.8781236</v>
      </c>
      <c r="H73" s="6">
        <f aca="true" t="shared" si="23" ref="H73:O73">H61+H99</f>
        <v>142664422.5039229</v>
      </c>
      <c r="I73" s="6">
        <f t="shared" si="23"/>
        <v>4233048.170740763</v>
      </c>
      <c r="J73" s="6">
        <f t="shared" si="23"/>
        <v>70910016.02205122</v>
      </c>
      <c r="K73" s="6">
        <f t="shared" si="23"/>
        <v>333827876.7814088</v>
      </c>
      <c r="L73" s="6">
        <f t="shared" si="23"/>
        <v>74489819.39999999</v>
      </c>
      <c r="M73" s="6">
        <f t="shared" si="23"/>
        <v>3668342</v>
      </c>
      <c r="N73" s="6">
        <f t="shared" si="23"/>
        <v>170856</v>
      </c>
      <c r="O73" s="6">
        <f t="shared" si="23"/>
        <v>914396</v>
      </c>
      <c r="P73" s="6">
        <f t="shared" si="17"/>
        <v>630878776.8781236</v>
      </c>
    </row>
    <row r="74" spans="1:16" ht="12.75">
      <c r="A74">
        <v>2006</v>
      </c>
      <c r="G74" s="24">
        <f t="shared" si="18"/>
        <v>624515673.688468</v>
      </c>
      <c r="H74" s="6">
        <f aca="true" t="shared" si="24" ref="H74:O74">H62+H100</f>
        <v>141356520.28479937</v>
      </c>
      <c r="I74" s="6">
        <f t="shared" si="24"/>
        <v>3940662.2393351877</v>
      </c>
      <c r="J74" s="6">
        <f t="shared" si="24"/>
        <v>69883453.10797484</v>
      </c>
      <c r="K74" s="6">
        <f t="shared" si="24"/>
        <v>329709215.95635855</v>
      </c>
      <c r="L74" s="6">
        <f t="shared" si="24"/>
        <v>74918429.1</v>
      </c>
      <c r="M74" s="6">
        <f t="shared" si="24"/>
        <v>3697096.9999999995</v>
      </c>
      <c r="N74" s="6">
        <f t="shared" si="24"/>
        <v>233476</v>
      </c>
      <c r="O74" s="6">
        <f t="shared" si="24"/>
        <v>776820</v>
      </c>
      <c r="P74" s="6">
        <f t="shared" si="17"/>
        <v>624515673.688468</v>
      </c>
    </row>
    <row r="75" spans="1:16" ht="12.75">
      <c r="A75" s="22">
        <v>2007</v>
      </c>
      <c r="G75" s="24">
        <f>C18/F18</f>
        <v>614032568.9306674</v>
      </c>
      <c r="H75" s="6">
        <f aca="true" t="shared" si="25" ref="H75:O77">H63+H101</f>
        <v>138888822.68298247</v>
      </c>
      <c r="I75" s="6">
        <f t="shared" si="25"/>
        <v>4033672.0976856602</v>
      </c>
      <c r="J75" s="6">
        <f t="shared" si="25"/>
        <v>69276144.64346029</v>
      </c>
      <c r="K75" s="6">
        <f t="shared" si="25"/>
        <v>327753333.506539</v>
      </c>
      <c r="L75" s="6">
        <f t="shared" si="25"/>
        <v>69600305</v>
      </c>
      <c r="M75" s="6">
        <f t="shared" si="25"/>
        <v>3522815.0000000005</v>
      </c>
      <c r="N75" s="6">
        <f t="shared" si="25"/>
        <v>225471</v>
      </c>
      <c r="O75" s="6">
        <f t="shared" si="25"/>
        <v>732004.9999999999</v>
      </c>
      <c r="P75" s="6">
        <f>SUM(H75:O75)</f>
        <v>614032568.9306674</v>
      </c>
    </row>
    <row r="76" spans="1:16" ht="12.75">
      <c r="A76">
        <v>2008</v>
      </c>
      <c r="G76" s="24">
        <f>C19/F19</f>
        <v>598708582.2069157</v>
      </c>
      <c r="H76" s="6">
        <f t="shared" si="25"/>
        <v>139531328.6376669</v>
      </c>
      <c r="I76" s="6">
        <f t="shared" si="25"/>
        <v>4091605.1433232003</v>
      </c>
      <c r="J76" s="6">
        <f t="shared" si="25"/>
        <v>68542658.04341857</v>
      </c>
      <c r="K76" s="6">
        <f t="shared" si="25"/>
        <v>314375687.3825071</v>
      </c>
      <c r="L76" s="6">
        <f t="shared" si="25"/>
        <v>67424347</v>
      </c>
      <c r="M76" s="6">
        <f t="shared" si="25"/>
        <v>3842227</v>
      </c>
      <c r="N76" s="6">
        <f t="shared" si="25"/>
        <v>219010</v>
      </c>
      <c r="O76" s="6">
        <f t="shared" si="25"/>
        <v>681719</v>
      </c>
      <c r="P76" s="6">
        <f>SUM(H76:O76)</f>
        <v>598708582.2069159</v>
      </c>
    </row>
    <row r="77" spans="1:16" ht="12.75">
      <c r="A77">
        <f>A65</f>
        <v>2009</v>
      </c>
      <c r="G77" s="24">
        <f>G20</f>
        <v>589836391.0183234</v>
      </c>
      <c r="H77" s="6">
        <f t="shared" si="25"/>
        <v>136117457.07833758</v>
      </c>
      <c r="I77" s="6">
        <f t="shared" si="25"/>
        <v>3993692.9250829937</v>
      </c>
      <c r="J77" s="6">
        <f t="shared" si="25"/>
        <v>65962671.45549516</v>
      </c>
      <c r="K77" s="6">
        <f t="shared" si="25"/>
        <v>312529632.1938221</v>
      </c>
      <c r="L77" s="6">
        <f t="shared" si="25"/>
        <v>66477957.720615506</v>
      </c>
      <c r="M77" s="6">
        <f t="shared" si="25"/>
        <v>3873054.903851176</v>
      </c>
      <c r="N77" s="6">
        <f t="shared" si="25"/>
        <v>226714.59708945084</v>
      </c>
      <c r="O77" s="6">
        <f t="shared" si="25"/>
        <v>655210.144029571</v>
      </c>
      <c r="P77" s="6">
        <f>SUM(H77:O77)</f>
        <v>589836391.0183234</v>
      </c>
    </row>
    <row r="78" spans="1:16" ht="12.75">
      <c r="A78">
        <f>A66</f>
        <v>2010</v>
      </c>
      <c r="G78" s="24">
        <f>G21</f>
        <v>574937023.7164541</v>
      </c>
      <c r="H78" s="6">
        <f>H66+H104</f>
        <v>129737472.83360389</v>
      </c>
      <c r="I78" s="6">
        <f>I66+I104</f>
        <v>3808597.9692277936</v>
      </c>
      <c r="J78" s="6">
        <f aca="true" t="shared" si="26" ref="J78:O78">J66+J104</f>
        <v>62021896.152289815</v>
      </c>
      <c r="K78" s="6">
        <f t="shared" si="26"/>
        <v>309055652.02068055</v>
      </c>
      <c r="L78" s="6">
        <f t="shared" si="26"/>
        <v>65544852.2579528</v>
      </c>
      <c r="M78" s="6">
        <f t="shared" si="26"/>
        <v>3904130.1537482417</v>
      </c>
      <c r="N78" s="6">
        <f t="shared" si="26"/>
        <v>234690.23575833085</v>
      </c>
      <c r="O78" s="6">
        <f t="shared" si="26"/>
        <v>629732.0931927249</v>
      </c>
      <c r="P78" s="6">
        <f>SUM(H78:O78)</f>
        <v>574937023.7164541</v>
      </c>
    </row>
    <row r="79" spans="1:16" ht="12.75">
      <c r="A79" t="s">
        <v>149</v>
      </c>
      <c r="G79" s="90">
        <f>G22</f>
        <v>576872023.7164541</v>
      </c>
      <c r="H79" s="24">
        <f>+H78</f>
        <v>129737472.83360389</v>
      </c>
      <c r="I79" s="24">
        <f>+I78</f>
        <v>3808597.9692277936</v>
      </c>
      <c r="J79" s="24">
        <f>+J78</f>
        <v>62021896.152289815</v>
      </c>
      <c r="K79" s="24">
        <f>+K78+774000+1161000</f>
        <v>310990652.02068055</v>
      </c>
      <c r="L79" s="24">
        <f>+L78</f>
        <v>65544852.2579528</v>
      </c>
      <c r="M79" s="24">
        <f>+M78</f>
        <v>3904130.1537482417</v>
      </c>
      <c r="N79" s="24">
        <f>+N78</f>
        <v>234690.23575833085</v>
      </c>
      <c r="O79" s="24">
        <f>+O78</f>
        <v>629732.0931927249</v>
      </c>
      <c r="P79" s="24">
        <f>SUM(H79:O79)</f>
        <v>576872023.7164541</v>
      </c>
    </row>
    <row r="80" spans="1:16" ht="12.75">
      <c r="A80" t="s">
        <v>61</v>
      </c>
      <c r="H80" s="55">
        <v>1</v>
      </c>
      <c r="I80" s="55">
        <v>1</v>
      </c>
      <c r="J80" s="55">
        <v>1</v>
      </c>
      <c r="K80" s="55">
        <v>0.244</v>
      </c>
      <c r="L80" s="55">
        <v>0</v>
      </c>
      <c r="M80" s="55">
        <v>0</v>
      </c>
      <c r="N80" s="55">
        <v>0</v>
      </c>
      <c r="O80" s="55">
        <v>0</v>
      </c>
      <c r="P80" s="6" t="s">
        <v>29</v>
      </c>
    </row>
    <row r="81" spans="1:16" ht="12.75">
      <c r="A81">
        <v>2000</v>
      </c>
      <c r="G81" s="6">
        <f aca="true" t="shared" si="27" ref="G81:G87">G68-G56</f>
        <v>6969575.812053919</v>
      </c>
      <c r="H81" s="6">
        <f aca="true" t="shared" si="28" ref="H81:H87">H56*$H$80</f>
        <v>131516901</v>
      </c>
      <c r="I81" s="6">
        <f aca="true" t="shared" si="29" ref="I81:I87">I56*$I$80</f>
        <v>3859268</v>
      </c>
      <c r="J81" s="6">
        <f aca="true" t="shared" si="30" ref="J81:J87">J56*$J$80</f>
        <v>72417171</v>
      </c>
      <c r="K81" s="6">
        <f aca="true" t="shared" si="31" ref="K81:K87">K56*$K$80</f>
        <v>75293584.904</v>
      </c>
      <c r="L81" s="55">
        <v>0</v>
      </c>
      <c r="M81" s="55">
        <v>0</v>
      </c>
      <c r="N81" s="55">
        <v>0</v>
      </c>
      <c r="O81" s="55">
        <v>0</v>
      </c>
      <c r="P81" s="6">
        <f>SUM(H81:O81)</f>
        <v>283086924.904</v>
      </c>
    </row>
    <row r="82" spans="1:16" ht="12.75">
      <c r="A82">
        <v>2001</v>
      </c>
      <c r="G82" s="6">
        <f t="shared" si="27"/>
        <v>9437137.082435012</v>
      </c>
      <c r="H82" s="6">
        <f t="shared" si="28"/>
        <v>133084694.00000001</v>
      </c>
      <c r="I82" s="6">
        <f t="shared" si="29"/>
        <v>4099937</v>
      </c>
      <c r="J82" s="6">
        <f t="shared" si="30"/>
        <v>70701786</v>
      </c>
      <c r="K82" s="6">
        <f t="shared" si="31"/>
        <v>77787152.42</v>
      </c>
      <c r="L82" s="55">
        <v>0</v>
      </c>
      <c r="M82" s="55">
        <v>0</v>
      </c>
      <c r="N82" s="55">
        <v>0</v>
      </c>
      <c r="O82" s="55">
        <v>0</v>
      </c>
      <c r="P82" s="6">
        <f aca="true" t="shared" si="32" ref="P82:P87">SUM(H82:O82)</f>
        <v>285673569.42</v>
      </c>
    </row>
    <row r="83" spans="1:16" ht="12.75">
      <c r="A83">
        <v>2002</v>
      </c>
      <c r="G83" s="6">
        <f t="shared" si="27"/>
        <v>-1765850.5936635733</v>
      </c>
      <c r="H83" s="6">
        <f t="shared" si="28"/>
        <v>136573470</v>
      </c>
      <c r="I83" s="6">
        <f t="shared" si="29"/>
        <v>4302763</v>
      </c>
      <c r="J83" s="6">
        <f t="shared" si="30"/>
        <v>69388032</v>
      </c>
      <c r="K83" s="6">
        <f t="shared" si="31"/>
        <v>82277246.34431998</v>
      </c>
      <c r="L83" s="55">
        <v>0</v>
      </c>
      <c r="M83" s="55">
        <v>0</v>
      </c>
      <c r="N83" s="55">
        <v>0</v>
      </c>
      <c r="O83" s="55">
        <v>0</v>
      </c>
      <c r="P83" s="6">
        <f t="shared" si="32"/>
        <v>292541511.34432</v>
      </c>
    </row>
    <row r="84" spans="1:16" ht="12.75">
      <c r="A84">
        <v>2003</v>
      </c>
      <c r="G84" s="6">
        <f t="shared" si="27"/>
        <v>-5216308.853331447</v>
      </c>
      <c r="H84" s="6">
        <f t="shared" si="28"/>
        <v>135649596</v>
      </c>
      <c r="I84" s="6">
        <f t="shared" si="29"/>
        <v>4050220</v>
      </c>
      <c r="J84" s="6">
        <f t="shared" si="30"/>
        <v>71046669</v>
      </c>
      <c r="K84" s="6">
        <f t="shared" si="31"/>
        <v>81646410.2864</v>
      </c>
      <c r="L84" s="55">
        <v>0</v>
      </c>
      <c r="M84" s="55">
        <v>0</v>
      </c>
      <c r="N84" s="55">
        <v>0</v>
      </c>
      <c r="O84" s="55">
        <v>0</v>
      </c>
      <c r="P84" s="6">
        <f t="shared" si="32"/>
        <v>292392895.2864</v>
      </c>
    </row>
    <row r="85" spans="1:16" ht="12.75">
      <c r="A85">
        <v>2004</v>
      </c>
      <c r="G85" s="6">
        <f t="shared" si="27"/>
        <v>-15440635.152727842</v>
      </c>
      <c r="H85" s="6">
        <f t="shared" si="28"/>
        <v>136776916</v>
      </c>
      <c r="I85" s="6">
        <f t="shared" si="29"/>
        <v>4191324</v>
      </c>
      <c r="J85" s="6">
        <f t="shared" si="30"/>
        <v>72187366</v>
      </c>
      <c r="K85" s="6">
        <f t="shared" si="31"/>
        <v>82472396.5976</v>
      </c>
      <c r="L85" s="55">
        <v>0</v>
      </c>
      <c r="M85" s="55">
        <v>0</v>
      </c>
      <c r="N85" s="55">
        <v>0</v>
      </c>
      <c r="O85" s="55">
        <v>0</v>
      </c>
      <c r="P85" s="6">
        <f t="shared" si="32"/>
        <v>295628002.5976</v>
      </c>
    </row>
    <row r="86" spans="1:16" ht="12.75">
      <c r="A86">
        <v>2005</v>
      </c>
      <c r="G86" s="6">
        <f t="shared" si="27"/>
        <v>-1566069.121876359</v>
      </c>
      <c r="H86" s="6">
        <f t="shared" si="28"/>
        <v>143411804</v>
      </c>
      <c r="I86" s="6">
        <f t="shared" si="29"/>
        <v>4255224</v>
      </c>
      <c r="J86" s="6">
        <f t="shared" si="30"/>
        <v>71281495</v>
      </c>
      <c r="K86" s="6">
        <f t="shared" si="31"/>
        <v>81557709.94240001</v>
      </c>
      <c r="L86" s="55">
        <v>0</v>
      </c>
      <c r="M86" s="55">
        <v>0</v>
      </c>
      <c r="N86" s="55">
        <v>0</v>
      </c>
      <c r="O86" s="55">
        <v>0</v>
      </c>
      <c r="P86" s="6">
        <f t="shared" si="32"/>
        <v>300506232.9424</v>
      </c>
    </row>
    <row r="87" spans="1:16" ht="12.75">
      <c r="A87">
        <v>2006</v>
      </c>
      <c r="G87" s="6">
        <f t="shared" si="27"/>
        <v>6616298.688467979</v>
      </c>
      <c r="H87" s="6">
        <f t="shared" si="28"/>
        <v>138207589</v>
      </c>
      <c r="I87" s="6">
        <f t="shared" si="29"/>
        <v>3852878</v>
      </c>
      <c r="J87" s="6">
        <f t="shared" si="30"/>
        <v>68326693</v>
      </c>
      <c r="K87" s="6">
        <f t="shared" si="31"/>
        <v>80004279.8676</v>
      </c>
      <c r="L87" s="55">
        <v>0</v>
      </c>
      <c r="M87" s="55">
        <v>0</v>
      </c>
      <c r="N87" s="55">
        <v>0</v>
      </c>
      <c r="O87" s="55">
        <v>0</v>
      </c>
      <c r="P87" s="6">
        <f t="shared" si="32"/>
        <v>290391439.86759996</v>
      </c>
    </row>
    <row r="88" spans="1:16" ht="12.75">
      <c r="A88">
        <v>2007</v>
      </c>
      <c r="G88" s="6">
        <f>G75-G63</f>
        <v>-1502610.0693325996</v>
      </c>
      <c r="H88" s="6">
        <f>H63*$H$80</f>
        <v>139603876</v>
      </c>
      <c r="I88" s="6">
        <f>I63*$I$80</f>
        <v>4054439.0000000005</v>
      </c>
      <c r="J88" s="6">
        <f>J63*$J$80</f>
        <v>69632805</v>
      </c>
      <c r="K88" s="6">
        <f>K63*$K$80</f>
        <v>80071884.972</v>
      </c>
      <c r="L88" s="55">
        <v>0</v>
      </c>
      <c r="M88" s="55">
        <v>0</v>
      </c>
      <c r="N88" s="55">
        <v>0</v>
      </c>
      <c r="O88" s="55">
        <v>0</v>
      </c>
      <c r="P88" s="6">
        <f>SUM(H88:O88)</f>
        <v>293363004.972</v>
      </c>
    </row>
    <row r="89" spans="1:16" ht="12.75">
      <c r="A89">
        <v>2008</v>
      </c>
      <c r="G89" s="6">
        <f>G76-G64</f>
        <v>5321128.077915788</v>
      </c>
      <c r="H89" s="6">
        <f>H64*$H$80</f>
        <v>136970688</v>
      </c>
      <c r="I89" s="6">
        <f>I64*$I$80</f>
        <v>4016517.1289999993</v>
      </c>
      <c r="J89" s="6">
        <f>J64*$J$80</f>
        <v>67284782</v>
      </c>
      <c r="K89" s="6">
        <f>K64*$K$80</f>
        <v>76359352.016</v>
      </c>
      <c r="L89" s="55">
        <v>0</v>
      </c>
      <c r="M89" s="55">
        <v>0</v>
      </c>
      <c r="N89" s="55">
        <v>0</v>
      </c>
      <c r="O89" s="55">
        <v>0</v>
      </c>
      <c r="P89" s="6">
        <f>SUM(H89:O89)</f>
        <v>284631339.145</v>
      </c>
    </row>
    <row r="90" spans="1:16" ht="12.75">
      <c r="A90">
        <f>A77</f>
        <v>2009</v>
      </c>
      <c r="B90"/>
      <c r="C90"/>
      <c r="D90"/>
      <c r="G90" s="6">
        <f>G77-G65</f>
        <v>-3121449.8227386475</v>
      </c>
      <c r="H90" s="6">
        <f>H65*$H$80</f>
        <v>137625754.9816144</v>
      </c>
      <c r="I90" s="6">
        <f>I65*$I$80</f>
        <v>4037946.4601881015</v>
      </c>
      <c r="J90" s="6">
        <f>J65*$J$80</f>
        <v>66693594.30100206</v>
      </c>
      <c r="K90" s="6">
        <f>K65*$K$80</f>
        <v>76461696.28677194</v>
      </c>
      <c r="L90" s="6">
        <f>L65*L80</f>
        <v>0</v>
      </c>
      <c r="M90" s="6">
        <f>M65*M80</f>
        <v>0</v>
      </c>
      <c r="N90" s="6">
        <f>N65*N80</f>
        <v>0</v>
      </c>
      <c r="O90" s="6">
        <f>O65*O80</f>
        <v>0</v>
      </c>
      <c r="P90" s="6">
        <f>SUM(H90:O90)</f>
        <v>284818992.0295765</v>
      </c>
    </row>
    <row r="91" spans="1:16" ht="12.75">
      <c r="A91">
        <f>A78</f>
        <v>2010</v>
      </c>
      <c r="G91" s="6">
        <f>G78-G66</f>
        <v>-17615040.62028432</v>
      </c>
      <c r="H91" s="6">
        <f>H66*H80</f>
        <v>138283954.84338495</v>
      </c>
      <c r="I91" s="6">
        <f>I66*I80</f>
        <v>4059490.1233261046</v>
      </c>
      <c r="J91" s="6">
        <f aca="true" t="shared" si="33" ref="J91:O91">J66*J80</f>
        <v>66107600.984523594</v>
      </c>
      <c r="K91" s="6">
        <f>K66*K80</f>
        <v>76564177.72934382</v>
      </c>
      <c r="L91" s="6">
        <f t="shared" si="33"/>
        <v>0</v>
      </c>
      <c r="M91" s="6">
        <f t="shared" si="33"/>
        <v>0</v>
      </c>
      <c r="N91" s="6">
        <f t="shared" si="33"/>
        <v>0</v>
      </c>
      <c r="O91" s="6">
        <f t="shared" si="33"/>
        <v>0</v>
      </c>
      <c r="P91" s="6">
        <f>SUM(H91:O91)</f>
        <v>285015223.6805785</v>
      </c>
    </row>
    <row r="92" ht="12" customHeight="1">
      <c r="A92" t="s">
        <v>62</v>
      </c>
    </row>
    <row r="93" ht="12" customHeight="1"/>
    <row r="94" spans="1:16" ht="12" customHeight="1">
      <c r="A94">
        <v>2000</v>
      </c>
      <c r="H94" s="6">
        <f aca="true" t="shared" si="34" ref="H94:H100">H81/P81*G81</f>
        <v>3237934.8230114537</v>
      </c>
      <c r="I94" s="6">
        <f aca="true" t="shared" si="35" ref="I94:I100">I81/P81*G81</f>
        <v>95014.84716807437</v>
      </c>
      <c r="J94" s="6">
        <f aca="true" t="shared" si="36" ref="J94:J100">J81/P81*G81</f>
        <v>1782904.5391274479</v>
      </c>
      <c r="K94" s="6">
        <f aca="true" t="shared" si="37" ref="K94:K100">K81/P81*G81</f>
        <v>1853721.6027469435</v>
      </c>
      <c r="L94" s="6">
        <v>0</v>
      </c>
      <c r="M94" s="6">
        <v>0</v>
      </c>
      <c r="N94" s="6">
        <v>0</v>
      </c>
      <c r="O94" s="6">
        <v>0</v>
      </c>
      <c r="P94" s="6">
        <f aca="true" t="shared" si="38" ref="P94:P100">SUM(H94:O94)</f>
        <v>6969575.812053919</v>
      </c>
    </row>
    <row r="95" spans="1:16" ht="12" customHeight="1">
      <c r="A95">
        <v>2001</v>
      </c>
      <c r="H95" s="6">
        <f t="shared" si="34"/>
        <v>4396411.272494809</v>
      </c>
      <c r="I95" s="6">
        <f t="shared" si="35"/>
        <v>135440.13741594166</v>
      </c>
      <c r="J95" s="6">
        <f t="shared" si="36"/>
        <v>2335611.403636812</v>
      </c>
      <c r="K95" s="6">
        <f t="shared" si="37"/>
        <v>2569674.268887449</v>
      </c>
      <c r="L95" s="6">
        <v>0</v>
      </c>
      <c r="M95" s="6">
        <v>0</v>
      </c>
      <c r="N95" s="6">
        <v>0</v>
      </c>
      <c r="O95" s="6">
        <v>0</v>
      </c>
      <c r="P95" s="6">
        <f t="shared" si="38"/>
        <v>9437137.082435012</v>
      </c>
    </row>
    <row r="96" spans="1:16" ht="12" customHeight="1">
      <c r="A96">
        <v>2002</v>
      </c>
      <c r="H96" s="6">
        <f t="shared" si="34"/>
        <v>-824390.1590921235</v>
      </c>
      <c r="I96" s="6">
        <f t="shared" si="35"/>
        <v>-25972.507501681717</v>
      </c>
      <c r="J96" s="6">
        <f t="shared" si="36"/>
        <v>-418842.77187633404</v>
      </c>
      <c r="K96" s="6">
        <f t="shared" si="37"/>
        <v>-496645.15519343386</v>
      </c>
      <c r="L96" s="6">
        <v>0</v>
      </c>
      <c r="M96" s="6">
        <v>0</v>
      </c>
      <c r="N96" s="6">
        <v>0</v>
      </c>
      <c r="O96" s="6">
        <v>0</v>
      </c>
      <c r="P96" s="6">
        <f t="shared" si="38"/>
        <v>-1765850.593663573</v>
      </c>
    </row>
    <row r="97" spans="1:16" ht="12" customHeight="1">
      <c r="A97">
        <v>2003</v>
      </c>
      <c r="H97" s="6">
        <f t="shared" si="34"/>
        <v>-2419997.886311658</v>
      </c>
      <c r="I97" s="6">
        <f t="shared" si="35"/>
        <v>-72256.19631847045</v>
      </c>
      <c r="J97" s="6">
        <f t="shared" si="36"/>
        <v>-1267477.3377834756</v>
      </c>
      <c r="K97" s="6">
        <f t="shared" si="37"/>
        <v>-1456577.4329178424</v>
      </c>
      <c r="L97" s="6">
        <v>0</v>
      </c>
      <c r="M97" s="6">
        <v>0</v>
      </c>
      <c r="N97" s="6">
        <v>0</v>
      </c>
      <c r="O97" s="6">
        <v>0</v>
      </c>
      <c r="P97" s="6">
        <f t="shared" si="38"/>
        <v>-5216308.853331447</v>
      </c>
    </row>
    <row r="98" spans="1:16" ht="12" customHeight="1">
      <c r="A98">
        <v>2004</v>
      </c>
      <c r="H98" s="6">
        <f t="shared" si="34"/>
        <v>-7143851.187013529</v>
      </c>
      <c r="I98" s="6">
        <f t="shared" si="35"/>
        <v>-218912.63385817452</v>
      </c>
      <c r="J98" s="6">
        <f t="shared" si="36"/>
        <v>-3770342.360157324</v>
      </c>
      <c r="K98" s="6">
        <f t="shared" si="37"/>
        <v>-4307528.971698815</v>
      </c>
      <c r="L98" s="6">
        <v>0</v>
      </c>
      <c r="M98" s="6">
        <v>0</v>
      </c>
      <c r="N98" s="6">
        <v>0</v>
      </c>
      <c r="O98" s="6">
        <v>0</v>
      </c>
      <c r="P98" s="6">
        <f t="shared" si="38"/>
        <v>-15440635.152727842</v>
      </c>
    </row>
    <row r="99" spans="1:16" ht="12" customHeight="1">
      <c r="A99">
        <v>2005</v>
      </c>
      <c r="H99" s="6">
        <f t="shared" si="34"/>
        <v>-747381.4960771004</v>
      </c>
      <c r="I99" s="6">
        <f t="shared" si="35"/>
        <v>-22175.829259237147</v>
      </c>
      <c r="J99" s="6">
        <f t="shared" si="36"/>
        <v>-371478.97794879106</v>
      </c>
      <c r="K99" s="6">
        <f t="shared" si="37"/>
        <v>-425032.81859123055</v>
      </c>
      <c r="L99" s="6">
        <v>0</v>
      </c>
      <c r="M99" s="6">
        <v>0</v>
      </c>
      <c r="N99" s="6">
        <v>0</v>
      </c>
      <c r="O99" s="6">
        <v>0</v>
      </c>
      <c r="P99" s="6">
        <f t="shared" si="38"/>
        <v>-1566069.1218763592</v>
      </c>
    </row>
    <row r="100" spans="1:16" ht="12" customHeight="1">
      <c r="A100">
        <v>2006</v>
      </c>
      <c r="H100" s="6">
        <f t="shared" si="34"/>
        <v>3148931.2847993732</v>
      </c>
      <c r="I100" s="6">
        <f t="shared" si="35"/>
        <v>87784.2393351876</v>
      </c>
      <c r="J100" s="6">
        <f t="shared" si="36"/>
        <v>1556760.1079748403</v>
      </c>
      <c r="K100" s="6">
        <f t="shared" si="37"/>
        <v>1822823.0563585788</v>
      </c>
      <c r="L100" s="6">
        <v>0</v>
      </c>
      <c r="M100" s="6">
        <v>0</v>
      </c>
      <c r="N100" s="6">
        <v>0</v>
      </c>
      <c r="O100" s="6">
        <v>0</v>
      </c>
      <c r="P100" s="6">
        <f t="shared" si="38"/>
        <v>6616298.68846798</v>
      </c>
    </row>
    <row r="101" spans="1:16" ht="12" customHeight="1">
      <c r="A101">
        <v>2007</v>
      </c>
      <c r="H101" s="6">
        <f>H88/P88*G88</f>
        <v>-715053.317017533</v>
      </c>
      <c r="I101" s="6">
        <f>I88/P88*G88</f>
        <v>-20766.90231434011</v>
      </c>
      <c r="J101" s="6">
        <f>J88/P88*G88</f>
        <v>-356660.3565397071</v>
      </c>
      <c r="K101" s="6">
        <f>K88/P88*G88</f>
        <v>-410129.4934610194</v>
      </c>
      <c r="L101" s="6">
        <v>0</v>
      </c>
      <c r="M101" s="6">
        <v>0</v>
      </c>
      <c r="N101" s="6">
        <v>0</v>
      </c>
      <c r="O101" s="6">
        <v>0</v>
      </c>
      <c r="P101" s="6">
        <f>SUM(H101:O101)</f>
        <v>-1502610.0693325996</v>
      </c>
    </row>
    <row r="102" spans="1:16" ht="12.75">
      <c r="A102">
        <v>2008</v>
      </c>
      <c r="H102" s="6">
        <f>H89/P89*G89</f>
        <v>2560640.6376669235</v>
      </c>
      <c r="I102" s="6">
        <f>I89/P89*G89</f>
        <v>75088.01432320087</v>
      </c>
      <c r="J102" s="6">
        <f>J89/P89*G89</f>
        <v>1257876.0434185737</v>
      </c>
      <c r="K102" s="6">
        <f>K89/P89*G89</f>
        <v>1427523.38250709</v>
      </c>
      <c r="L102" s="6">
        <v>0</v>
      </c>
      <c r="M102" s="6">
        <v>0</v>
      </c>
      <c r="N102" s="6">
        <v>0</v>
      </c>
      <c r="O102" s="6">
        <v>0</v>
      </c>
      <c r="P102" s="6">
        <f>SUM(H102:O102)</f>
        <v>5321128.077915788</v>
      </c>
    </row>
    <row r="103" spans="1:16" ht="12.75">
      <c r="A103">
        <f>A90</f>
        <v>2009</v>
      </c>
      <c r="H103" s="6">
        <f aca="true" t="shared" si="39" ref="H103:O103">H90/$P$90*$G$90</f>
        <v>-1508297.9032768386</v>
      </c>
      <c r="I103" s="6">
        <f t="shared" si="39"/>
        <v>-44253.53510510786</v>
      </c>
      <c r="J103" s="6">
        <f t="shared" si="39"/>
        <v>-730922.8455069036</v>
      </c>
      <c r="K103" s="6">
        <f t="shared" si="39"/>
        <v>-837975.5388497977</v>
      </c>
      <c r="L103" s="6">
        <f t="shared" si="39"/>
        <v>0</v>
      </c>
      <c r="M103" s="6">
        <f t="shared" si="39"/>
        <v>0</v>
      </c>
      <c r="N103" s="6">
        <f t="shared" si="39"/>
        <v>0</v>
      </c>
      <c r="O103" s="6">
        <f t="shared" si="39"/>
        <v>0</v>
      </c>
      <c r="P103" s="6">
        <f>SUM(H103:O103)</f>
        <v>-3121449.8227386475</v>
      </c>
    </row>
    <row r="104" spans="1:16" ht="12.75">
      <c r="A104">
        <f>A91</f>
        <v>2010</v>
      </c>
      <c r="H104" s="6">
        <f>H91/$P$91*$G$91</f>
        <v>-8546482.009781059</v>
      </c>
      <c r="I104" s="6">
        <f>I91/$P$91*$G$91</f>
        <v>-250892.1540983112</v>
      </c>
      <c r="J104" s="6">
        <f aca="true" t="shared" si="40" ref="J104:O104">J91/$P$91*$G$91</f>
        <v>-4085704.8322337787</v>
      </c>
      <c r="K104" s="6">
        <f t="shared" si="40"/>
        <v>-4731961.6241711695</v>
      </c>
      <c r="L104" s="6">
        <f t="shared" si="40"/>
        <v>0</v>
      </c>
      <c r="M104" s="6">
        <f t="shared" si="40"/>
        <v>0</v>
      </c>
      <c r="N104" s="6">
        <f t="shared" si="40"/>
        <v>0</v>
      </c>
      <c r="O104" s="6">
        <f t="shared" si="40"/>
        <v>0</v>
      </c>
      <c r="P104" s="6">
        <f>SUM(H104:O104)</f>
        <v>-17615040.62028432</v>
      </c>
    </row>
  </sheetData>
  <sheetProtection/>
  <printOptions/>
  <pageMargins left="0.38" right="0.75" top="0.73" bottom="0.74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10:K40"/>
  <sheetViews>
    <sheetView zoomScalePageLayoutView="0" workbookViewId="0" topLeftCell="B1">
      <selection activeCell="K40" sqref="K40"/>
    </sheetView>
  </sheetViews>
  <sheetFormatPr defaultColWidth="9.140625" defaultRowHeight="12.75"/>
  <sheetData>
    <row r="10" ht="12.75">
      <c r="E10" s="22" t="s">
        <v>156</v>
      </c>
    </row>
    <row r="35" spans="5:8" ht="12.75">
      <c r="E35" s="83"/>
      <c r="F35" s="16" t="s">
        <v>155</v>
      </c>
      <c r="G35" s="84"/>
      <c r="H35" s="16" t="s">
        <v>152</v>
      </c>
    </row>
    <row r="40" ht="12.75">
      <c r="K40" t="s">
        <v>158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2" sqref="L32"/>
    </sheetView>
  </sheetViews>
  <sheetFormatPr defaultColWidth="9.140625" defaultRowHeight="12.75"/>
  <cols>
    <col min="1" max="1" width="11.00390625" style="0" customWidth="1"/>
    <col min="2" max="3" width="15.00390625" style="6" customWidth="1"/>
    <col min="4" max="5" width="14.140625" style="6" bestFit="1" customWidth="1"/>
    <col min="6" max="6" width="17.57421875" style="6" customWidth="1"/>
    <col min="7" max="7" width="12.57421875" style="6" customWidth="1"/>
    <col min="8" max="8" width="11.28125" style="6" customWidth="1"/>
    <col min="9" max="9" width="11.57421875" style="6" customWidth="1"/>
    <col min="10" max="11" width="12.7109375" style="6" bestFit="1" customWidth="1"/>
    <col min="12" max="12" width="11.7109375" style="6" bestFit="1" customWidth="1"/>
    <col min="13" max="13" width="10.7109375" style="6" bestFit="1" customWidth="1"/>
    <col min="14" max="15" width="9.140625" style="6" customWidth="1"/>
  </cols>
  <sheetData>
    <row r="1" ht="12.75">
      <c r="B1" s="6" t="s">
        <v>106</v>
      </c>
    </row>
    <row r="2" spans="2:14" ht="42" customHeight="1">
      <c r="B2" s="9" t="str">
        <f>'Rate Class Energy Model'!H2</f>
        <v>Residential </v>
      </c>
      <c r="C2" s="9" t="str">
        <f>'Rate Class Energy Model'!I2</f>
        <v>Residential Hensall</v>
      </c>
      <c r="D2" s="9" t="str">
        <f>'Rate Class Energy Model'!J2</f>
        <v>General Service &lt; 50 kW</v>
      </c>
      <c r="E2" s="9" t="str">
        <f>'Rate Class Energy Model'!K2</f>
        <v>General Service &gt; 50 to 4999 kW</v>
      </c>
      <c r="F2" s="9" t="str">
        <f>'Rate Class Energy Model'!L2</f>
        <v>Large Use</v>
      </c>
      <c r="G2" s="9" t="str">
        <f>'Rate Class Energy Model'!M2</f>
        <v>Streetlights </v>
      </c>
      <c r="H2" s="9" t="str">
        <f>'Rate Class Energy Model'!N2</f>
        <v>Sentinel Lights</v>
      </c>
      <c r="I2" s="9" t="str">
        <f>'Rate Class Energy Model'!O2</f>
        <v>Unmetered Loads </v>
      </c>
      <c r="J2" s="6" t="s">
        <v>15</v>
      </c>
      <c r="L2" s="9" t="s">
        <v>141</v>
      </c>
      <c r="M2" s="6" t="s">
        <v>86</v>
      </c>
      <c r="N2" s="71" t="s">
        <v>107</v>
      </c>
    </row>
    <row r="3" spans="1:14" ht="12.75">
      <c r="A3" s="4">
        <v>1999</v>
      </c>
      <c r="B3" s="48">
        <f>+(14905+15074)/2</f>
        <v>14989.5</v>
      </c>
      <c r="C3" s="48">
        <f>+(405+401)/2</f>
        <v>403</v>
      </c>
      <c r="D3" s="48">
        <v>1988</v>
      </c>
      <c r="E3" s="48">
        <v>207</v>
      </c>
      <c r="F3" s="48">
        <v>2</v>
      </c>
      <c r="G3" s="48">
        <f>5624-30</f>
        <v>5594</v>
      </c>
      <c r="H3" s="48">
        <v>75</v>
      </c>
      <c r="I3" s="48">
        <v>160</v>
      </c>
      <c r="J3" s="47">
        <f aca="true" t="shared" si="0" ref="J3:J14">SUM(B3:I3)</f>
        <v>23418.5</v>
      </c>
      <c r="L3" s="6">
        <f aca="true" t="shared" si="1" ref="L3:L11">+B3+C3+D3+E3+F3+H3+17+9</f>
        <v>17690.5</v>
      </c>
      <c r="M3" s="6">
        <f>+B3+C3</f>
        <v>15392.5</v>
      </c>
      <c r="N3" s="6">
        <f aca="true" t="shared" si="2" ref="N3:N11">+D3+E3</f>
        <v>2195</v>
      </c>
    </row>
    <row r="4" spans="1:14" ht="12.75">
      <c r="A4" s="4">
        <v>2000</v>
      </c>
      <c r="B4" s="47">
        <f>((2331+352+451+188+925+10947)+15074)/2</f>
        <v>15134</v>
      </c>
      <c r="C4" s="47">
        <f>+(405+405)/2</f>
        <v>405</v>
      </c>
      <c r="D4" s="47">
        <f>((2008-15)+1991)/2</f>
        <v>1992</v>
      </c>
      <c r="E4" s="47">
        <f>+(208+207)/2</f>
        <v>207.5</v>
      </c>
      <c r="F4" s="48">
        <v>2</v>
      </c>
      <c r="G4" s="48">
        <f>((5656-32)+5604)/2</f>
        <v>5614</v>
      </c>
      <c r="H4" s="48">
        <f>+(77+76)/2</f>
        <v>76.5</v>
      </c>
      <c r="I4" s="47">
        <f>+(162+160)/2</f>
        <v>161</v>
      </c>
      <c r="J4" s="47">
        <f t="shared" si="0"/>
        <v>23592</v>
      </c>
      <c r="K4" s="6">
        <f aca="true" t="shared" si="3" ref="K4:K10">+B4-B3</f>
        <v>144.5</v>
      </c>
      <c r="L4" s="6">
        <f t="shared" si="1"/>
        <v>17843</v>
      </c>
      <c r="M4" s="6">
        <f>+B4+C4</f>
        <v>15539</v>
      </c>
      <c r="N4" s="6">
        <f t="shared" si="2"/>
        <v>2199.5</v>
      </c>
    </row>
    <row r="5" spans="1:14" ht="12.75">
      <c r="A5" s="4">
        <v>2001</v>
      </c>
      <c r="B5" s="48">
        <f>((15855-410)+15194)/2</f>
        <v>15319.5</v>
      </c>
      <c r="C5" s="48">
        <f>+(410+405)/2</f>
        <v>407.5</v>
      </c>
      <c r="D5" s="48">
        <f>((2010-15)+1993)/2</f>
        <v>1994</v>
      </c>
      <c r="E5" s="48">
        <f>+(209+208)/2</f>
        <v>208.5</v>
      </c>
      <c r="F5" s="48">
        <v>2</v>
      </c>
      <c r="G5" s="48">
        <f>((5698-42)+5624)/2</f>
        <v>5640</v>
      </c>
      <c r="H5" s="48">
        <f>+(78+77)/2</f>
        <v>77.5</v>
      </c>
      <c r="I5" s="48">
        <f>+(164+162)/2</f>
        <v>163</v>
      </c>
      <c r="J5" s="47">
        <f t="shared" si="0"/>
        <v>23812</v>
      </c>
      <c r="K5" s="6">
        <f t="shared" si="3"/>
        <v>185.5</v>
      </c>
      <c r="L5" s="6">
        <f t="shared" si="1"/>
        <v>18035</v>
      </c>
      <c r="M5" s="6">
        <f aca="true" t="shared" si="4" ref="M5:M14">+B5+C5</f>
        <v>15727</v>
      </c>
      <c r="N5" s="6">
        <f>+D5+E5</f>
        <v>2202.5</v>
      </c>
    </row>
    <row r="6" spans="1:14" ht="12.75">
      <c r="A6" s="4">
        <v>2002</v>
      </c>
      <c r="B6" s="48">
        <f>((16064-408)+15445)/2</f>
        <v>15550.5</v>
      </c>
      <c r="C6" s="48">
        <f>+(408+410)/2</f>
        <v>409</v>
      </c>
      <c r="D6" s="48">
        <f>((2012-15)+1995)/2</f>
        <v>1996</v>
      </c>
      <c r="E6" s="48">
        <f>+(210+209)/2</f>
        <v>209.5</v>
      </c>
      <c r="F6" s="48">
        <v>2</v>
      </c>
      <c r="G6" s="48">
        <f>+(5698+5656)/2</f>
        <v>5677</v>
      </c>
      <c r="H6" s="48">
        <f>+(79+78)/2</f>
        <v>78.5</v>
      </c>
      <c r="I6" s="48">
        <f>+(167+164)/2</f>
        <v>165.5</v>
      </c>
      <c r="J6" s="47">
        <f t="shared" si="0"/>
        <v>24088</v>
      </c>
      <c r="K6" s="6">
        <f t="shared" si="3"/>
        <v>231</v>
      </c>
      <c r="L6" s="6">
        <f t="shared" si="1"/>
        <v>18271.5</v>
      </c>
      <c r="M6" s="6">
        <f t="shared" si="4"/>
        <v>15959.5</v>
      </c>
      <c r="N6" s="6">
        <f t="shared" si="2"/>
        <v>2205.5</v>
      </c>
    </row>
    <row r="7" spans="1:14" ht="12.75">
      <c r="A7" s="4">
        <v>2003</v>
      </c>
      <c r="B7" s="48">
        <f>((16253-406)+15656)/2</f>
        <v>15751.5</v>
      </c>
      <c r="C7" s="48">
        <f>+(406+408)/2</f>
        <v>407</v>
      </c>
      <c r="D7" s="48">
        <f>((2022-15)+1997)/2</f>
        <v>2002</v>
      </c>
      <c r="E7" s="48">
        <f>((71+140-1)+210)/2</f>
        <v>210</v>
      </c>
      <c r="F7" s="48">
        <v>2</v>
      </c>
      <c r="G7" s="48">
        <f>+(5699+5698)/2</f>
        <v>5698.5</v>
      </c>
      <c r="H7" s="48">
        <f>+(77+79)/2</f>
        <v>78</v>
      </c>
      <c r="I7" s="48">
        <f>+(170+167)/2</f>
        <v>168.5</v>
      </c>
      <c r="J7" s="47">
        <f t="shared" si="0"/>
        <v>24317.5</v>
      </c>
      <c r="K7" s="6">
        <f t="shared" si="3"/>
        <v>201</v>
      </c>
      <c r="L7" s="6">
        <f t="shared" si="1"/>
        <v>18476.5</v>
      </c>
      <c r="M7" s="6">
        <f t="shared" si="4"/>
        <v>16158.5</v>
      </c>
      <c r="N7" s="6">
        <f t="shared" si="2"/>
        <v>2212</v>
      </c>
    </row>
    <row r="8" spans="1:14" ht="12.75">
      <c r="A8" s="4">
        <v>2004</v>
      </c>
      <c r="B8" s="48">
        <f>((16463-408)+15847)/2</f>
        <v>15951</v>
      </c>
      <c r="C8" s="48">
        <f>+(408+406)/2</f>
        <v>407</v>
      </c>
      <c r="D8" s="48">
        <f>((2019-17)+2007)/2</f>
        <v>2004.5</v>
      </c>
      <c r="E8" s="48">
        <f>((71+130-1)+210)/2</f>
        <v>205</v>
      </c>
      <c r="F8" s="48">
        <v>2</v>
      </c>
      <c r="G8" s="48">
        <f>+(5701+5699)/2</f>
        <v>5700</v>
      </c>
      <c r="H8" s="48">
        <f>+(77+77)/2</f>
        <v>77</v>
      </c>
      <c r="I8" s="48">
        <f>+(172+170)/2</f>
        <v>171</v>
      </c>
      <c r="J8" s="47">
        <f t="shared" si="0"/>
        <v>24517.5</v>
      </c>
      <c r="K8" s="6">
        <f t="shared" si="3"/>
        <v>199.5</v>
      </c>
      <c r="L8" s="6">
        <f t="shared" si="1"/>
        <v>18672.5</v>
      </c>
      <c r="M8" s="6">
        <f t="shared" si="4"/>
        <v>16358</v>
      </c>
      <c r="N8" s="6">
        <f t="shared" si="2"/>
        <v>2209.5</v>
      </c>
    </row>
    <row r="9" spans="1:14" ht="12.75">
      <c r="A9" s="4">
        <v>2005</v>
      </c>
      <c r="B9" s="48">
        <f>((16657-410)+16055)/2</f>
        <v>16151</v>
      </c>
      <c r="C9" s="48">
        <f>+(410+408)/2</f>
        <v>409</v>
      </c>
      <c r="D9" s="48">
        <f>((1990-17)+2002)/2</f>
        <v>1987.5</v>
      </c>
      <c r="E9" s="48">
        <f>+(211+200)/2</f>
        <v>205.5</v>
      </c>
      <c r="F9" s="48">
        <v>2</v>
      </c>
      <c r="G9" s="48">
        <f>+(5740+5701)/2</f>
        <v>5720.5</v>
      </c>
      <c r="H9" s="48">
        <f>+(82+77)/2</f>
        <v>79.5</v>
      </c>
      <c r="I9" s="48">
        <f>+(160+172)/2</f>
        <v>166</v>
      </c>
      <c r="J9" s="47">
        <f t="shared" si="0"/>
        <v>24721</v>
      </c>
      <c r="K9" s="6">
        <f t="shared" si="3"/>
        <v>200</v>
      </c>
      <c r="L9" s="6">
        <f t="shared" si="1"/>
        <v>18860.5</v>
      </c>
      <c r="M9" s="6">
        <f t="shared" si="4"/>
        <v>16560</v>
      </c>
      <c r="N9" s="6">
        <f t="shared" si="2"/>
        <v>2193</v>
      </c>
    </row>
    <row r="10" spans="1:14" ht="12.75">
      <c r="A10" s="4">
        <v>2006</v>
      </c>
      <c r="B10" s="48">
        <f>((16829-408+16247)/2)</f>
        <v>16334</v>
      </c>
      <c r="C10" s="48">
        <f>+(408+410)/2</f>
        <v>409</v>
      </c>
      <c r="D10" s="48">
        <f>((1987-16)+1973)/2</f>
        <v>1972</v>
      </c>
      <c r="E10" s="48">
        <f>+(207+211)/2</f>
        <v>209</v>
      </c>
      <c r="F10" s="48">
        <v>2</v>
      </c>
      <c r="G10" s="48">
        <f>+(5742+5740)/2</f>
        <v>5741</v>
      </c>
      <c r="H10" s="48">
        <f>+(80+82)/2</f>
        <v>81</v>
      </c>
      <c r="I10" s="48">
        <f>+(154+160)/2</f>
        <v>157</v>
      </c>
      <c r="J10" s="47">
        <f t="shared" si="0"/>
        <v>24905</v>
      </c>
      <c r="K10" s="6">
        <f t="shared" si="3"/>
        <v>183</v>
      </c>
      <c r="L10" s="6">
        <f t="shared" si="1"/>
        <v>19033</v>
      </c>
      <c r="M10" s="6">
        <f t="shared" si="4"/>
        <v>16743</v>
      </c>
      <c r="N10" s="6">
        <f t="shared" si="2"/>
        <v>2181</v>
      </c>
    </row>
    <row r="11" spans="1:14" ht="12.75">
      <c r="A11" s="4">
        <v>2007</v>
      </c>
      <c r="B11" s="48">
        <f>((17060-411)+16421)/2</f>
        <v>16535</v>
      </c>
      <c r="C11" s="48">
        <f>+(411+408)/2</f>
        <v>409.5</v>
      </c>
      <c r="D11" s="48">
        <f>((1990-17)+1971)/2</f>
        <v>1972</v>
      </c>
      <c r="E11" s="48">
        <f>+(210+207)/2</f>
        <v>208.5</v>
      </c>
      <c r="F11" s="48">
        <v>2</v>
      </c>
      <c r="G11" s="48">
        <f>+(5792+5742)/2</f>
        <v>5767</v>
      </c>
      <c r="H11" s="48">
        <f>+(81+80)/2</f>
        <v>80.5</v>
      </c>
      <c r="I11" s="48">
        <f>+(157+154)/2</f>
        <v>155.5</v>
      </c>
      <c r="J11" s="47">
        <f t="shared" si="0"/>
        <v>25130</v>
      </c>
      <c r="K11" s="6">
        <f>+B11-B10</f>
        <v>201</v>
      </c>
      <c r="L11" s="6">
        <f t="shared" si="1"/>
        <v>19233.5</v>
      </c>
      <c r="M11" s="6">
        <f t="shared" si="4"/>
        <v>16944.5</v>
      </c>
      <c r="N11" s="6">
        <f t="shared" si="2"/>
        <v>2180.5</v>
      </c>
    </row>
    <row r="12" spans="1:14" ht="12.75">
      <c r="A12" s="4">
        <v>2008</v>
      </c>
      <c r="B12" s="48">
        <f>((17178-412)+16649)/2</f>
        <v>16707.5</v>
      </c>
      <c r="C12" s="48">
        <f>+(412+411)/2</f>
        <v>411.5</v>
      </c>
      <c r="D12" s="48">
        <f>((1988-17)+1973)/2</f>
        <v>1972</v>
      </c>
      <c r="E12" s="48">
        <f>+(226+210)/2</f>
        <v>218</v>
      </c>
      <c r="F12" s="48">
        <v>2</v>
      </c>
      <c r="G12" s="48">
        <f>+(5920+5792)/2</f>
        <v>5856</v>
      </c>
      <c r="H12" s="48">
        <f>+(82+81)/2</f>
        <v>81.5</v>
      </c>
      <c r="I12" s="48">
        <f>+(156+157)/2</f>
        <v>156.5</v>
      </c>
      <c r="J12" s="47">
        <f t="shared" si="0"/>
        <v>25405</v>
      </c>
      <c r="K12" s="6">
        <f>+B12-B11</f>
        <v>172.5</v>
      </c>
      <c r="L12" s="6">
        <f>+B12+C12+D12+E12+F12+H12+17+9</f>
        <v>19418.5</v>
      </c>
      <c r="M12" s="6">
        <f>+B12+C12</f>
        <v>17119</v>
      </c>
      <c r="N12" s="6">
        <f>+D12+E12</f>
        <v>2190</v>
      </c>
    </row>
    <row r="13" spans="1:14" ht="12.75">
      <c r="A13" s="4">
        <v>2009</v>
      </c>
      <c r="B13" s="24">
        <f>B12*B28</f>
        <v>16910.15178079905</v>
      </c>
      <c r="C13" s="24">
        <f>C12*C28</f>
        <v>412.4554426557138</v>
      </c>
      <c r="D13" s="24">
        <f>D12*D28</f>
        <v>1970.2301901783758</v>
      </c>
      <c r="E13" s="53">
        <f>E12*E28</f>
        <v>219.2577507062232</v>
      </c>
      <c r="F13" s="24">
        <v>2</v>
      </c>
      <c r="G13" s="24">
        <f>G12*G28</f>
        <v>5885.858295280548</v>
      </c>
      <c r="H13" s="24">
        <f>H12*H28</f>
        <v>82.25613774339463</v>
      </c>
      <c r="I13" s="24">
        <f>I12*I28</f>
        <v>156.1158681438408</v>
      </c>
      <c r="J13" s="24">
        <f t="shared" si="0"/>
        <v>25638.325465507147</v>
      </c>
      <c r="K13" s="6">
        <f>+B13-B12</f>
        <v>202.65178079904945</v>
      </c>
      <c r="L13" s="6">
        <f>+B13+C13+D13+E13+F13+H13+17+9</f>
        <v>19622.35130208276</v>
      </c>
      <c r="M13" s="6">
        <f t="shared" si="4"/>
        <v>17322.607223454765</v>
      </c>
      <c r="N13" s="6">
        <f>+D13+E13</f>
        <v>2189.487940884599</v>
      </c>
    </row>
    <row r="14" spans="1:14" ht="12.75">
      <c r="A14" s="4">
        <v>2010</v>
      </c>
      <c r="B14" s="24">
        <f>B13*B28</f>
        <v>17115.261604049756</v>
      </c>
      <c r="C14" s="24">
        <f>C13*C28</f>
        <v>413.4131037091636</v>
      </c>
      <c r="D14" s="24">
        <f>D13*D28</f>
        <v>1968.4619687070583</v>
      </c>
      <c r="E14" s="24">
        <f>E13*E28</f>
        <v>220.522758003451</v>
      </c>
      <c r="F14" s="24">
        <v>2</v>
      </c>
      <c r="G14" s="24">
        <f>G13*G28</f>
        <v>5915.86883062207</v>
      </c>
      <c r="H14" s="24">
        <f>H13*H28</f>
        <v>83.01929075411425</v>
      </c>
      <c r="I14" s="24">
        <f>I13*I28</f>
        <v>155.7326791457194</v>
      </c>
      <c r="J14" s="24">
        <f t="shared" si="0"/>
        <v>25874.280234991336</v>
      </c>
      <c r="K14" s="6">
        <f>+B14-B13</f>
        <v>205.10982325070654</v>
      </c>
      <c r="L14" s="6">
        <f>+B14+C14+D14+E14+F14+H14+17+9</f>
        <v>19828.678725223544</v>
      </c>
      <c r="M14" s="6">
        <f t="shared" si="4"/>
        <v>17528.67470775892</v>
      </c>
      <c r="N14" s="6">
        <f>+D14+E14</f>
        <v>2188.984726710509</v>
      </c>
    </row>
    <row r="15" ht="12.75">
      <c r="A15" s="23"/>
    </row>
    <row r="16" spans="1:9" ht="12.75">
      <c r="A16" s="22" t="s">
        <v>57</v>
      </c>
      <c r="B16" s="5"/>
      <c r="C16" s="5"/>
      <c r="D16" s="5"/>
      <c r="F16" s="5"/>
      <c r="G16" s="5"/>
      <c r="H16" s="5"/>
      <c r="I16" s="5"/>
    </row>
    <row r="17" spans="1:13" ht="12.75">
      <c r="A17" s="4">
        <v>1999</v>
      </c>
      <c r="B17" s="28"/>
      <c r="C17" s="28"/>
      <c r="D17" s="28"/>
      <c r="F17" s="28"/>
      <c r="G17" s="28"/>
      <c r="H17" s="28"/>
      <c r="I17" s="28"/>
      <c r="M17" s="6" t="s">
        <v>101</v>
      </c>
    </row>
    <row r="18" spans="1:15" ht="12.75">
      <c r="A18" s="4">
        <v>2000</v>
      </c>
      <c r="B18" s="28">
        <f>B4/B3</f>
        <v>1.0096400813903066</v>
      </c>
      <c r="C18" s="28">
        <f>C4/C3</f>
        <v>1.0049627791563276</v>
      </c>
      <c r="D18" s="28">
        <f>D4/D3</f>
        <v>1.0020120724346075</v>
      </c>
      <c r="E18" s="28">
        <f>E4/E3</f>
        <v>1.002415458937198</v>
      </c>
      <c r="F18" s="28">
        <f>F4/F3</f>
        <v>1</v>
      </c>
      <c r="G18" s="28">
        <f aca="true" t="shared" si="5" ref="G18:G26">G4/G3</f>
        <v>1.0035752592062925</v>
      </c>
      <c r="H18" s="28">
        <f>H4/H3</f>
        <v>1.02</v>
      </c>
      <c r="I18" s="28">
        <f>I4/I3</f>
        <v>1.00625</v>
      </c>
      <c r="J18" s="28">
        <f>J4/J3</f>
        <v>1.0074086726306126</v>
      </c>
      <c r="K18" s="6" t="s">
        <v>99</v>
      </c>
      <c r="L18" s="6" t="s">
        <v>100</v>
      </c>
      <c r="M18" s="6" t="s">
        <v>104</v>
      </c>
      <c r="N18" s="6" t="s">
        <v>102</v>
      </c>
      <c r="O18" s="6" t="s">
        <v>103</v>
      </c>
    </row>
    <row r="19" spans="1:15" ht="12.75">
      <c r="A19" s="4">
        <v>2001</v>
      </c>
      <c r="B19" s="28">
        <f aca="true" t="shared" si="6" ref="B19:B26">B5/B4</f>
        <v>1.0122571692876965</v>
      </c>
      <c r="C19" s="28">
        <f aca="true" t="shared" si="7" ref="C19:D26">C5/C4</f>
        <v>1.0061728395061729</v>
      </c>
      <c r="D19" s="28">
        <f t="shared" si="7"/>
        <v>1.001004016064257</v>
      </c>
      <c r="E19" s="28">
        <f aca="true" t="shared" si="8" ref="E19:E26">E5/E4</f>
        <v>1.0048192771084337</v>
      </c>
      <c r="F19" s="28">
        <f aca="true" t="shared" si="9" ref="F19:F26">F5/F4</f>
        <v>1</v>
      </c>
      <c r="G19" s="28">
        <f t="shared" si="5"/>
        <v>1.0046312789454934</v>
      </c>
      <c r="H19" s="28">
        <f aca="true" t="shared" si="10" ref="H19:I26">H5/H4</f>
        <v>1.0130718954248366</v>
      </c>
      <c r="I19" s="28">
        <f t="shared" si="10"/>
        <v>1.0124223602484472</v>
      </c>
      <c r="J19" s="28">
        <f aca="true" t="shared" si="11" ref="J19:J26">J5/J4</f>
        <v>1.0093251949813495</v>
      </c>
      <c r="L19" s="6">
        <v>9</v>
      </c>
      <c r="M19" s="69" t="s">
        <v>105</v>
      </c>
      <c r="N19" s="69"/>
      <c r="O19" s="69"/>
    </row>
    <row r="20" spans="1:15" ht="12.75">
      <c r="A20" s="4">
        <v>2002</v>
      </c>
      <c r="B20" s="28">
        <f t="shared" si="6"/>
        <v>1.0150788211103496</v>
      </c>
      <c r="C20" s="28">
        <f t="shared" si="7"/>
        <v>1.003680981595092</v>
      </c>
      <c r="D20" s="28">
        <f t="shared" si="7"/>
        <v>1.0010030090270812</v>
      </c>
      <c r="E20" s="28">
        <f t="shared" si="8"/>
        <v>1.0047961630695443</v>
      </c>
      <c r="F20" s="28">
        <f t="shared" si="9"/>
        <v>1</v>
      </c>
      <c r="G20" s="28">
        <f t="shared" si="5"/>
        <v>1.0065602836879433</v>
      </c>
      <c r="H20" s="28">
        <f t="shared" si="10"/>
        <v>1.0129032258064516</v>
      </c>
      <c r="I20" s="28">
        <f t="shared" si="10"/>
        <v>1.0153374233128833</v>
      </c>
      <c r="J20" s="28">
        <f t="shared" si="11"/>
        <v>1.0115907945573661</v>
      </c>
      <c r="L20" s="6">
        <v>9</v>
      </c>
      <c r="M20" s="70">
        <f>+(61.8+60.77)/2</f>
        <v>61.285</v>
      </c>
      <c r="N20" s="69">
        <v>0.78</v>
      </c>
      <c r="O20" s="69">
        <f aca="true" t="shared" si="12" ref="O20:O26">+M20/N20</f>
        <v>78.57051282051282</v>
      </c>
    </row>
    <row r="21" spans="1:15" ht="12.75">
      <c r="A21" s="4">
        <v>2003</v>
      </c>
      <c r="B21" s="28">
        <f t="shared" si="6"/>
        <v>1.0129256294009839</v>
      </c>
      <c r="C21" s="28">
        <f t="shared" si="7"/>
        <v>0.9951100244498777</v>
      </c>
      <c r="D21" s="28">
        <f t="shared" si="7"/>
        <v>1.003006012024048</v>
      </c>
      <c r="E21" s="28">
        <f t="shared" si="8"/>
        <v>1.0023866348448687</v>
      </c>
      <c r="F21" s="28">
        <f t="shared" si="9"/>
        <v>1</v>
      </c>
      <c r="G21" s="28">
        <f t="shared" si="5"/>
        <v>1.003787211555399</v>
      </c>
      <c r="H21" s="28">
        <f t="shared" si="10"/>
        <v>0.9936305732484076</v>
      </c>
      <c r="I21" s="28">
        <f t="shared" si="10"/>
        <v>1.0181268882175227</v>
      </c>
      <c r="J21" s="28">
        <f t="shared" si="11"/>
        <v>1.0095275655928262</v>
      </c>
      <c r="L21" s="6">
        <v>9</v>
      </c>
      <c r="M21" s="70">
        <f>725.12/12</f>
        <v>60.42666666666667</v>
      </c>
      <c r="N21" s="69">
        <v>0.78</v>
      </c>
      <c r="O21" s="69">
        <f t="shared" si="12"/>
        <v>77.47008547008546</v>
      </c>
    </row>
    <row r="22" spans="1:16" ht="12.75">
      <c r="A22" s="4">
        <v>2004</v>
      </c>
      <c r="B22" s="28">
        <f t="shared" si="6"/>
        <v>1.0126654604323397</v>
      </c>
      <c r="C22" s="28">
        <f t="shared" si="7"/>
        <v>1</v>
      </c>
      <c r="D22" s="28">
        <f t="shared" si="7"/>
        <v>1.0012487512487513</v>
      </c>
      <c r="E22" s="28">
        <f t="shared" si="8"/>
        <v>0.9761904761904762</v>
      </c>
      <c r="F22" s="28">
        <f t="shared" si="9"/>
        <v>1</v>
      </c>
      <c r="G22" s="28">
        <f t="shared" si="5"/>
        <v>1.0002632271650433</v>
      </c>
      <c r="H22" s="28">
        <f t="shared" si="10"/>
        <v>0.9871794871794872</v>
      </c>
      <c r="I22" s="28">
        <f t="shared" si="10"/>
        <v>1.0148367952522255</v>
      </c>
      <c r="J22" s="28">
        <f t="shared" si="11"/>
        <v>1.00822452965971</v>
      </c>
      <c r="K22" s="6">
        <v>16</v>
      </c>
      <c r="L22" s="6">
        <v>9</v>
      </c>
      <c r="M22" s="69">
        <v>59.74</v>
      </c>
      <c r="N22" s="69">
        <v>0.78</v>
      </c>
      <c r="O22" s="69">
        <f t="shared" si="12"/>
        <v>76.58974358974359</v>
      </c>
      <c r="P22" s="69"/>
    </row>
    <row r="23" spans="1:16" ht="12.75">
      <c r="A23" s="4">
        <v>2005</v>
      </c>
      <c r="B23" s="28">
        <f t="shared" si="6"/>
        <v>1.0125383988464673</v>
      </c>
      <c r="C23" s="28">
        <f t="shared" si="7"/>
        <v>1.0049140049140048</v>
      </c>
      <c r="D23" s="28">
        <f t="shared" si="7"/>
        <v>0.991519082065353</v>
      </c>
      <c r="E23" s="28">
        <f t="shared" si="8"/>
        <v>1.002439024390244</v>
      </c>
      <c r="F23" s="28">
        <f t="shared" si="9"/>
        <v>1</v>
      </c>
      <c r="G23" s="28">
        <f t="shared" si="5"/>
        <v>1.0035964912280702</v>
      </c>
      <c r="H23" s="28">
        <f t="shared" si="10"/>
        <v>1.0324675324675325</v>
      </c>
      <c r="I23" s="28">
        <f t="shared" si="10"/>
        <v>0.9707602339181286</v>
      </c>
      <c r="J23" s="28">
        <f t="shared" si="11"/>
        <v>1.0083001937391658</v>
      </c>
      <c r="K23" s="6">
        <v>16</v>
      </c>
      <c r="L23" s="6">
        <v>9</v>
      </c>
      <c r="M23" s="69">
        <f>747.88/12*11/12</f>
        <v>57.12972222222222</v>
      </c>
      <c r="N23" s="69">
        <v>0.7</v>
      </c>
      <c r="O23" s="69">
        <f t="shared" si="12"/>
        <v>81.6138888888889</v>
      </c>
      <c r="P23" s="69"/>
    </row>
    <row r="24" spans="1:16" ht="12.75">
      <c r="A24" s="4">
        <v>2006</v>
      </c>
      <c r="B24" s="28">
        <f t="shared" si="6"/>
        <v>1.0113305677667017</v>
      </c>
      <c r="C24" s="28">
        <f t="shared" si="7"/>
        <v>1</v>
      </c>
      <c r="D24" s="28">
        <f t="shared" si="7"/>
        <v>0.9922012578616353</v>
      </c>
      <c r="E24" s="28">
        <f t="shared" si="8"/>
        <v>1.0170316301703164</v>
      </c>
      <c r="F24" s="28">
        <f t="shared" si="9"/>
        <v>1</v>
      </c>
      <c r="G24" s="28">
        <f t="shared" si="5"/>
        <v>1.0035836028319203</v>
      </c>
      <c r="H24" s="28">
        <f t="shared" si="10"/>
        <v>1.0188679245283019</v>
      </c>
      <c r="I24" s="28">
        <f t="shared" si="10"/>
        <v>0.9457831325301205</v>
      </c>
      <c r="J24" s="28">
        <f t="shared" si="11"/>
        <v>1.0074430646009465</v>
      </c>
      <c r="K24" s="6">
        <v>15</v>
      </c>
      <c r="L24" s="6">
        <v>9</v>
      </c>
      <c r="M24" s="69">
        <f>759.54/12</f>
        <v>63.294999999999995</v>
      </c>
      <c r="N24" s="69">
        <v>0.79</v>
      </c>
      <c r="O24" s="69">
        <f t="shared" si="12"/>
        <v>80.12025316455696</v>
      </c>
      <c r="P24" s="69"/>
    </row>
    <row r="25" spans="1:16" ht="12.75">
      <c r="A25" s="4">
        <v>2007</v>
      </c>
      <c r="B25" s="28">
        <f t="shared" si="6"/>
        <v>1.0123056201787681</v>
      </c>
      <c r="C25" s="28">
        <f t="shared" si="7"/>
        <v>1.0012224938875305</v>
      </c>
      <c r="D25" s="28">
        <f t="shared" si="7"/>
        <v>1</v>
      </c>
      <c r="E25" s="28">
        <f t="shared" si="8"/>
        <v>0.9976076555023924</v>
      </c>
      <c r="F25" s="28">
        <f t="shared" si="9"/>
        <v>1</v>
      </c>
      <c r="G25" s="28">
        <f t="shared" si="5"/>
        <v>1.0045288277303606</v>
      </c>
      <c r="H25" s="28">
        <f t="shared" si="10"/>
        <v>0.9938271604938271</v>
      </c>
      <c r="I25" s="28">
        <f t="shared" si="10"/>
        <v>0.9904458598726115</v>
      </c>
      <c r="J25" s="28">
        <f t="shared" si="11"/>
        <v>1.0090343304557319</v>
      </c>
      <c r="K25" s="6">
        <v>16</v>
      </c>
      <c r="L25" s="6">
        <v>9</v>
      </c>
      <c r="M25" s="69">
        <f>774.34/12</f>
        <v>64.52833333333334</v>
      </c>
      <c r="N25" s="69">
        <v>0.8</v>
      </c>
      <c r="O25" s="69">
        <f t="shared" si="12"/>
        <v>80.66041666666666</v>
      </c>
      <c r="P25" s="69"/>
    </row>
    <row r="26" spans="1:16" ht="12.75">
      <c r="A26" s="4">
        <v>2008</v>
      </c>
      <c r="B26" s="28">
        <f t="shared" si="6"/>
        <v>1.010432416087088</v>
      </c>
      <c r="C26" s="28">
        <f t="shared" si="7"/>
        <v>1.0048840048840049</v>
      </c>
      <c r="D26" s="28">
        <f t="shared" si="7"/>
        <v>1</v>
      </c>
      <c r="E26" s="28">
        <f t="shared" si="8"/>
        <v>1.0455635491606714</v>
      </c>
      <c r="F26" s="28">
        <f t="shared" si="9"/>
        <v>1</v>
      </c>
      <c r="G26" s="28">
        <f t="shared" si="5"/>
        <v>1.0154326339517947</v>
      </c>
      <c r="H26" s="28">
        <f t="shared" si="10"/>
        <v>1.0124223602484472</v>
      </c>
      <c r="I26" s="28">
        <f t="shared" si="10"/>
        <v>1.0064308681672025</v>
      </c>
      <c r="J26" s="28">
        <f t="shared" si="11"/>
        <v>1.0109430959013133</v>
      </c>
      <c r="K26" s="6">
        <v>24</v>
      </c>
      <c r="L26" s="6">
        <v>9</v>
      </c>
      <c r="M26" s="69">
        <f>777.78/12</f>
        <v>64.815</v>
      </c>
      <c r="N26" s="69">
        <v>0.79</v>
      </c>
      <c r="O26" s="69">
        <f t="shared" si="12"/>
        <v>82.04430379746834</v>
      </c>
      <c r="P26" s="69"/>
    </row>
    <row r="28" spans="1:10" ht="12.75">
      <c r="A28" t="s">
        <v>63</v>
      </c>
      <c r="B28" s="29">
        <f>B30</f>
        <v>1.012129389842828</v>
      </c>
      <c r="C28" s="29">
        <f>C30</f>
        <v>1.002321853355319</v>
      </c>
      <c r="D28" s="29">
        <f aca="true" t="shared" si="13" ref="D28:I28">D30</f>
        <v>0.9991025305164177</v>
      </c>
      <c r="E28" s="29">
        <f t="shared" si="13"/>
        <v>1.0057694986524</v>
      </c>
      <c r="F28" s="29">
        <f t="shared" si="13"/>
        <v>1</v>
      </c>
      <c r="G28" s="29">
        <f>G30</f>
        <v>1.0050987526093833</v>
      </c>
      <c r="H28" s="29">
        <f t="shared" si="13"/>
        <v>1.0092777637226336</v>
      </c>
      <c r="I28" s="29">
        <f t="shared" si="13"/>
        <v>0.9975454833472255</v>
      </c>
      <c r="J28" s="29">
        <f>J30</f>
        <v>1.0090876774342787</v>
      </c>
    </row>
    <row r="29" spans="2:10" ht="12.75"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12.75">
      <c r="A30" t="s">
        <v>21</v>
      </c>
      <c r="B30" s="29">
        <f aca="true" t="shared" si="14" ref="B30:I30">GEOMEAN(B18:B26)</f>
        <v>1.012129389842828</v>
      </c>
      <c r="C30" s="29">
        <f>GEOMEAN(C18:C26)</f>
        <v>1.002321853355319</v>
      </c>
      <c r="D30" s="29">
        <f t="shared" si="14"/>
        <v>0.9991025305164177</v>
      </c>
      <c r="E30" s="29">
        <f t="shared" si="14"/>
        <v>1.0057694986524</v>
      </c>
      <c r="F30" s="29">
        <f t="shared" si="14"/>
        <v>1</v>
      </c>
      <c r="G30" s="29">
        <f>GEOMEAN(G18:G26)</f>
        <v>1.0050987526093833</v>
      </c>
      <c r="H30" s="29">
        <f t="shared" si="14"/>
        <v>1.0092777637226336</v>
      </c>
      <c r="I30" s="29">
        <f t="shared" si="14"/>
        <v>0.9975454833472255</v>
      </c>
      <c r="J30" s="29">
        <f>GEOMEAN(J18:J26)</f>
        <v>1.0090876774342787</v>
      </c>
    </row>
    <row r="31" spans="1:9" ht="12.75">
      <c r="A31" s="4"/>
      <c r="B31" s="29"/>
      <c r="C31" s="29"/>
      <c r="D31" s="29"/>
      <c r="E31" s="29"/>
      <c r="F31" s="29"/>
      <c r="G31" s="29"/>
      <c r="H31" s="29"/>
      <c r="I31" s="29"/>
    </row>
    <row r="32" spans="1:9" ht="12.75">
      <c r="A32" s="4"/>
      <c r="B32" s="29"/>
      <c r="C32" s="29"/>
      <c r="D32" s="29"/>
      <c r="E32" s="29"/>
      <c r="F32" s="29"/>
      <c r="G32" s="29"/>
      <c r="H32" s="29"/>
      <c r="I32" s="29"/>
    </row>
    <row r="33" spans="1:9" ht="12.75">
      <c r="A33" s="4"/>
      <c r="B33" s="29"/>
      <c r="C33" s="29"/>
      <c r="D33" s="29"/>
      <c r="E33" s="29"/>
      <c r="F33" s="29"/>
      <c r="G33" s="29"/>
      <c r="H33" s="29"/>
      <c r="I33" s="29"/>
    </row>
    <row r="34" spans="1:9" ht="12.75">
      <c r="A34" s="4"/>
      <c r="B34" s="29"/>
      <c r="C34" s="29"/>
      <c r="D34" s="29"/>
      <c r="E34" s="29"/>
      <c r="F34" s="29"/>
      <c r="G34" s="29"/>
      <c r="H34" s="29"/>
      <c r="I34" s="29"/>
    </row>
    <row r="35" spans="1:9" ht="12.75">
      <c r="A35" s="4"/>
      <c r="B35" s="29"/>
      <c r="C35" s="29"/>
      <c r="D35" s="29"/>
      <c r="E35" s="29"/>
      <c r="F35" s="29"/>
      <c r="G35" s="29"/>
      <c r="H35" s="29"/>
      <c r="I35" s="29"/>
    </row>
    <row r="36" spans="1:9" ht="12.75">
      <c r="A36" s="4"/>
      <c r="B36" s="29"/>
      <c r="C36" s="29">
        <f>10947+925+188+451+405+352+2331</f>
        <v>15599</v>
      </c>
      <c r="D36" s="29"/>
      <c r="E36" s="29"/>
      <c r="F36" s="29"/>
      <c r="G36" s="29"/>
      <c r="H36" s="29"/>
      <c r="I36" s="29"/>
    </row>
    <row r="37" spans="1:9" ht="12.75">
      <c r="A37" s="4"/>
      <c r="B37" s="29"/>
      <c r="C37" s="29">
        <f>+C36-405</f>
        <v>15194</v>
      </c>
      <c r="D37" s="29">
        <f>397+79+40+101+85+164+1389</f>
        <v>2255</v>
      </c>
      <c r="E37" s="29">
        <f>398+40+79+96+87+166+1368</f>
        <v>2234</v>
      </c>
      <c r="F37" s="29">
        <f>+E37-D37</f>
        <v>-21</v>
      </c>
      <c r="G37" s="29">
        <f>+D3+E3</f>
        <v>2195</v>
      </c>
      <c r="H37" s="29"/>
      <c r="I37" s="29"/>
    </row>
    <row r="38" spans="1:9" ht="12.75">
      <c r="A38" s="4"/>
      <c r="B38" s="29"/>
      <c r="C38" s="29"/>
      <c r="D38" s="29"/>
      <c r="E38" s="29"/>
      <c r="F38" s="29"/>
      <c r="G38" s="29"/>
      <c r="H38" s="29"/>
      <c r="I38" s="29"/>
    </row>
    <row r="39" spans="2:9" ht="12.75">
      <c r="B39" s="29"/>
      <c r="C39" s="29">
        <v>98</v>
      </c>
      <c r="D39" s="29">
        <v>99</v>
      </c>
      <c r="E39" s="29"/>
      <c r="F39" s="29"/>
      <c r="G39" s="29"/>
      <c r="H39" s="29"/>
      <c r="I39" s="29"/>
    </row>
    <row r="40" spans="2:9" ht="12.75">
      <c r="B40" s="29"/>
      <c r="C40" s="29">
        <f>2278+188+450+920+350+10719</f>
        <v>14905</v>
      </c>
      <c r="D40" s="29">
        <f>2331+188+451+925+352+10827</f>
        <v>15074</v>
      </c>
      <c r="E40" s="78">
        <f>+D40-C40</f>
        <v>169</v>
      </c>
      <c r="F40" s="29"/>
      <c r="G40" s="29"/>
      <c r="H40" s="29"/>
      <c r="I40" s="29"/>
    </row>
    <row r="41" spans="2:9" ht="12.75">
      <c r="B41" s="29"/>
      <c r="C41" s="29"/>
      <c r="D41" s="29"/>
      <c r="E41" s="29"/>
      <c r="F41" s="29"/>
      <c r="G41" s="29"/>
      <c r="H41" s="29"/>
      <c r="I41" s="29"/>
    </row>
    <row r="42" spans="2:9" ht="12.75">
      <c r="B42" s="29"/>
      <c r="C42" s="29"/>
      <c r="D42" s="29"/>
      <c r="E42" s="29"/>
      <c r="F42" s="29"/>
      <c r="G42" s="29"/>
      <c r="H42" s="29"/>
      <c r="I42" s="29"/>
    </row>
    <row r="43" spans="2:9" ht="12.75">
      <c r="B43" s="29"/>
      <c r="C43" s="29"/>
      <c r="D43" s="29"/>
      <c r="E43" s="29"/>
      <c r="F43" s="29"/>
      <c r="G43" s="29"/>
      <c r="H43" s="29"/>
      <c r="I43" s="29"/>
    </row>
    <row r="44" spans="2:9" ht="12.75">
      <c r="B44" s="29"/>
      <c r="C44" s="29"/>
      <c r="D44" s="29"/>
      <c r="E44" s="29"/>
      <c r="F44" s="29"/>
      <c r="G44" s="29"/>
      <c r="H44" s="29"/>
      <c r="I44" s="29"/>
    </row>
    <row r="45" spans="2:9" ht="12.75">
      <c r="B45" s="29"/>
      <c r="C45" s="29"/>
      <c r="D45" s="29"/>
      <c r="E45" s="29"/>
      <c r="F45" s="29"/>
      <c r="G45" s="29"/>
      <c r="H45" s="29"/>
      <c r="I45" s="29"/>
    </row>
    <row r="46" spans="2:9" ht="12.75">
      <c r="B46" s="29"/>
      <c r="C46" s="29"/>
      <c r="D46" s="29"/>
      <c r="E46" s="29"/>
      <c r="F46" s="29"/>
      <c r="G46" s="29"/>
      <c r="H46" s="29"/>
      <c r="I46" s="29"/>
    </row>
    <row r="47" spans="2:9" ht="12.75">
      <c r="B47" s="29"/>
      <c r="C47" s="29"/>
      <c r="D47" s="29"/>
      <c r="E47" s="29"/>
      <c r="F47" s="29"/>
      <c r="G47" s="29"/>
      <c r="H47" s="29"/>
      <c r="I47" s="29"/>
    </row>
    <row r="48" spans="2:9" ht="12.75">
      <c r="B48" s="29"/>
      <c r="C48" s="29"/>
      <c r="D48" s="29"/>
      <c r="E48" s="29"/>
      <c r="F48" s="29"/>
      <c r="G48" s="29"/>
      <c r="H48" s="29"/>
      <c r="I48" s="29"/>
    </row>
    <row r="49" spans="2:9" ht="12.75">
      <c r="B49" s="29"/>
      <c r="C49" s="29"/>
      <c r="D49" s="29"/>
      <c r="E49" s="29"/>
      <c r="F49" s="29"/>
      <c r="G49" s="29"/>
      <c r="H49" s="29"/>
      <c r="I49" s="29"/>
    </row>
    <row r="50" spans="2:9" ht="12.75">
      <c r="B50" s="29"/>
      <c r="C50" s="29"/>
      <c r="D50" s="29"/>
      <c r="E50" s="29"/>
      <c r="F50" s="29"/>
      <c r="G50" s="29"/>
      <c r="H50" s="29"/>
      <c r="I50" s="29"/>
    </row>
    <row r="51" spans="2:9" ht="12.75">
      <c r="B51" s="29"/>
      <c r="C51" s="29"/>
      <c r="D51" s="29"/>
      <c r="E51" s="29"/>
      <c r="F51" s="29"/>
      <c r="G51" s="29"/>
      <c r="H51" s="29"/>
      <c r="I51" s="29"/>
    </row>
    <row r="52" spans="2:9" ht="12.75">
      <c r="B52" s="29"/>
      <c r="C52" s="29"/>
      <c r="D52" s="29"/>
      <c r="E52" s="29"/>
      <c r="F52" s="29"/>
      <c r="G52" s="29"/>
      <c r="H52" s="29"/>
      <c r="I52" s="29"/>
    </row>
    <row r="53" spans="2:9" ht="12.75">
      <c r="B53" s="29"/>
      <c r="C53" s="29"/>
      <c r="D53" s="29"/>
      <c r="E53" s="29"/>
      <c r="F53" s="29"/>
      <c r="G53" s="29"/>
      <c r="H53" s="29"/>
      <c r="I53" s="29"/>
    </row>
    <row r="54" spans="2:9" ht="12.75">
      <c r="B54" s="29"/>
      <c r="C54" s="29"/>
      <c r="D54" s="29"/>
      <c r="E54" s="29"/>
      <c r="F54" s="29"/>
      <c r="G54" s="29"/>
      <c r="H54" s="29"/>
      <c r="I54" s="29"/>
    </row>
    <row r="55" spans="2:9" ht="12.75">
      <c r="B55" s="29"/>
      <c r="C55" s="29"/>
      <c r="D55" s="29"/>
      <c r="E55" s="29"/>
      <c r="F55" s="29"/>
      <c r="G55" s="29"/>
      <c r="H55" s="29"/>
      <c r="I55" s="29"/>
    </row>
    <row r="56" spans="2:9" ht="12.75">
      <c r="B56" s="29"/>
      <c r="C56" s="29"/>
      <c r="D56" s="29"/>
      <c r="E56" s="29"/>
      <c r="F56" s="29"/>
      <c r="G56" s="29"/>
      <c r="H56" s="29"/>
      <c r="I56" s="29"/>
    </row>
    <row r="57" spans="2:9" ht="12.75">
      <c r="B57" s="29"/>
      <c r="C57" s="29"/>
      <c r="D57" s="29"/>
      <c r="F57" s="29"/>
      <c r="G57" s="29"/>
      <c r="H57" s="29"/>
      <c r="I57" s="29"/>
    </row>
    <row r="58" ht="12.75">
      <c r="E58" s="6" t="e">
        <f>E12*#REF!</f>
        <v>#REF!</v>
      </c>
    </row>
    <row r="59" spans="1:12" ht="12.75">
      <c r="A59">
        <v>2008</v>
      </c>
      <c r="B59" s="6" t="e">
        <f>B12*#REF!</f>
        <v>#REF!</v>
      </c>
      <c r="D59" s="6" t="e">
        <f>D12*#REF!</f>
        <v>#REF!</v>
      </c>
      <c r="E59" s="6" t="e">
        <f>E13*#REF!</f>
        <v>#REF!</v>
      </c>
      <c r="F59" s="6" t="e">
        <f>F12*#REF!</f>
        <v>#REF!</v>
      </c>
      <c r="G59" s="6" t="e">
        <f>G12*#REF!</f>
        <v>#REF!</v>
      </c>
      <c r="H59" s="6" t="e">
        <f>H12*#REF!</f>
        <v>#REF!</v>
      </c>
      <c r="I59" s="6" t="e">
        <f>I12*#REF!</f>
        <v>#REF!</v>
      </c>
      <c r="J59" s="6" t="e">
        <f>SUM(B59:I59)</f>
        <v>#REF!</v>
      </c>
      <c r="K59" s="6" t="e">
        <f>SUM('Rate Class Energy Model'!#REF!)</f>
        <v>#REF!</v>
      </c>
      <c r="L59" s="6" t="e">
        <f>K59-J59</f>
        <v>#REF!</v>
      </c>
    </row>
    <row r="60" spans="1:12" ht="12.75">
      <c r="A60">
        <v>2009</v>
      </c>
      <c r="B60" s="6" t="e">
        <f>B13*#REF!</f>
        <v>#REF!</v>
      </c>
      <c r="D60" s="6" t="e">
        <f>D13*#REF!</f>
        <v>#REF!</v>
      </c>
      <c r="F60" s="6" t="e">
        <f>F13*#REF!</f>
        <v>#REF!</v>
      </c>
      <c r="G60" s="6" t="e">
        <f>G13*#REF!</f>
        <v>#REF!</v>
      </c>
      <c r="H60" s="6" t="e">
        <f>H13*#REF!</f>
        <v>#REF!</v>
      </c>
      <c r="I60" s="6" t="e">
        <f>I13*#REF!</f>
        <v>#REF!</v>
      </c>
      <c r="J60" s="6" t="e">
        <f>SUM(B60:I60)</f>
        <v>#REF!</v>
      </c>
      <c r="K60" s="6" t="e">
        <f>SUM('Rate Class Energy Model'!#REF!)</f>
        <v>#REF!</v>
      </c>
      <c r="L60" s="6" t="e">
        <f>K60-J60</f>
        <v>#REF!</v>
      </c>
    </row>
    <row r="62" ht="12.75">
      <c r="A62" t="s">
        <v>23</v>
      </c>
    </row>
    <row r="63" ht="12.75">
      <c r="E63" s="30">
        <v>0.65</v>
      </c>
    </row>
    <row r="64" spans="1:9" ht="12.75">
      <c r="A64">
        <v>2008</v>
      </c>
      <c r="B64" s="30">
        <v>1</v>
      </c>
      <c r="C64" s="30"/>
      <c r="D64" s="30">
        <v>1</v>
      </c>
      <c r="E64" s="30">
        <v>0.65</v>
      </c>
      <c r="F64" s="30">
        <v>0</v>
      </c>
      <c r="G64" s="30">
        <v>0</v>
      </c>
      <c r="H64" s="30">
        <v>0</v>
      </c>
      <c r="I64" s="30">
        <v>0</v>
      </c>
    </row>
    <row r="65" spans="1:9" ht="12.75">
      <c r="A65">
        <v>2009</v>
      </c>
      <c r="B65" s="30">
        <v>1</v>
      </c>
      <c r="C65" s="30"/>
      <c r="D65" s="30">
        <v>1</v>
      </c>
      <c r="F65" s="30">
        <v>0</v>
      </c>
      <c r="G65" s="30">
        <v>0</v>
      </c>
      <c r="H65" s="30">
        <v>0</v>
      </c>
      <c r="I65" s="30">
        <v>0</v>
      </c>
    </row>
    <row r="67" ht="12.75">
      <c r="A67" t="s">
        <v>24</v>
      </c>
    </row>
    <row r="68" ht="12.75">
      <c r="E68" s="6" t="e">
        <f aca="true" t="shared" si="15" ref="D68:I69">E58*E63</f>
        <v>#REF!</v>
      </c>
    </row>
    <row r="69" spans="1:10" ht="12.75">
      <c r="A69">
        <v>2008</v>
      </c>
      <c r="B69" s="6" t="e">
        <f>B59*B64</f>
        <v>#REF!</v>
      </c>
      <c r="D69" s="6" t="e">
        <f t="shared" si="15"/>
        <v>#REF!</v>
      </c>
      <c r="E69" s="6" t="e">
        <f aca="true" t="shared" si="16" ref="D69:I70">E59*E64</f>
        <v>#REF!</v>
      </c>
      <c r="F69" s="6" t="e">
        <f t="shared" si="15"/>
        <v>#REF!</v>
      </c>
      <c r="G69" s="6" t="e">
        <f t="shared" si="15"/>
        <v>#REF!</v>
      </c>
      <c r="H69" s="6" t="e">
        <f t="shared" si="15"/>
        <v>#REF!</v>
      </c>
      <c r="I69" s="6" t="e">
        <f t="shared" si="15"/>
        <v>#REF!</v>
      </c>
      <c r="J69" s="6" t="e">
        <f>SUM(B69:I69)</f>
        <v>#REF!</v>
      </c>
    </row>
    <row r="70" spans="1:10" ht="12.75">
      <c r="A70">
        <v>2009</v>
      </c>
      <c r="B70" s="6" t="e">
        <f>B60*B65</f>
        <v>#REF!</v>
      </c>
      <c r="D70" s="6" t="e">
        <f t="shared" si="16"/>
        <v>#REF!</v>
      </c>
      <c r="F70" s="6" t="e">
        <f t="shared" si="16"/>
        <v>#REF!</v>
      </c>
      <c r="G70" s="6" t="e">
        <f t="shared" si="16"/>
        <v>#REF!</v>
      </c>
      <c r="H70" s="6" t="e">
        <f t="shared" si="16"/>
        <v>#REF!</v>
      </c>
      <c r="I70" s="6" t="e">
        <f t="shared" si="16"/>
        <v>#REF!</v>
      </c>
      <c r="J70" s="6" t="e">
        <f>SUM(B70:I70)</f>
        <v>#REF!</v>
      </c>
    </row>
    <row r="72" ht="12.75">
      <c r="A72" t="s">
        <v>25</v>
      </c>
    </row>
    <row r="73" ht="12.75">
      <c r="E73" s="6" t="e">
        <f>E68/$J$69*$L$59</f>
        <v>#REF!</v>
      </c>
    </row>
    <row r="74" spans="1:9" ht="12.75">
      <c r="A74">
        <v>2008</v>
      </c>
      <c r="B74" s="6" t="e">
        <f>B69/$J$69*$L$59</f>
        <v>#REF!</v>
      </c>
      <c r="D74" s="6" t="e">
        <f>D69/$J$69*$L$59</f>
        <v>#REF!</v>
      </c>
      <c r="E74" s="6" t="e">
        <f>E69/$J$70*$L$60</f>
        <v>#REF!</v>
      </c>
      <c r="F74" s="6" t="e">
        <f>F69/$J$69*$L$59</f>
        <v>#REF!</v>
      </c>
      <c r="G74" s="6" t="e">
        <f>G69/$J$69*$L$59</f>
        <v>#REF!</v>
      </c>
      <c r="H74" s="6" t="e">
        <f>H69/$J$69*$L$59</f>
        <v>#REF!</v>
      </c>
      <c r="I74" s="6" t="e">
        <f>I69/$J$69*$L$59</f>
        <v>#REF!</v>
      </c>
    </row>
    <row r="75" spans="1:9" ht="12.75">
      <c r="A75">
        <v>2009</v>
      </c>
      <c r="B75" s="6" t="e">
        <f>B70/$J$70*$L$60</f>
        <v>#REF!</v>
      </c>
      <c r="D75" s="6" t="e">
        <f>D70/$J$70*$L$60</f>
        <v>#REF!</v>
      </c>
      <c r="F75" s="6" t="e">
        <f>F70/$J$70*$L$60</f>
        <v>#REF!</v>
      </c>
      <c r="G75" s="6" t="e">
        <f>G70/$J$70*$L$60</f>
        <v>#REF!</v>
      </c>
      <c r="H75" s="6" t="e">
        <f>H70/$J$70*$L$60</f>
        <v>#REF!</v>
      </c>
      <c r="I75" s="6" t="e">
        <f>I70/$J$70*$L$60</f>
        <v>#REF!</v>
      </c>
    </row>
    <row r="77" ht="12.75">
      <c r="A77" t="s">
        <v>26</v>
      </c>
    </row>
    <row r="78" spans="5:11" ht="12.75">
      <c r="E78" s="6" t="e">
        <f aca="true" t="shared" si="17" ref="D78:I79">E58+E73</f>
        <v>#REF!</v>
      </c>
      <c r="K78" s="6" t="s">
        <v>27</v>
      </c>
    </row>
    <row r="79" spans="1:11" ht="12.75">
      <c r="A79">
        <v>2008</v>
      </c>
      <c r="B79" s="6" t="e">
        <f>B59+B74</f>
        <v>#REF!</v>
      </c>
      <c r="D79" s="6" t="e">
        <f t="shared" si="17"/>
        <v>#REF!</v>
      </c>
      <c r="E79" s="6" t="e">
        <f aca="true" t="shared" si="18" ref="D79:I80">E59+E74</f>
        <v>#REF!</v>
      </c>
      <c r="F79" s="6" t="e">
        <f t="shared" si="17"/>
        <v>#REF!</v>
      </c>
      <c r="G79" s="6" t="e">
        <f t="shared" si="17"/>
        <v>#REF!</v>
      </c>
      <c r="H79" s="6" t="e">
        <f t="shared" si="17"/>
        <v>#REF!</v>
      </c>
      <c r="I79" s="6" t="e">
        <f t="shared" si="17"/>
        <v>#REF!</v>
      </c>
      <c r="J79" s="6" t="e">
        <f>SUM(B79:I79)</f>
        <v>#REF!</v>
      </c>
      <c r="K79" s="6" t="e">
        <f>J79-K59</f>
        <v>#REF!</v>
      </c>
    </row>
    <row r="80" spans="1:11" ht="12.75">
      <c r="A80">
        <v>2009</v>
      </c>
      <c r="B80" s="6" t="e">
        <f>B60+B75</f>
        <v>#REF!</v>
      </c>
      <c r="D80" s="6" t="e">
        <f t="shared" si="18"/>
        <v>#REF!</v>
      </c>
      <c r="F80" s="6" t="e">
        <f t="shared" si="18"/>
        <v>#REF!</v>
      </c>
      <c r="G80" s="6" t="e">
        <f t="shared" si="18"/>
        <v>#REF!</v>
      </c>
      <c r="H80" s="6" t="e">
        <f t="shared" si="18"/>
        <v>#REF!</v>
      </c>
      <c r="I80" s="6" t="e">
        <f t="shared" si="18"/>
        <v>#REF!</v>
      </c>
      <c r="J80" s="6" t="e">
        <f>SUM(B80:I80)</f>
        <v>#REF!</v>
      </c>
      <c r="K80" s="6" t="e">
        <f>J80-K60</f>
        <v>#REF!</v>
      </c>
    </row>
    <row r="82" ht="12.75">
      <c r="A82" t="s">
        <v>28</v>
      </c>
    </row>
    <row r="83" ht="12.75">
      <c r="E83" s="17" t="e">
        <f aca="true" t="shared" si="19" ref="D83:I84">(E58-E78)/E58</f>
        <v>#REF!</v>
      </c>
    </row>
    <row r="84" spans="1:9" ht="12.75">
      <c r="A84">
        <v>2008</v>
      </c>
      <c r="B84" s="17" t="e">
        <f>(B59-B79)/B59</f>
        <v>#REF!</v>
      </c>
      <c r="C84" s="17"/>
      <c r="D84" s="17" t="e">
        <f t="shared" si="19"/>
        <v>#REF!</v>
      </c>
      <c r="E84" s="17" t="e">
        <f aca="true" t="shared" si="20" ref="D84:I85">(E59-E79)/E59</f>
        <v>#REF!</v>
      </c>
      <c r="F84" s="17" t="e">
        <f t="shared" si="19"/>
        <v>#REF!</v>
      </c>
      <c r="G84" s="17" t="e">
        <f t="shared" si="19"/>
        <v>#REF!</v>
      </c>
      <c r="H84" s="17" t="e">
        <f t="shared" si="19"/>
        <v>#REF!</v>
      </c>
      <c r="I84" s="17" t="e">
        <f t="shared" si="19"/>
        <v>#REF!</v>
      </c>
    </row>
    <row r="85" spans="1:9" ht="12.75">
      <c r="A85">
        <v>2009</v>
      </c>
      <c r="B85" s="17" t="e">
        <f>(B60-B80)/B60</f>
        <v>#REF!</v>
      </c>
      <c r="C85" s="17"/>
      <c r="D85" s="17" t="e">
        <f t="shared" si="20"/>
        <v>#REF!</v>
      </c>
      <c r="F85" s="17" t="e">
        <f t="shared" si="20"/>
        <v>#REF!</v>
      </c>
      <c r="G85" s="17" t="e">
        <f t="shared" si="20"/>
        <v>#REF!</v>
      </c>
      <c r="H85" s="17" t="e">
        <f t="shared" si="20"/>
        <v>#REF!</v>
      </c>
      <c r="I85" s="17" t="e">
        <f t="shared" si="20"/>
        <v>#REF!</v>
      </c>
    </row>
  </sheetData>
  <sheetProtection/>
  <printOptions/>
  <pageMargins left="0.38" right="0.75" top="0.73" bottom="0.74" header="0.5" footer="0.5"/>
  <pageSetup fitToHeight="1" fitToWidth="1" horizontalDpi="600" verticalDpi="6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9" sqref="D39"/>
    </sheetView>
  </sheetViews>
  <sheetFormatPr defaultColWidth="9.140625" defaultRowHeight="12.75"/>
  <cols>
    <col min="1" max="1" width="11.00390625" style="0" customWidth="1"/>
    <col min="2" max="2" width="14.140625" style="6" bestFit="1" customWidth="1"/>
    <col min="3" max="3" width="17.7109375" style="6" customWidth="1"/>
    <col min="4" max="5" width="12.57421875" style="6" customWidth="1"/>
    <col min="6" max="7" width="12.7109375" style="6" bestFit="1" customWidth="1"/>
    <col min="8" max="8" width="11.7109375" style="6" bestFit="1" customWidth="1"/>
    <col min="9" max="9" width="10.7109375" style="6" bestFit="1" customWidth="1"/>
    <col min="10" max="11" width="9.140625" style="6" customWidth="1"/>
  </cols>
  <sheetData>
    <row r="1" spans="2:11" ht="42" customHeight="1">
      <c r="B1" s="8" t="str">
        <f>'Rate Class Customer Model'!E2</f>
        <v>General Service &gt; 50 to 4999 kW</v>
      </c>
      <c r="C1" s="8" t="str">
        <f>'Rate Class Customer Model'!F2</f>
        <v>Large Use</v>
      </c>
      <c r="D1" s="8" t="str">
        <f>'Rate Class Customer Model'!G2</f>
        <v>Streetlights </v>
      </c>
      <c r="E1" s="8" t="str">
        <f>'Rate Class Customer Model'!H2</f>
        <v>Sentinel Lights</v>
      </c>
      <c r="F1" s="6" t="s">
        <v>15</v>
      </c>
      <c r="G1" s="6" t="s">
        <v>142</v>
      </c>
      <c r="H1" s="6" t="s">
        <v>137</v>
      </c>
      <c r="I1" s="6" t="s">
        <v>138</v>
      </c>
      <c r="J1" s="6" t="s">
        <v>139</v>
      </c>
      <c r="K1" s="6" t="s">
        <v>140</v>
      </c>
    </row>
    <row r="2" spans="1:5" ht="12.75">
      <c r="A2" s="33">
        <v>1999</v>
      </c>
      <c r="B2" s="26"/>
      <c r="C2" s="26"/>
      <c r="D2" s="26"/>
      <c r="E2" s="26"/>
    </row>
    <row r="3" spans="1:11" ht="12.75">
      <c r="A3" s="33">
        <v>2000</v>
      </c>
      <c r="B3" s="54">
        <f>+'Rate Class Load Adjustments'!R7</f>
        <v>698215.64</v>
      </c>
      <c r="C3" s="54">
        <f>+'Rate Class Load Adjustments'!N7</f>
        <v>144515.36</v>
      </c>
      <c r="D3" s="54">
        <v>10344</v>
      </c>
      <c r="E3" s="54">
        <v>510</v>
      </c>
      <c r="F3" s="6">
        <f>SUM(B3:E3)</f>
        <v>853585</v>
      </c>
      <c r="G3" s="6">
        <f>+F3-'Rate Class Load Adjustments'!M7-'Rate Class Load Adjustments'!Q7</f>
        <v>853585</v>
      </c>
      <c r="H3" s="6">
        <v>5624</v>
      </c>
      <c r="I3" s="29">
        <f>+D3/H3</f>
        <v>1.8392603129445235</v>
      </c>
      <c r="J3" s="6">
        <v>76</v>
      </c>
      <c r="K3" s="29">
        <f aca="true" t="shared" si="0" ref="K3:K10">+E3/J3</f>
        <v>6.7105263157894735</v>
      </c>
    </row>
    <row r="4" spans="1:11" ht="12.75">
      <c r="A4" s="33">
        <v>2001</v>
      </c>
      <c r="B4" s="54">
        <f>+'Rate Class Load Adjustments'!R8</f>
        <v>851513.42</v>
      </c>
      <c r="C4" s="54">
        <f>+'Rate Class Load Adjustments'!N8</f>
        <v>144851.58000000002</v>
      </c>
      <c r="D4" s="54">
        <v>10600</v>
      </c>
      <c r="E4" s="54">
        <v>533</v>
      </c>
      <c r="F4" s="6">
        <f aca="true" t="shared" si="1" ref="F4:F14">SUM(B4:E4)</f>
        <v>1007498</v>
      </c>
      <c r="G4" s="6">
        <f>+F4-'Rate Class Load Adjustments'!M8-'Rate Class Load Adjustments'!Q8</f>
        <v>1007498</v>
      </c>
      <c r="H4" s="6">
        <v>5656</v>
      </c>
      <c r="I4" s="29">
        <f aca="true" t="shared" si="2" ref="I4:I10">+D4/H4</f>
        <v>1.874115983026874</v>
      </c>
      <c r="J4" s="6">
        <v>77</v>
      </c>
      <c r="K4" s="29">
        <f t="shared" si="0"/>
        <v>6.922077922077922</v>
      </c>
    </row>
    <row r="5" spans="1:11" ht="12.75">
      <c r="A5" s="33">
        <v>2002</v>
      </c>
      <c r="B5" s="54">
        <f>+'Rate Class Load Adjustments'!R9</f>
        <v>855320.1393</v>
      </c>
      <c r="C5" s="54">
        <f>+'Rate Class Load Adjustments'!N9</f>
        <v>140337.38069999998</v>
      </c>
      <c r="D5" s="54">
        <v>10477</v>
      </c>
      <c r="E5" s="54">
        <v>536</v>
      </c>
      <c r="F5" s="6">
        <f t="shared" si="1"/>
        <v>1006670.52</v>
      </c>
      <c r="G5" s="6">
        <f>+F5-'Rate Class Load Adjustments'!M9-'Rate Class Load Adjustments'!Q9</f>
        <v>1012308</v>
      </c>
      <c r="H5" s="6">
        <v>5698</v>
      </c>
      <c r="I5" s="29">
        <f t="shared" si="2"/>
        <v>1.8387153387153388</v>
      </c>
      <c r="J5" s="6">
        <v>78</v>
      </c>
      <c r="K5" s="29">
        <f t="shared" si="0"/>
        <v>6.871794871794871</v>
      </c>
    </row>
    <row r="6" spans="1:11" ht="12.75">
      <c r="A6" s="33">
        <v>2003</v>
      </c>
      <c r="B6" s="54">
        <f>+'Rate Class Load Adjustments'!R10</f>
        <v>828706.6309</v>
      </c>
      <c r="C6" s="54">
        <f>+'Rate Class Load Adjustments'!N10</f>
        <v>147826.8891</v>
      </c>
      <c r="D6" s="54">
        <v>10515</v>
      </c>
      <c r="E6" s="54">
        <v>450</v>
      </c>
      <c r="F6" s="6">
        <f t="shared" si="1"/>
        <v>987498.52</v>
      </c>
      <c r="G6" s="6">
        <f>+F6-'Rate Class Load Adjustments'!M10-'Rate Class Load Adjustments'!Q10</f>
        <v>993136.0000000001</v>
      </c>
      <c r="H6" s="6">
        <v>5699</v>
      </c>
      <c r="I6" s="29">
        <f t="shared" si="2"/>
        <v>1.8450605369363047</v>
      </c>
      <c r="J6" s="6">
        <v>77</v>
      </c>
      <c r="K6" s="29">
        <f t="shared" si="0"/>
        <v>5.8441558441558445</v>
      </c>
    </row>
    <row r="7" spans="1:11" ht="12.75">
      <c r="A7" s="33">
        <v>2004</v>
      </c>
      <c r="B7" s="54">
        <f>+'Rate Class Load Adjustments'!R11</f>
        <v>825415.0063851852</v>
      </c>
      <c r="C7" s="54">
        <f>+'Rate Class Load Adjustments'!N11</f>
        <v>148561.4988</v>
      </c>
      <c r="D7" s="54">
        <v>10524</v>
      </c>
      <c r="E7" s="54">
        <f>+(13996+13996+13996+13693+13693+13224+13224+13194+13194+13238+13238+13402+2027)/360</f>
        <v>455.875</v>
      </c>
      <c r="F7" s="6">
        <f t="shared" si="1"/>
        <v>984956.3801851852</v>
      </c>
      <c r="G7" s="6">
        <f>+F7-'Rate Class Load Adjustments'!M11-'Rate Class Load Adjustments'!Q11</f>
        <v>990593.8750000001</v>
      </c>
      <c r="H7" s="6">
        <v>5701</v>
      </c>
      <c r="I7" s="29">
        <f t="shared" si="2"/>
        <v>1.8459919312401334</v>
      </c>
      <c r="J7" s="6">
        <v>77</v>
      </c>
      <c r="K7" s="29">
        <f t="shared" si="0"/>
        <v>5.920454545454546</v>
      </c>
    </row>
    <row r="8" spans="1:11" ht="12.75">
      <c r="A8" s="33">
        <v>2005</v>
      </c>
      <c r="B8" s="54">
        <f>+'Rate Class Load Adjustments'!R12</f>
        <v>816173.1060565839</v>
      </c>
      <c r="C8" s="54">
        <f>+'Rate Class Load Adjustments'!N12</f>
        <v>144146.2968</v>
      </c>
      <c r="D8" s="54">
        <v>10550</v>
      </c>
      <c r="E8" s="54">
        <v>475</v>
      </c>
      <c r="F8" s="6">
        <f t="shared" si="1"/>
        <v>971344.4028565839</v>
      </c>
      <c r="G8" s="6">
        <f>+F8-'Rate Class Load Adjustments'!M12-'Rate Class Load Adjustments'!Q12</f>
        <v>976613.0000000001</v>
      </c>
      <c r="H8" s="6">
        <v>5740</v>
      </c>
      <c r="I8" s="29">
        <f t="shared" si="2"/>
        <v>1.8379790940766552</v>
      </c>
      <c r="J8" s="6">
        <v>82</v>
      </c>
      <c r="K8" s="29">
        <f t="shared" si="0"/>
        <v>5.7926829268292686</v>
      </c>
    </row>
    <row r="9" spans="1:11" ht="12.75">
      <c r="A9" s="33">
        <v>2006</v>
      </c>
      <c r="B9" s="54">
        <f>+'Rate Class Load Adjustments'!R13</f>
        <v>832055.7775302875</v>
      </c>
      <c r="C9" s="54">
        <f>+'Rate Class Load Adjustments'!N13</f>
        <v>149550.8157</v>
      </c>
      <c r="D9" s="54">
        <v>10562</v>
      </c>
      <c r="E9" s="54">
        <v>649</v>
      </c>
      <c r="F9" s="6">
        <f t="shared" si="1"/>
        <v>992817.5932302875</v>
      </c>
      <c r="G9" s="6">
        <f>+F9-'Rate Class Load Adjustments'!M13-'Rate Class Load Adjustments'!Q13</f>
        <v>997854</v>
      </c>
      <c r="H9" s="6">
        <v>5742</v>
      </c>
      <c r="I9" s="29">
        <f t="shared" si="2"/>
        <v>1.8394287704632533</v>
      </c>
      <c r="J9" s="6">
        <v>80</v>
      </c>
      <c r="K9" s="29">
        <f t="shared" si="0"/>
        <v>8.1125</v>
      </c>
    </row>
    <row r="10" spans="1:11" ht="12.75">
      <c r="A10" s="33">
        <v>2007</v>
      </c>
      <c r="B10" s="54">
        <f>+'Rate Class Load Adjustments'!R14</f>
        <v>853400.2087853615</v>
      </c>
      <c r="C10" s="54">
        <f>+'Rate Class Load Adjustments'!N14</f>
        <v>139780.08</v>
      </c>
      <c r="D10" s="54">
        <v>10654</v>
      </c>
      <c r="E10" s="54">
        <v>626</v>
      </c>
      <c r="F10" s="6">
        <f t="shared" si="1"/>
        <v>1004460.2887853615</v>
      </c>
      <c r="G10" s="6">
        <f>+F10-'Rate Class Load Adjustments'!M14-'Rate Class Load Adjustments'!Q14</f>
        <v>1009610</v>
      </c>
      <c r="H10" s="6">
        <v>5792</v>
      </c>
      <c r="I10" s="29">
        <f t="shared" si="2"/>
        <v>1.8394337016574585</v>
      </c>
      <c r="J10" s="6">
        <v>81</v>
      </c>
      <c r="K10" s="29">
        <f t="shared" si="0"/>
        <v>7.728395061728395</v>
      </c>
    </row>
    <row r="11" spans="1:11" ht="12.75">
      <c r="A11" s="33">
        <v>2008</v>
      </c>
      <c r="B11" s="54">
        <f>+'Rate Class Load Adjustments'!R15</f>
        <v>840461.6650362482</v>
      </c>
      <c r="C11" s="54">
        <f>+'Rate Class Load Adjustments'!N15</f>
        <v>137493.18</v>
      </c>
      <c r="D11" s="54">
        <f>3578.59+7210.66</f>
        <v>10789.25</v>
      </c>
      <c r="E11" s="54">
        <v>609</v>
      </c>
      <c r="F11" s="6">
        <f t="shared" si="1"/>
        <v>989353.0950362482</v>
      </c>
      <c r="G11" s="6">
        <f>+F11-'Rate Class Load Adjustments'!M15-'Rate Class Load Adjustments'!Q15</f>
        <v>994138.25</v>
      </c>
      <c r="H11" s="6">
        <v>5920</v>
      </c>
      <c r="I11" s="29">
        <f>+D11/H11</f>
        <v>1.822508445945946</v>
      </c>
      <c r="J11" s="6">
        <v>82</v>
      </c>
      <c r="K11" s="29">
        <f>+E11/J11</f>
        <v>7.426829268292683</v>
      </c>
    </row>
    <row r="12" spans="1:11" ht="12.75">
      <c r="A12" s="33">
        <v>2009</v>
      </c>
      <c r="B12" s="34">
        <f>'Rate Class Energy Model'!K77*'Rate Class Load Model'!B27</f>
        <v>786685.686370441</v>
      </c>
      <c r="C12" s="34">
        <f>'Rate Class Energy Model'!L77*'Rate Class Load Model'!C27</f>
        <v>130518.70999110737</v>
      </c>
      <c r="D12" s="34">
        <f>'Rate Class Energy Model'!M77*'Rate Class Load Model'!D27</f>
        <v>11165.655488714467</v>
      </c>
      <c r="E12" s="34">
        <f>'Rate Class Energy Model'!N77*'Rate Class Load Model'!E27</f>
        <v>655.8767022959777</v>
      </c>
      <c r="F12" s="6">
        <f>SUM(B12:E12)</f>
        <v>929025.9285525588</v>
      </c>
      <c r="G12" s="6">
        <f>+F12-'Rate Class Load Adjustments'!M16-'Rate Class Load Adjustments'!Q16</f>
        <v>966178.2534588925</v>
      </c>
      <c r="H12" s="6">
        <v>5956</v>
      </c>
      <c r="I12" s="29">
        <f>+D12/H12</f>
        <v>1.87469031039531</v>
      </c>
      <c r="K12" s="29"/>
    </row>
    <row r="13" spans="1:11" ht="12.75">
      <c r="A13" s="33">
        <v>2010</v>
      </c>
      <c r="B13" s="34">
        <f>'Rate Class Energy Model'!K78*'Rate Class Load Model'!B27</f>
        <v>777941.1380287008</v>
      </c>
      <c r="C13" s="34">
        <f>'Rate Class Energy Model'!L78*'Rate Class Load Model'!C27</f>
        <v>128686.70844580984</v>
      </c>
      <c r="D13" s="34">
        <f>'Rate Class Energy Model'!M78*'Rate Class Load Model'!D27</f>
        <v>11255.242531291975</v>
      </c>
      <c r="E13" s="34">
        <f>'Rate Class Energy Model'!N78*'Rate Class Load Model'!E27</f>
        <v>678.9499214711213</v>
      </c>
      <c r="F13" s="6">
        <f t="shared" si="1"/>
        <v>918562.0389272737</v>
      </c>
      <c r="G13" s="6">
        <f>+F13-'Rate Class Load Adjustments'!M17-'Rate Class Load Adjustments'!Q17</f>
        <v>918562.0389272737</v>
      </c>
      <c r="H13" s="6">
        <v>5993</v>
      </c>
      <c r="I13" s="29">
        <f>+D13/H13</f>
        <v>1.8780648308513224</v>
      </c>
      <c r="K13" s="29"/>
    </row>
    <row r="14" spans="1:6" ht="12.75">
      <c r="A14" s="23" t="s">
        <v>150</v>
      </c>
      <c r="B14" s="34">
        <f>'Rate Class Energy Model'!K79*'Rate Class Load Model'!B27</f>
        <v>782811.8339446092</v>
      </c>
      <c r="C14" s="34">
        <f>+C13</f>
        <v>128686.70844580984</v>
      </c>
      <c r="D14" s="34">
        <f>+D13</f>
        <v>11255.242531291975</v>
      </c>
      <c r="E14" s="34">
        <f>+E13</f>
        <v>678.9499214711213</v>
      </c>
      <c r="F14" s="6">
        <f t="shared" si="1"/>
        <v>923432.734843182</v>
      </c>
    </row>
    <row r="15" spans="1:6" ht="12.75">
      <c r="A15" s="22" t="s">
        <v>65</v>
      </c>
      <c r="B15" s="5"/>
      <c r="C15" s="5"/>
      <c r="D15" s="5"/>
      <c r="E15" s="5"/>
      <c r="F15" s="6">
        <f>+F14-F13</f>
        <v>4870.69591590832</v>
      </c>
    </row>
    <row r="16" spans="1:5" ht="12.75">
      <c r="A16" s="4">
        <v>1999</v>
      </c>
      <c r="B16" s="32"/>
      <c r="C16" s="32"/>
      <c r="D16" s="5"/>
      <c r="E16" s="5"/>
    </row>
    <row r="17" spans="1:5" ht="12.75">
      <c r="A17" s="4">
        <v>2000</v>
      </c>
      <c r="B17" s="32">
        <f>B3/'Rate Class Energy Model'!K11</f>
        <v>0.002262671067889999</v>
      </c>
      <c r="C17" s="32">
        <f>C3/'Rate Class Energy Model'!L11</f>
        <v>0.0019141881326671393</v>
      </c>
      <c r="D17" s="32">
        <f>D3/'Rate Class Energy Model'!M11</f>
        <v>0.0028742818463426264</v>
      </c>
      <c r="E17" s="32">
        <f>E3/'Rate Class Energy Model'!N11</f>
        <v>0.003038372861968508</v>
      </c>
    </row>
    <row r="18" spans="1:8" ht="12.75">
      <c r="A18" s="4">
        <v>2001</v>
      </c>
      <c r="B18" s="32">
        <f>B4/'Rate Class Energy Model'!K12</f>
        <v>0.0026709973050328562</v>
      </c>
      <c r="C18" s="32">
        <f>C4/'Rate Class Energy Model'!L12</f>
        <v>0.001962917538225522</v>
      </c>
      <c r="D18" s="32">
        <f>D4/'Rate Class Energy Model'!M12</f>
        <v>0.002928306223479491</v>
      </c>
      <c r="E18" s="32">
        <f>E4/'Rate Class Energy Model'!N12</f>
        <v>0.002885204663360128</v>
      </c>
      <c r="H18" s="6">
        <f>641373+1327+151+32850+105546+581+11007</f>
        <v>792835</v>
      </c>
    </row>
    <row r="19" spans="1:8" ht="12.75">
      <c r="A19" s="4">
        <v>2002</v>
      </c>
      <c r="B19" s="32">
        <f>B5/'Rate Class Energy Model'!K13</f>
        <v>0.0025365228330056708</v>
      </c>
      <c r="C19" s="32">
        <f>C5/'Rate Class Energy Model'!L13</f>
        <v>0.001941008253843947</v>
      </c>
      <c r="D19" s="32">
        <f>D5/'Rate Class Energy Model'!M13</f>
        <v>0.0028647282984490866</v>
      </c>
      <c r="E19" s="32">
        <f>E5/'Rate Class Energy Model'!N13</f>
        <v>0.002795248078266946</v>
      </c>
      <c r="H19" s="6">
        <f>793204.3+16984.3+6056.7+37028.7+146072.5+14141.1+41460.3</f>
        <v>1054947.9</v>
      </c>
    </row>
    <row r="20" spans="1:8" ht="12.75">
      <c r="A20" s="4">
        <v>2003</v>
      </c>
      <c r="B20" s="32">
        <f>B6/'Rate Class Energy Model'!K14</f>
        <v>0.002476586750480585</v>
      </c>
      <c r="C20" s="32">
        <f>C6/'Rate Class Energy Model'!L14</f>
        <v>0.0019283438072447126</v>
      </c>
      <c r="D20" s="32">
        <f>D6/'Rate Class Energy Model'!M14</f>
        <v>0.002910087834006265</v>
      </c>
      <c r="E20" s="32">
        <f>E6/'Rate Class Energy Model'!N14</f>
        <v>0.003033980582524272</v>
      </c>
      <c r="H20" s="6">
        <f>641373+1327+151+32850+105546+581+11007</f>
        <v>792835</v>
      </c>
    </row>
    <row r="21" spans="1:5" ht="12.75">
      <c r="A21" s="4">
        <v>2004</v>
      </c>
      <c r="B21" s="32">
        <f>B7/'Rate Class Energy Model'!K15</f>
        <v>0.0024420444884203367</v>
      </c>
      <c r="C21" s="32">
        <f>C7/'Rate Class Energy Model'!L15</f>
        <v>0.0019447423274877012</v>
      </c>
      <c r="D21" s="32">
        <f>D7/'Rate Class Energy Model'!M15</f>
        <v>0.002803602378639768</v>
      </c>
      <c r="E21" s="32">
        <f>E7/'Rate Class Energy Model'!N15</f>
        <v>0.0031668982285515805</v>
      </c>
    </row>
    <row r="22" spans="1:8" ht="12.75">
      <c r="A22" s="4">
        <v>2005</v>
      </c>
      <c r="B22" s="32">
        <f>B8/'Rate Class Energy Model'!K16</f>
        <v>0.0024417831008062044</v>
      </c>
      <c r="C22" s="32">
        <f>C8/'Rate Class Energy Model'!L16</f>
        <v>0.0019351140593582917</v>
      </c>
      <c r="D22" s="32">
        <f>D8/'Rate Class Energy Model'!M16</f>
        <v>0.0028759586756087626</v>
      </c>
      <c r="E22" s="32">
        <f>E8/'Rate Class Energy Model'!N16</f>
        <v>0.0027801189305614086</v>
      </c>
      <c r="H22" s="6">
        <f>826319.8+16984.3+6147.6+36882.1+161086.5+14141+41536.3</f>
        <v>1103097.6</v>
      </c>
    </row>
    <row r="23" spans="1:8" ht="12.75">
      <c r="A23" s="4">
        <v>2006</v>
      </c>
      <c r="B23" s="32">
        <f>B9/'Rate Class Energy Model'!K17</f>
        <v>0.0025376343622287825</v>
      </c>
      <c r="C23" s="32">
        <f>C9/'Rate Class Energy Model'!L17</f>
        <v>0.0019961819474402197</v>
      </c>
      <c r="D23" s="32">
        <f>D9/'Rate Class Energy Model'!M17</f>
        <v>0.002856836052719201</v>
      </c>
      <c r="E23" s="32">
        <f>E9/'Rate Class Energy Model'!N17</f>
        <v>0.002779728965718104</v>
      </c>
      <c r="H23" s="6">
        <f>644189+1387+151+30497+119343+694+11853</f>
        <v>808114</v>
      </c>
    </row>
    <row r="24" spans="1:5" ht="12.75">
      <c r="A24" s="4">
        <v>2007</v>
      </c>
      <c r="B24" s="32">
        <f>B10/'Rate Class Energy Model'!K18</f>
        <v>0.0026005338954670936</v>
      </c>
      <c r="C24" s="32">
        <f>C10/'Rate Class Energy Model'!L18</f>
        <v>0.0020083256819061353</v>
      </c>
      <c r="D24" s="32">
        <f>D10/'Rate Class Energy Model'!M18</f>
        <v>0.003024285975846021</v>
      </c>
      <c r="E24" s="32">
        <f>E10/'Rate Class Energy Model'!N18</f>
        <v>0.002776410270056903</v>
      </c>
    </row>
    <row r="25" spans="1:5" ht="12.75">
      <c r="A25" s="4">
        <v>2008</v>
      </c>
      <c r="B25" s="32">
        <f>B11/'Rate Class Energy Model'!K19</f>
        <v>0.0026856258055447425</v>
      </c>
      <c r="C25" s="32">
        <f>C11/'Rate Class Energy Model'!L19</f>
        <v>0.002039221529279327</v>
      </c>
      <c r="D25" s="32">
        <f>D11/'Rate Class Energy Model'!M19</f>
        <v>0.002808071985335588</v>
      </c>
      <c r="E25" s="32">
        <f>E11/'Rate Class Energy Model'!N19</f>
        <v>0.0027806949454362816</v>
      </c>
    </row>
    <row r="26" ht="12.75">
      <c r="H26" s="6">
        <f>1155.6*12</f>
        <v>13867.199999999999</v>
      </c>
    </row>
    <row r="27" spans="1:5" ht="12.75">
      <c r="A27" t="s">
        <v>20</v>
      </c>
      <c r="B27" s="32">
        <f>AVERAGE(B17:B25)</f>
        <v>0.0025171555120973637</v>
      </c>
      <c r="C27" s="32">
        <f>AVERAGE(C17:C25)</f>
        <v>0.0019633381419392215</v>
      </c>
      <c r="D27" s="32">
        <f>AVERAGE(D17:D25)</f>
        <v>0.0028829065856029786</v>
      </c>
      <c r="E27" s="32">
        <f>AVERAGE(E17:E25)</f>
        <v>0.0028929619473826813</v>
      </c>
    </row>
    <row r="34" spans="2:5" ht="12.75">
      <c r="B34" s="30"/>
      <c r="C34" s="30"/>
      <c r="D34" s="30"/>
      <c r="E34" s="30"/>
    </row>
    <row r="35" spans="2:5" ht="12.75">
      <c r="B35" s="30"/>
      <c r="C35" s="30"/>
      <c r="D35" s="30"/>
      <c r="E35" s="30"/>
    </row>
    <row r="54" spans="2:5" ht="12.75">
      <c r="B54" s="17"/>
      <c r="C54" s="17"/>
      <c r="D54" s="17"/>
      <c r="E54" s="17"/>
    </row>
    <row r="55" spans="2:5" ht="12.75">
      <c r="B55" s="17"/>
      <c r="C55" s="17"/>
      <c r="D55" s="17"/>
      <c r="E55" s="17"/>
    </row>
  </sheetData>
  <sheetProtection/>
  <printOptions/>
  <pageMargins left="0.38" right="0.75" top="0.73" bottom="0.74" header="0.5" footer="0.5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79"/>
  <sheetViews>
    <sheetView zoomScalePageLayoutView="0" workbookViewId="0" topLeftCell="A1">
      <selection activeCell="E24" sqref="E24"/>
    </sheetView>
  </sheetViews>
  <sheetFormatPr defaultColWidth="9.140625" defaultRowHeight="12.75"/>
  <cols>
    <col min="4" max="4" width="13.57421875" style="0" customWidth="1"/>
    <col min="5" max="5" width="15.140625" style="0" customWidth="1"/>
    <col min="6" max="6" width="15.7109375" style="0" customWidth="1"/>
    <col min="7" max="7" width="15.00390625" style="0" customWidth="1"/>
    <col min="8" max="8" width="14.8515625" style="0" customWidth="1"/>
    <col min="9" max="9" width="16.140625" style="0" customWidth="1"/>
    <col min="12" max="12" width="11.28125" style="0" bestFit="1" customWidth="1"/>
    <col min="13" max="13" width="12.8515625" style="0" customWidth="1"/>
    <col min="14" max="14" width="14.140625" style="0" customWidth="1"/>
    <col min="16" max="16" width="11.28125" style="0" bestFit="1" customWidth="1"/>
    <col min="17" max="17" width="12.8515625" style="0" bestFit="1" customWidth="1"/>
    <col min="18" max="18" width="11.28125" style="0" bestFit="1" customWidth="1"/>
  </cols>
  <sheetData>
    <row r="1" ht="12.75">
      <c r="A1" t="s">
        <v>73</v>
      </c>
    </row>
    <row r="2" ht="12.75">
      <c r="A2" t="s">
        <v>80</v>
      </c>
    </row>
    <row r="4" ht="12.75">
      <c r="L4" s="72" t="s">
        <v>128</v>
      </c>
    </row>
    <row r="5" spans="4:18" ht="12.75">
      <c r="D5" t="s">
        <v>75</v>
      </c>
      <c r="E5" t="s">
        <v>77</v>
      </c>
      <c r="G5" t="s">
        <v>75</v>
      </c>
      <c r="H5" t="s">
        <v>77</v>
      </c>
      <c r="L5" t="s">
        <v>75</v>
      </c>
      <c r="M5" s="16" t="s">
        <v>129</v>
      </c>
      <c r="N5" s="16" t="s">
        <v>83</v>
      </c>
      <c r="P5" t="s">
        <v>77</v>
      </c>
      <c r="Q5" s="16" t="s">
        <v>129</v>
      </c>
      <c r="R5" s="16" t="s">
        <v>133</v>
      </c>
    </row>
    <row r="6" spans="4:18" ht="12.75">
      <c r="D6" s="16" t="s">
        <v>135</v>
      </c>
      <c r="E6" s="16" t="s">
        <v>136</v>
      </c>
      <c r="F6" t="s">
        <v>15</v>
      </c>
      <c r="G6" s="16" t="s">
        <v>132</v>
      </c>
      <c r="H6" s="16" t="s">
        <v>132</v>
      </c>
      <c r="I6" t="s">
        <v>15</v>
      </c>
      <c r="L6" s="16" t="s">
        <v>134</v>
      </c>
      <c r="M6" s="16" t="s">
        <v>130</v>
      </c>
      <c r="N6" s="16" t="s">
        <v>131</v>
      </c>
      <c r="P6" s="16" t="s">
        <v>134</v>
      </c>
      <c r="Q6" s="16" t="s">
        <v>130</v>
      </c>
      <c r="R6" s="16" t="s">
        <v>131</v>
      </c>
    </row>
    <row r="7" spans="1:18" ht="12.75">
      <c r="A7" t="s">
        <v>81</v>
      </c>
      <c r="B7">
        <v>2000</v>
      </c>
      <c r="D7" s="61">
        <v>86925</v>
      </c>
      <c r="E7" s="61">
        <v>755806</v>
      </c>
      <c r="F7" s="61">
        <f>+E7+D7</f>
        <v>842731</v>
      </c>
      <c r="G7" s="61">
        <f>+D7+D123</f>
        <v>144515.36</v>
      </c>
      <c r="H7" s="61">
        <f>+E7-D123</f>
        <v>698215.64</v>
      </c>
      <c r="I7" s="61">
        <f aca="true" t="shared" si="0" ref="I7:I14">+H7+G7</f>
        <v>842731</v>
      </c>
      <c r="L7" s="61">
        <f>+G7</f>
        <v>144515.36</v>
      </c>
      <c r="M7">
        <v>0</v>
      </c>
      <c r="N7" s="61">
        <f>+M7+L7</f>
        <v>144515.36</v>
      </c>
      <c r="P7" s="61">
        <f>+H7</f>
        <v>698215.64</v>
      </c>
      <c r="Q7" s="61">
        <f>-R64</f>
        <v>0</v>
      </c>
      <c r="R7" s="61">
        <f>+P7+Q7</f>
        <v>698215.64</v>
      </c>
    </row>
    <row r="8" spans="2:18" ht="12.75">
      <c r="B8">
        <v>2001</v>
      </c>
      <c r="D8" s="61">
        <v>84764</v>
      </c>
      <c r="E8" s="61">
        <f>849437+39294+22870</f>
        <v>911601</v>
      </c>
      <c r="F8" s="61">
        <f aca="true" t="shared" si="1" ref="F8:F15">+E8+D8</f>
        <v>996365</v>
      </c>
      <c r="G8" s="61">
        <f>+D8+D109</f>
        <v>144851.58000000002</v>
      </c>
      <c r="H8" s="61">
        <f>+E8-D109</f>
        <v>851513.42</v>
      </c>
      <c r="I8" s="61">
        <f t="shared" si="0"/>
        <v>996365</v>
      </c>
      <c r="L8" s="61">
        <f>+G8</f>
        <v>144851.58000000002</v>
      </c>
      <c r="M8">
        <v>0</v>
      </c>
      <c r="N8" s="61">
        <f>+M8+L8</f>
        <v>144851.58000000002</v>
      </c>
      <c r="P8" s="61">
        <f>+H8</f>
        <v>851513.42</v>
      </c>
      <c r="Q8" s="61">
        <f>-R65</f>
        <v>0</v>
      </c>
      <c r="R8" s="61">
        <f>+P8+Q8</f>
        <v>851513.42</v>
      </c>
    </row>
    <row r="9" spans="2:18" ht="12.75">
      <c r="B9">
        <v>2002</v>
      </c>
      <c r="D9" s="61">
        <v>86687</v>
      </c>
      <c r="E9" s="61">
        <v>914608</v>
      </c>
      <c r="F9" s="61">
        <f t="shared" si="1"/>
        <v>1001295</v>
      </c>
      <c r="G9" s="61">
        <f>+D9+D95</f>
        <v>141754.93</v>
      </c>
      <c r="H9" s="61">
        <f>+E9-D95</f>
        <v>859540.0700000001</v>
      </c>
      <c r="I9" s="61">
        <f t="shared" si="0"/>
        <v>1001295</v>
      </c>
      <c r="L9" s="61">
        <f>+G9</f>
        <v>141754.93</v>
      </c>
      <c r="M9" s="61">
        <f>-L9*0.01</f>
        <v>-1417.5493</v>
      </c>
      <c r="N9" s="61">
        <f>+M9+L9</f>
        <v>140337.38069999998</v>
      </c>
      <c r="P9" s="61">
        <f>+H9</f>
        <v>859540.0700000001</v>
      </c>
      <c r="Q9" s="61">
        <f>-R66</f>
        <v>-4219.930700000001</v>
      </c>
      <c r="R9" s="61">
        <f>+P9+Q9</f>
        <v>855320.1393</v>
      </c>
    </row>
    <row r="10" spans="2:18" ht="12.75">
      <c r="B10">
        <v>2003</v>
      </c>
      <c r="D10" s="61">
        <v>84448</v>
      </c>
      <c r="E10" s="61">
        <f>897761-38</f>
        <v>897723</v>
      </c>
      <c r="F10" s="61">
        <f t="shared" si="1"/>
        <v>982171</v>
      </c>
      <c r="G10" s="61">
        <f>+D10+D80</f>
        <v>149320.09</v>
      </c>
      <c r="H10" s="61">
        <f>+E10-D80</f>
        <v>832850.91</v>
      </c>
      <c r="I10" s="61">
        <f t="shared" si="0"/>
        <v>982171</v>
      </c>
      <c r="L10" s="61">
        <f aca="true" t="shared" si="2" ref="L10:L15">+G10</f>
        <v>149320.09</v>
      </c>
      <c r="M10" s="61">
        <f aca="true" t="shared" si="3" ref="M10:M15">-L10*0.01</f>
        <v>-1493.2009</v>
      </c>
      <c r="N10" s="61">
        <f aca="true" t="shared" si="4" ref="N10:N15">+M10+L10</f>
        <v>147826.8891</v>
      </c>
      <c r="P10" s="61">
        <f aca="true" t="shared" si="5" ref="P10:P15">+H10</f>
        <v>832850.91</v>
      </c>
      <c r="Q10" s="61">
        <f>-R62</f>
        <v>-4144.279100000001</v>
      </c>
      <c r="R10" s="61">
        <f aca="true" t="shared" si="6" ref="R10:R15">+P10+Q10</f>
        <v>828706.6309</v>
      </c>
    </row>
    <row r="11" spans="2:18" ht="12.75">
      <c r="B11">
        <v>2004</v>
      </c>
      <c r="D11" s="61">
        <v>82960</v>
      </c>
      <c r="E11" s="61">
        <f>895831+823</f>
        <v>896654</v>
      </c>
      <c r="F11" s="61">
        <f t="shared" si="1"/>
        <v>979614</v>
      </c>
      <c r="G11" s="61">
        <f>+D11+D66</f>
        <v>150062.12</v>
      </c>
      <c r="H11" s="61">
        <f>+E11-D66</f>
        <v>829551.88</v>
      </c>
      <c r="I11" s="61">
        <f t="shared" si="0"/>
        <v>979614</v>
      </c>
      <c r="L11" s="61">
        <f t="shared" si="2"/>
        <v>150062.12</v>
      </c>
      <c r="M11" s="61">
        <f t="shared" si="3"/>
        <v>-1500.6212</v>
      </c>
      <c r="N11" s="61">
        <f t="shared" si="4"/>
        <v>148561.4988</v>
      </c>
      <c r="P11" s="61">
        <f t="shared" si="5"/>
        <v>829551.88</v>
      </c>
      <c r="Q11" s="61">
        <f>-R56</f>
        <v>-4136.873614814815</v>
      </c>
      <c r="R11" s="61">
        <f t="shared" si="6"/>
        <v>825415.0063851852</v>
      </c>
    </row>
    <row r="12" spans="2:18" ht="12.75">
      <c r="B12">
        <v>2005</v>
      </c>
      <c r="D12" s="61">
        <v>80495</v>
      </c>
      <c r="E12" s="61">
        <v>885093</v>
      </c>
      <c r="F12" s="61">
        <f t="shared" si="1"/>
        <v>965588</v>
      </c>
      <c r="G12" s="61">
        <f>+D12+D51</f>
        <v>145602.32</v>
      </c>
      <c r="H12" s="61">
        <f>+E12-D51</f>
        <v>819985.68</v>
      </c>
      <c r="I12" s="61">
        <f t="shared" si="0"/>
        <v>965588</v>
      </c>
      <c r="L12" s="61">
        <f t="shared" si="2"/>
        <v>145602.32</v>
      </c>
      <c r="M12" s="61">
        <f t="shared" si="3"/>
        <v>-1456.0232</v>
      </c>
      <c r="N12" s="61">
        <f t="shared" si="4"/>
        <v>144146.2968</v>
      </c>
      <c r="P12" s="61">
        <f t="shared" si="5"/>
        <v>819985.68</v>
      </c>
      <c r="Q12" s="61">
        <f>-R49</f>
        <v>-3812.573943416162</v>
      </c>
      <c r="R12" s="61">
        <f t="shared" si="6"/>
        <v>816173.1060565839</v>
      </c>
    </row>
    <row r="13" spans="2:18" ht="12.75">
      <c r="B13">
        <v>2006</v>
      </c>
      <c r="D13" s="61">
        <v>117469</v>
      </c>
      <c r="E13" s="61">
        <v>869174</v>
      </c>
      <c r="F13" s="61">
        <f t="shared" si="1"/>
        <v>986643</v>
      </c>
      <c r="G13" s="61">
        <f>+D13+D37</f>
        <v>151061.43</v>
      </c>
      <c r="H13" s="61">
        <f>+E13-D37</f>
        <v>835581.57</v>
      </c>
      <c r="I13" s="61">
        <f t="shared" si="0"/>
        <v>986643</v>
      </c>
      <c r="L13" s="61">
        <f t="shared" si="2"/>
        <v>151061.43</v>
      </c>
      <c r="M13" s="61">
        <f t="shared" si="3"/>
        <v>-1510.6143</v>
      </c>
      <c r="N13" s="61">
        <f t="shared" si="4"/>
        <v>149550.8157</v>
      </c>
      <c r="P13" s="61">
        <f t="shared" si="5"/>
        <v>835581.57</v>
      </c>
      <c r="Q13" s="61">
        <f>-R43</f>
        <v>-3525.7924697123844</v>
      </c>
      <c r="R13" s="61">
        <f t="shared" si="6"/>
        <v>832055.7775302875</v>
      </c>
    </row>
    <row r="14" spans="2:18" ht="12.75">
      <c r="B14">
        <v>2007</v>
      </c>
      <c r="D14" s="61">
        <v>141192</v>
      </c>
      <c r="E14" s="61">
        <v>857138</v>
      </c>
      <c r="F14" s="61">
        <f t="shared" si="1"/>
        <v>998330</v>
      </c>
      <c r="G14" s="61">
        <f>+D14</f>
        <v>141192</v>
      </c>
      <c r="H14" s="61">
        <f>+E14</f>
        <v>857138</v>
      </c>
      <c r="I14" s="61">
        <f t="shared" si="0"/>
        <v>998330</v>
      </c>
      <c r="L14" s="61">
        <f t="shared" si="2"/>
        <v>141192</v>
      </c>
      <c r="M14" s="61">
        <f t="shared" si="3"/>
        <v>-1411.92</v>
      </c>
      <c r="N14" s="61">
        <f t="shared" si="4"/>
        <v>139780.08</v>
      </c>
      <c r="P14" s="61">
        <f t="shared" si="5"/>
        <v>857138</v>
      </c>
      <c r="Q14" s="61">
        <f>-R37</f>
        <v>-3737.791214638455</v>
      </c>
      <c r="R14" s="61">
        <f t="shared" si="6"/>
        <v>853400.2087853615</v>
      </c>
    </row>
    <row r="15" spans="2:18" ht="12.75">
      <c r="B15">
        <v>2008</v>
      </c>
      <c r="D15" s="61">
        <v>138882</v>
      </c>
      <c r="E15" s="61">
        <f>844454-596</f>
        <v>843858</v>
      </c>
      <c r="F15" s="61">
        <f t="shared" si="1"/>
        <v>982740</v>
      </c>
      <c r="G15" s="61">
        <f>+D15</f>
        <v>138882</v>
      </c>
      <c r="H15" s="61">
        <f>+E15</f>
        <v>843858</v>
      </c>
      <c r="I15" s="61">
        <f>+H15+G15</f>
        <v>982740</v>
      </c>
      <c r="L15" s="61">
        <f t="shared" si="2"/>
        <v>138882</v>
      </c>
      <c r="M15" s="61">
        <f t="shared" si="3"/>
        <v>-1388.82</v>
      </c>
      <c r="N15" s="61">
        <f t="shared" si="4"/>
        <v>137493.18</v>
      </c>
      <c r="P15" s="61">
        <f t="shared" si="5"/>
        <v>843858</v>
      </c>
      <c r="Q15" s="61">
        <f>-+R30</f>
        <v>-3396.334963751895</v>
      </c>
      <c r="R15" s="61">
        <f t="shared" si="6"/>
        <v>840461.6650362482</v>
      </c>
    </row>
    <row r="16" spans="4:17" ht="12.75">
      <c r="D16" t="s">
        <v>75</v>
      </c>
      <c r="E16" t="s">
        <v>77</v>
      </c>
      <c r="G16" t="s">
        <v>75</v>
      </c>
      <c r="H16" t="s">
        <v>77</v>
      </c>
      <c r="M16" s="61">
        <f>SUM(M9:M15)</f>
        <v>-10178.748899999999</v>
      </c>
      <c r="Q16" s="61">
        <f>SUM(Q9:Q15)</f>
        <v>-26973.57600633371</v>
      </c>
    </row>
    <row r="17" spans="4:9" ht="12.75">
      <c r="D17" t="s">
        <v>76</v>
      </c>
      <c r="E17" t="s">
        <v>78</v>
      </c>
      <c r="F17" t="s">
        <v>15</v>
      </c>
      <c r="G17" t="s">
        <v>79</v>
      </c>
      <c r="H17" t="s">
        <v>79</v>
      </c>
      <c r="I17" t="s">
        <v>15</v>
      </c>
    </row>
    <row r="18" spans="1:9" ht="12.75">
      <c r="A18" t="s">
        <v>82</v>
      </c>
      <c r="B18">
        <v>2000</v>
      </c>
      <c r="D18" s="61">
        <v>46846614</v>
      </c>
      <c r="E18" s="61">
        <v>337230599</v>
      </c>
      <c r="F18" s="61">
        <f aca="true" t="shared" si="7" ref="F18:F26">+E18+D18</f>
        <v>384077213</v>
      </c>
      <c r="G18" s="61">
        <f>+D18+F123</f>
        <v>75496947</v>
      </c>
      <c r="H18" s="61">
        <f>+E18-F123</f>
        <v>308580266</v>
      </c>
      <c r="I18" s="61">
        <f aca="true" t="shared" si="8" ref="I18:I26">+H18+G18</f>
        <v>384077213</v>
      </c>
    </row>
    <row r="19" spans="2:9" ht="12.75">
      <c r="B19">
        <v>2001</v>
      </c>
      <c r="D19" s="61">
        <v>45899076</v>
      </c>
      <c r="E19" s="61">
        <f>335193358+11501393</f>
        <v>346694751</v>
      </c>
      <c r="F19" s="61">
        <f t="shared" si="7"/>
        <v>392593827</v>
      </c>
      <c r="G19" s="61">
        <f>+D19+F109</f>
        <v>73794022</v>
      </c>
      <c r="H19" s="61">
        <f>+E19-F109</f>
        <v>318799805</v>
      </c>
      <c r="I19" s="61">
        <f t="shared" si="8"/>
        <v>392593827</v>
      </c>
    </row>
    <row r="20" spans="2:12" ht="12.75">
      <c r="B20">
        <v>2002</v>
      </c>
      <c r="D20" s="61">
        <v>46335526</v>
      </c>
      <c r="E20" s="61">
        <f>433869369-'Rate Class Energy Model'!J13-'Rate Class Energy Model'!O13</f>
        <v>363167583</v>
      </c>
      <c r="F20" s="61">
        <f t="shared" si="7"/>
        <v>409503109</v>
      </c>
      <c r="G20" s="61">
        <f>+D20+F95</f>
        <v>72301279.72</v>
      </c>
      <c r="H20" s="61">
        <f>+E20-F95</f>
        <v>337201829.28</v>
      </c>
      <c r="I20" s="61">
        <f t="shared" si="8"/>
        <v>409503109</v>
      </c>
      <c r="L20" s="16" t="s">
        <v>108</v>
      </c>
    </row>
    <row r="21" spans="2:9" ht="12.75">
      <c r="B21">
        <v>2003</v>
      </c>
      <c r="D21" s="61">
        <v>44864637</v>
      </c>
      <c r="E21" s="61">
        <v>366411826</v>
      </c>
      <c r="F21" s="61">
        <f t="shared" si="7"/>
        <v>411276463</v>
      </c>
      <c r="G21" s="61">
        <f>+D21+F80</f>
        <v>76660027.4</v>
      </c>
      <c r="H21" s="61">
        <f>+E21-F80</f>
        <v>334616435.6</v>
      </c>
      <c r="I21" s="61">
        <f t="shared" si="8"/>
        <v>411276463</v>
      </c>
    </row>
    <row r="22" spans="2:9" ht="12.75">
      <c r="B22">
        <v>2004</v>
      </c>
      <c r="D22" s="61">
        <v>43466758</v>
      </c>
      <c r="E22" s="61">
        <v>370926221</v>
      </c>
      <c r="F22" s="61">
        <f t="shared" si="7"/>
        <v>414392979</v>
      </c>
      <c r="G22" s="61">
        <f>+D22+F66</f>
        <v>76391353.60000001</v>
      </c>
      <c r="H22" s="61">
        <f>+E22-F66</f>
        <v>338001625.4</v>
      </c>
      <c r="I22" s="61">
        <f t="shared" si="8"/>
        <v>414392979</v>
      </c>
    </row>
    <row r="23" spans="2:16" ht="12.75">
      <c r="B23">
        <v>2005</v>
      </c>
      <c r="D23" s="61">
        <v>44395271</v>
      </c>
      <c r="E23" s="61">
        <v>364347458</v>
      </c>
      <c r="F23" s="61">
        <f t="shared" si="7"/>
        <v>408742729</v>
      </c>
      <c r="G23" s="61">
        <f>+D23+F51</f>
        <v>74489819.39999999</v>
      </c>
      <c r="H23" s="61">
        <f>+E23-F51</f>
        <v>334252909.6</v>
      </c>
      <c r="I23" s="61">
        <f t="shared" si="8"/>
        <v>408742729</v>
      </c>
      <c r="P23" s="16" t="s">
        <v>29</v>
      </c>
    </row>
    <row r="24" spans="2:17" ht="12.75">
      <c r="B24">
        <v>2006</v>
      </c>
      <c r="D24" s="61">
        <v>59612933</v>
      </c>
      <c r="E24" s="61">
        <v>343191889</v>
      </c>
      <c r="F24" s="61">
        <f t="shared" si="7"/>
        <v>402804822</v>
      </c>
      <c r="G24" s="61">
        <f>+D24+F37</f>
        <v>74918429.1</v>
      </c>
      <c r="H24" s="61">
        <f>+E24-F37</f>
        <v>327886392.9</v>
      </c>
      <c r="I24" s="61">
        <f t="shared" si="8"/>
        <v>402804822</v>
      </c>
      <c r="P24" s="16" t="s">
        <v>111</v>
      </c>
      <c r="Q24" s="16" t="s">
        <v>70</v>
      </c>
    </row>
    <row r="25" spans="2:18" ht="12.75">
      <c r="B25">
        <v>2007</v>
      </c>
      <c r="D25" s="61">
        <v>69600305</v>
      </c>
      <c r="E25" s="61">
        <v>328163463</v>
      </c>
      <c r="F25" s="61">
        <f t="shared" si="7"/>
        <v>397763768</v>
      </c>
      <c r="G25" s="61">
        <f>+D25</f>
        <v>69600305</v>
      </c>
      <c r="H25" s="61">
        <f>+E25</f>
        <v>328163463</v>
      </c>
      <c r="I25" s="61">
        <f t="shared" si="8"/>
        <v>397763768</v>
      </c>
      <c r="L25" s="72">
        <v>2008</v>
      </c>
      <c r="N25" s="16" t="s">
        <v>84</v>
      </c>
      <c r="O25" s="16" t="s">
        <v>102</v>
      </c>
      <c r="P25" s="16" t="s">
        <v>112</v>
      </c>
      <c r="Q25" s="16" t="s">
        <v>113</v>
      </c>
      <c r="R25" s="16" t="s">
        <v>114</v>
      </c>
    </row>
    <row r="26" spans="2:18" ht="12.75">
      <c r="B26">
        <v>2008</v>
      </c>
      <c r="D26" s="61">
        <v>67424347</v>
      </c>
      <c r="E26" s="61">
        <v>312948164</v>
      </c>
      <c r="F26" s="61">
        <f t="shared" si="7"/>
        <v>380372511</v>
      </c>
      <c r="G26" s="61">
        <f>+D26</f>
        <v>67424347</v>
      </c>
      <c r="H26" s="61">
        <f>+E26</f>
        <v>312948164</v>
      </c>
      <c r="I26" s="61">
        <f t="shared" si="8"/>
        <v>380372511</v>
      </c>
      <c r="L26" s="72"/>
      <c r="N26" s="16"/>
      <c r="O26" s="16"/>
      <c r="P26" s="16"/>
      <c r="Q26" s="16"/>
      <c r="R26" s="16"/>
    </row>
    <row r="28" spans="3:16" ht="12.75">
      <c r="C28" s="74" t="s">
        <v>127</v>
      </c>
      <c r="L28" s="16" t="s">
        <v>109</v>
      </c>
      <c r="N28" s="61">
        <f>848.82+819.88+837.81+917.49</f>
        <v>3424</v>
      </c>
      <c r="O28">
        <f>2.2732-0.2085</f>
        <v>2.0647</v>
      </c>
      <c r="P28">
        <f>+N28/O28</f>
        <v>1658.352302998014</v>
      </c>
    </row>
    <row r="29" spans="4:16" ht="12.75">
      <c r="D29" t="s">
        <v>71</v>
      </c>
      <c r="F29" t="s">
        <v>72</v>
      </c>
      <c r="L29" s="16" t="s">
        <v>110</v>
      </c>
      <c r="N29" s="61">
        <f>797.43+806.3+943.17+936.26+948.09+924.55+828.66+866.48</f>
        <v>7050.9400000000005</v>
      </c>
      <c r="O29">
        <v>2.255</v>
      </c>
      <c r="P29">
        <f>+N29/O29</f>
        <v>3126.8026607538804</v>
      </c>
    </row>
    <row r="30" spans="2:18" ht="13.5" thickBot="1">
      <c r="B30">
        <v>2006</v>
      </c>
      <c r="C30" s="60">
        <v>39635</v>
      </c>
      <c r="D30" t="s">
        <v>74</v>
      </c>
      <c r="N30" s="62">
        <f>+N29+N28</f>
        <v>10474.94</v>
      </c>
      <c r="P30" s="62">
        <f>+P29+P28</f>
        <v>4785.154963751895</v>
      </c>
      <c r="Q30" s="62">
        <f>+L15*0.01</f>
        <v>1388.82</v>
      </c>
      <c r="R30" s="62">
        <f>+P30-Q30</f>
        <v>3396.334963751895</v>
      </c>
    </row>
    <row r="31" spans="3:14" ht="13.5" thickTop="1">
      <c r="C31" s="60">
        <v>39605</v>
      </c>
      <c r="D31" s="61">
        <v>5564.16</v>
      </c>
      <c r="E31" s="61"/>
      <c r="F31" s="61">
        <v>2809008.1</v>
      </c>
      <c r="N31" s="61"/>
    </row>
    <row r="32" spans="3:14" ht="12.75">
      <c r="C32" s="60">
        <v>39574</v>
      </c>
      <c r="D32" s="61">
        <v>5529.6</v>
      </c>
      <c r="E32" s="61"/>
      <c r="F32" s="61">
        <v>2468433.6</v>
      </c>
      <c r="N32" s="61"/>
    </row>
    <row r="33" spans="3:14" ht="12.75">
      <c r="C33" s="60">
        <v>39544</v>
      </c>
      <c r="D33" s="61">
        <v>5408.64</v>
      </c>
      <c r="E33" s="61"/>
      <c r="F33" s="61">
        <v>2639083.2</v>
      </c>
      <c r="L33" s="72">
        <v>2007</v>
      </c>
      <c r="N33" s="61"/>
    </row>
    <row r="34" spans="3:14" ht="12.75">
      <c r="C34" s="60">
        <v>39513</v>
      </c>
      <c r="D34" s="61">
        <v>5495.04</v>
      </c>
      <c r="E34" s="61"/>
      <c r="F34" s="61">
        <v>2647368</v>
      </c>
      <c r="N34" s="61"/>
    </row>
    <row r="35" spans="3:16" ht="12.75">
      <c r="C35" s="60">
        <v>39484</v>
      </c>
      <c r="D35" s="61">
        <v>6220.8</v>
      </c>
      <c r="E35" s="61"/>
      <c r="F35" s="61">
        <v>2120808</v>
      </c>
      <c r="L35" s="16" t="s">
        <v>115</v>
      </c>
      <c r="N35" s="61">
        <f>867.98+871.78+882.28+868.42+0</f>
        <v>3490.46</v>
      </c>
      <c r="O35" s="16">
        <f>2.2529-0.2085</f>
        <v>2.0444</v>
      </c>
      <c r="P35">
        <f>+N35/O35</f>
        <v>1707.3273332028957</v>
      </c>
    </row>
    <row r="36" spans="3:16" ht="12.75">
      <c r="C36" s="60">
        <v>39453</v>
      </c>
      <c r="D36" s="61">
        <v>5374.19</v>
      </c>
      <c r="E36" s="61"/>
      <c r="F36" s="61">
        <v>2620795.2</v>
      </c>
      <c r="L36" s="16" t="s">
        <v>116</v>
      </c>
      <c r="N36" s="61">
        <f>875.48+911.52+912.64+897.76+885.47+886.1+863.29+875.23</f>
        <v>7107.49</v>
      </c>
      <c r="O36">
        <f>+O28</f>
        <v>2.0647</v>
      </c>
      <c r="P36">
        <f>+N36/O36</f>
        <v>3442.383881435559</v>
      </c>
    </row>
    <row r="37" spans="2:18" ht="13.5" thickBot="1">
      <c r="B37">
        <v>2006</v>
      </c>
      <c r="D37" s="62">
        <f>SUM(D31:D36)</f>
        <v>33592.43</v>
      </c>
      <c r="E37" s="61"/>
      <c r="F37" s="62">
        <f>SUM(F31:F36)</f>
        <v>15305496.100000001</v>
      </c>
      <c r="L37" s="16"/>
      <c r="N37" s="62">
        <f>+N36+N35</f>
        <v>10597.95</v>
      </c>
      <c r="P37" s="62">
        <f>+P36+P35</f>
        <v>5149.711214638455</v>
      </c>
      <c r="Q37" s="62">
        <f>+L14*0.01</f>
        <v>1411.92</v>
      </c>
      <c r="R37" s="62">
        <f>+P37-Q37</f>
        <v>3737.791214638455</v>
      </c>
    </row>
    <row r="38" spans="4:14" ht="13.5" thickTop="1">
      <c r="D38" s="61"/>
      <c r="E38" s="61"/>
      <c r="F38" s="61"/>
      <c r="L38" s="16"/>
      <c r="N38" s="61"/>
    </row>
    <row r="39" spans="2:14" ht="12.75">
      <c r="B39">
        <v>2005</v>
      </c>
      <c r="C39" s="60">
        <v>39787</v>
      </c>
      <c r="D39" s="61">
        <v>5372.52</v>
      </c>
      <c r="E39" s="61"/>
      <c r="F39" s="61">
        <v>2688532.8</v>
      </c>
      <c r="L39" s="72">
        <v>2006</v>
      </c>
      <c r="N39" s="61"/>
    </row>
    <row r="40" spans="3:14" ht="12.75">
      <c r="C40" s="60">
        <v>39757</v>
      </c>
      <c r="D40" s="61">
        <v>5445.72</v>
      </c>
      <c r="E40" s="61"/>
      <c r="F40" s="61">
        <v>2723884.8</v>
      </c>
      <c r="N40" s="61"/>
    </row>
    <row r="41" spans="3:16" ht="12.75">
      <c r="C41" s="60">
        <v>39726</v>
      </c>
      <c r="D41" s="61">
        <v>5607.7</v>
      </c>
      <c r="E41" s="61"/>
      <c r="F41" s="61">
        <v>2778168</v>
      </c>
      <c r="L41" s="16" t="s">
        <v>117</v>
      </c>
      <c r="N41" s="61">
        <f>819.65+842.26+815.17+839.82</f>
        <v>3316.9</v>
      </c>
      <c r="O41" s="16">
        <f>2.2529-0.2085</f>
        <v>2.0444</v>
      </c>
      <c r="P41">
        <f>+N41/O41</f>
        <v>1622.4320093915085</v>
      </c>
    </row>
    <row r="42" spans="3:16" ht="12.75">
      <c r="C42" s="60">
        <v>39696</v>
      </c>
      <c r="D42" s="61">
        <v>5420.33</v>
      </c>
      <c r="E42" s="61"/>
      <c r="F42" s="61">
        <v>1756621</v>
      </c>
      <c r="L42" s="16" t="s">
        <v>118</v>
      </c>
      <c r="N42" s="61">
        <f>835.26+863.59+893.83+879.43+900.66+903.49+871.05+832.22</f>
        <v>6979.53</v>
      </c>
      <c r="O42">
        <f>+O35</f>
        <v>2.0444</v>
      </c>
      <c r="P42">
        <f>+N42/O42</f>
        <v>3413.9747603208766</v>
      </c>
    </row>
    <row r="43" spans="3:18" ht="13.5" thickBot="1">
      <c r="C43" s="60">
        <v>39665</v>
      </c>
      <c r="D43" s="61">
        <v>5506.34</v>
      </c>
      <c r="E43" s="61"/>
      <c r="F43" s="61">
        <v>1982563</v>
      </c>
      <c r="N43" s="62">
        <f>+N42+N41</f>
        <v>10296.43</v>
      </c>
      <c r="P43" s="62">
        <f>+P42+P41</f>
        <v>5036.406769712385</v>
      </c>
      <c r="Q43" s="62">
        <f>+L13*0.01</f>
        <v>1510.6143</v>
      </c>
      <c r="R43" s="62">
        <f>+P43-Q43</f>
        <v>3525.7924697123844</v>
      </c>
    </row>
    <row r="44" spans="3:14" ht="13.5" thickTop="1">
      <c r="C44" s="60">
        <v>39634</v>
      </c>
      <c r="D44" s="61">
        <v>5589.16</v>
      </c>
      <c r="E44" s="61"/>
      <c r="F44" s="61">
        <v>2737531.2</v>
      </c>
      <c r="L44" s="72"/>
      <c r="N44" s="61"/>
    </row>
    <row r="45" spans="3:14" ht="12.75">
      <c r="C45" s="60">
        <v>39604</v>
      </c>
      <c r="D45" s="61">
        <v>5411.38</v>
      </c>
      <c r="E45" s="61"/>
      <c r="F45" s="61">
        <v>2691710.4</v>
      </c>
      <c r="L45" s="72">
        <v>2005</v>
      </c>
      <c r="N45" s="61"/>
    </row>
    <row r="46" spans="3:14" ht="12.75">
      <c r="C46" s="60">
        <v>39573</v>
      </c>
      <c r="D46" s="61">
        <v>5281.35</v>
      </c>
      <c r="E46" s="61"/>
      <c r="F46" s="61">
        <v>2689862</v>
      </c>
      <c r="N46" s="61"/>
    </row>
    <row r="47" spans="3:16" ht="12.75">
      <c r="C47" s="60">
        <v>39543</v>
      </c>
      <c r="D47" s="61">
        <v>5379.74</v>
      </c>
      <c r="E47" s="61"/>
      <c r="F47" s="61">
        <v>2231870.4</v>
      </c>
      <c r="L47" s="16" t="s">
        <v>122</v>
      </c>
      <c r="N47" s="61">
        <f>766.52+751.23+873.11+702.61</f>
        <v>3093.4700000000003</v>
      </c>
      <c r="O47" s="16">
        <f>2.2529-0.2085</f>
        <v>2.0444</v>
      </c>
      <c r="P47">
        <f>+N47/O47</f>
        <v>1513.1432205047938</v>
      </c>
    </row>
    <row r="48" spans="3:16" ht="12.75">
      <c r="C48" s="60">
        <v>39512</v>
      </c>
      <c r="D48" s="61">
        <v>5449.89</v>
      </c>
      <c r="E48" s="61"/>
      <c r="F48" s="61">
        <v>2807198.4</v>
      </c>
      <c r="L48" s="16" t="s">
        <v>123</v>
      </c>
      <c r="N48" s="61">
        <f>816.31+818.84+837.7+842.12+835.51+913.39+1781.07+832.71</f>
        <v>7677.650000000001</v>
      </c>
      <c r="O48">
        <v>2.0444</v>
      </c>
      <c r="P48">
        <f>+N48/O48</f>
        <v>3755.453922911368</v>
      </c>
    </row>
    <row r="49" spans="3:18" ht="13.5" thickBot="1">
      <c r="C49" s="60">
        <v>39483</v>
      </c>
      <c r="D49" s="61">
        <v>5332.58</v>
      </c>
      <c r="E49" s="61"/>
      <c r="F49" s="61">
        <v>2350008</v>
      </c>
      <c r="N49" s="62">
        <f>+N48+N47</f>
        <v>10771.12</v>
      </c>
      <c r="P49" s="62">
        <f>+P48+P47</f>
        <v>5268.597143416162</v>
      </c>
      <c r="Q49" s="62">
        <f>+L12*0.01</f>
        <v>1456.0232</v>
      </c>
      <c r="R49" s="62">
        <f>+P49-Q49</f>
        <v>3812.573943416162</v>
      </c>
    </row>
    <row r="50" spans="3:14" ht="13.5" thickTop="1">
      <c r="C50" s="60">
        <v>39452</v>
      </c>
      <c r="D50" s="61">
        <v>5310.61</v>
      </c>
      <c r="E50" s="61"/>
      <c r="F50" s="61">
        <v>2656598.4</v>
      </c>
      <c r="N50" s="61"/>
    </row>
    <row r="51" spans="2:14" ht="13.5" thickBot="1">
      <c r="B51">
        <v>2005</v>
      </c>
      <c r="D51" s="62">
        <f>SUM(D39:D50)</f>
        <v>65107.32</v>
      </c>
      <c r="E51" s="61"/>
      <c r="F51" s="62">
        <f>SUM(F39:F50)</f>
        <v>30094548.399999995</v>
      </c>
      <c r="N51" s="61"/>
    </row>
    <row r="52" spans="4:14" ht="13.5" thickTop="1">
      <c r="D52" s="61"/>
      <c r="E52" s="61"/>
      <c r="F52" s="61"/>
      <c r="L52" s="72">
        <v>2004</v>
      </c>
      <c r="N52" s="61"/>
    </row>
    <row r="53" spans="4:6" ht="12.75">
      <c r="D53" s="61"/>
      <c r="E53" s="61"/>
      <c r="F53" s="61"/>
    </row>
    <row r="54" spans="2:16" ht="12.75">
      <c r="B54">
        <v>2004</v>
      </c>
      <c r="C54" s="60">
        <v>39786</v>
      </c>
      <c r="D54" s="61">
        <v>5705.81</v>
      </c>
      <c r="E54" s="61"/>
      <c r="F54" s="61">
        <v>2951505.6</v>
      </c>
      <c r="L54" s="16" t="s">
        <v>124</v>
      </c>
      <c r="N54" s="73" t="s">
        <v>126</v>
      </c>
      <c r="O54" s="16"/>
      <c r="P54">
        <f>+O70*4</f>
        <v>1879.174814814815</v>
      </c>
    </row>
    <row r="55" spans="3:16" ht="12.75">
      <c r="C55" s="60">
        <v>39756</v>
      </c>
      <c r="D55" s="61">
        <v>5639.88</v>
      </c>
      <c r="E55" s="61"/>
      <c r="F55" s="61">
        <v>2753798.4</v>
      </c>
      <c r="L55" s="16" t="s">
        <v>125</v>
      </c>
      <c r="N55" s="73" t="s">
        <v>126</v>
      </c>
      <c r="P55">
        <f>469.79*8</f>
        <v>3758.32</v>
      </c>
    </row>
    <row r="56" spans="3:18" ht="13.5" thickBot="1">
      <c r="C56" s="60">
        <v>39725</v>
      </c>
      <c r="D56" s="61">
        <v>5630.84</v>
      </c>
      <c r="E56" s="61"/>
      <c r="F56" s="61">
        <v>2893113.6</v>
      </c>
      <c r="N56" s="62" t="e">
        <f>+N55+N54</f>
        <v>#VALUE!</v>
      </c>
      <c r="P56" s="62">
        <f>+P55+P54</f>
        <v>5637.494814814815</v>
      </c>
      <c r="Q56" s="62">
        <f>+L11*0.01</f>
        <v>1500.6212</v>
      </c>
      <c r="R56" s="62">
        <f>+P56-Q56</f>
        <v>4136.873614814815</v>
      </c>
    </row>
    <row r="57" spans="3:6" ht="13.5" thickTop="1">
      <c r="C57" s="60">
        <v>39695</v>
      </c>
      <c r="D57" s="61">
        <v>5717.83</v>
      </c>
      <c r="E57" s="61"/>
      <c r="F57" s="61">
        <v>2829566.4</v>
      </c>
    </row>
    <row r="58" spans="3:14" ht="12.75">
      <c r="C58" s="60">
        <v>39664</v>
      </c>
      <c r="D58" s="61">
        <v>5524.42</v>
      </c>
      <c r="E58" s="61"/>
      <c r="F58" s="61">
        <v>2122420.8</v>
      </c>
      <c r="L58" s="72">
        <v>2003</v>
      </c>
      <c r="N58" s="61"/>
    </row>
    <row r="59" spans="3:6" ht="12.75">
      <c r="C59" s="60">
        <v>39633</v>
      </c>
      <c r="D59" s="61">
        <v>5680.31</v>
      </c>
      <c r="E59" s="61"/>
      <c r="F59" s="61">
        <v>2816030.4</v>
      </c>
    </row>
    <row r="60" spans="3:16" ht="12.75">
      <c r="C60" s="60">
        <v>39603</v>
      </c>
      <c r="D60" s="61">
        <v>5678.37</v>
      </c>
      <c r="E60" s="61"/>
      <c r="F60" s="61">
        <v>2969520</v>
      </c>
      <c r="L60" s="16" t="s">
        <v>124</v>
      </c>
      <c r="N60" s="73" t="s">
        <v>126</v>
      </c>
      <c r="O60" s="16"/>
      <c r="P60">
        <f>469.79*4</f>
        <v>1879.16</v>
      </c>
    </row>
    <row r="61" spans="3:16" ht="12.75">
      <c r="C61" s="60">
        <v>39572</v>
      </c>
      <c r="D61" s="61">
        <v>5559.89</v>
      </c>
      <c r="E61" s="61"/>
      <c r="F61" s="61">
        <v>2816026</v>
      </c>
      <c r="L61" s="16" t="s">
        <v>125</v>
      </c>
      <c r="N61" s="73" t="s">
        <v>126</v>
      </c>
      <c r="P61">
        <f>469.79*8</f>
        <v>3758.32</v>
      </c>
    </row>
    <row r="62" spans="3:18" ht="13.5" thickBot="1">
      <c r="C62" s="60">
        <v>39542</v>
      </c>
      <c r="D62" s="61">
        <v>5476.56</v>
      </c>
      <c r="E62" s="61"/>
      <c r="F62" s="61">
        <v>2911636.8</v>
      </c>
      <c r="N62" s="62" t="e">
        <f>+N61+N60</f>
        <v>#VALUE!</v>
      </c>
      <c r="P62" s="62">
        <f>+P61+P60</f>
        <v>5637.4800000000005</v>
      </c>
      <c r="Q62" s="62">
        <f>+L10*0.01</f>
        <v>1493.2009</v>
      </c>
      <c r="R62" s="62">
        <f>+P62-Q62</f>
        <v>4144.279100000001</v>
      </c>
    </row>
    <row r="63" spans="3:12" ht="13.5" thickTop="1">
      <c r="C63" s="60">
        <v>39511</v>
      </c>
      <c r="D63" s="61">
        <v>5553.79</v>
      </c>
      <c r="E63" s="61"/>
      <c r="F63" s="61">
        <v>2986132.8</v>
      </c>
      <c r="L63" s="72">
        <v>2002</v>
      </c>
    </row>
    <row r="64" spans="3:16" ht="12.75">
      <c r="C64" s="60">
        <v>39482</v>
      </c>
      <c r="D64" s="61">
        <v>5493.44</v>
      </c>
      <c r="E64" s="61"/>
      <c r="F64" s="61">
        <v>2154768</v>
      </c>
      <c r="L64" s="16" t="s">
        <v>124</v>
      </c>
      <c r="N64" s="73" t="s">
        <v>126</v>
      </c>
      <c r="O64" s="16"/>
      <c r="P64">
        <f>469.79*4</f>
        <v>1879.16</v>
      </c>
    </row>
    <row r="65" spans="3:16" ht="12.75">
      <c r="C65" s="60">
        <v>39451</v>
      </c>
      <c r="D65" s="61">
        <v>5440.98</v>
      </c>
      <c r="E65" s="61"/>
      <c r="F65" s="61">
        <v>2720076.8</v>
      </c>
      <c r="L65" s="16" t="s">
        <v>125</v>
      </c>
      <c r="N65" s="73" t="s">
        <v>126</v>
      </c>
      <c r="P65">
        <f>469.79*8</f>
        <v>3758.32</v>
      </c>
    </row>
    <row r="66" spans="2:18" ht="13.5" thickBot="1">
      <c r="B66">
        <v>2004</v>
      </c>
      <c r="D66" s="62">
        <f>SUM(D54:D65)</f>
        <v>67102.12</v>
      </c>
      <c r="E66" s="61"/>
      <c r="F66" s="62">
        <f>SUM(F54:F65)</f>
        <v>32924595.600000005</v>
      </c>
      <c r="N66" s="62" t="e">
        <f>+N65+N64</f>
        <v>#VALUE!</v>
      </c>
      <c r="P66" s="62">
        <f>+P65+P64</f>
        <v>5637.4800000000005</v>
      </c>
      <c r="Q66" s="62">
        <f>+L9*0.01</f>
        <v>1417.5493</v>
      </c>
      <c r="R66" s="62">
        <f>+P66-Q66</f>
        <v>4219.930700000001</v>
      </c>
    </row>
    <row r="67" spans="4:18" ht="13.5" thickTop="1">
      <c r="D67" s="61"/>
      <c r="E67" s="61"/>
      <c r="F67" s="61"/>
      <c r="Q67" s="61">
        <f>++Q66+Q62+Q56+Q49+Q43+Q37+Q30</f>
        <v>10178.748899999999</v>
      </c>
      <c r="R67" s="61">
        <f>++R66+R62+R56+R49+R43+R37+R30</f>
        <v>26973.57600633371</v>
      </c>
    </row>
    <row r="68" spans="2:12" ht="12.75">
      <c r="B68">
        <v>2003</v>
      </c>
      <c r="C68" s="60">
        <v>39785</v>
      </c>
      <c r="D68" s="61">
        <v>5399.36</v>
      </c>
      <c r="E68" s="61"/>
      <c r="F68" s="61">
        <v>2868076.8</v>
      </c>
      <c r="L68" s="72" t="s">
        <v>119</v>
      </c>
    </row>
    <row r="69" spans="3:16" ht="12.75">
      <c r="C69" s="60">
        <v>39755</v>
      </c>
      <c r="D69" s="61">
        <v>5648.47</v>
      </c>
      <c r="E69" s="61"/>
      <c r="F69" s="61">
        <v>2930284.8</v>
      </c>
      <c r="L69" s="16" t="s">
        <v>120</v>
      </c>
      <c r="N69" s="16" t="s">
        <v>121</v>
      </c>
      <c r="O69">
        <v>12684.43</v>
      </c>
      <c r="P69" s="16" t="s">
        <v>94</v>
      </c>
    </row>
    <row r="70" spans="3:16" ht="12.75">
      <c r="C70" s="60">
        <v>39724</v>
      </c>
      <c r="D70" s="61">
        <v>5592.34</v>
      </c>
      <c r="E70" s="61"/>
      <c r="F70" s="61">
        <v>2959497.6</v>
      </c>
      <c r="N70" s="16" t="s">
        <v>85</v>
      </c>
      <c r="O70">
        <f>+O69/27</f>
        <v>469.7937037037037</v>
      </c>
      <c r="P70" s="16" t="s">
        <v>81</v>
      </c>
    </row>
    <row r="71" spans="3:6" ht="12.75">
      <c r="C71" s="60">
        <v>39694</v>
      </c>
      <c r="D71" s="61">
        <v>5486.91</v>
      </c>
      <c r="E71" s="61"/>
      <c r="F71" s="61">
        <v>2724979.2</v>
      </c>
    </row>
    <row r="72" spans="3:6" ht="12.75">
      <c r="C72" s="60">
        <v>39663</v>
      </c>
      <c r="D72" s="61">
        <v>5326.19</v>
      </c>
      <c r="E72" s="61"/>
      <c r="F72" s="61">
        <v>2322902.4</v>
      </c>
    </row>
    <row r="73" spans="3:6" ht="12.75">
      <c r="C73" s="60">
        <v>39632</v>
      </c>
      <c r="D73" s="61">
        <v>5409.75</v>
      </c>
      <c r="E73" s="61"/>
      <c r="F73" s="61">
        <v>2699870.4</v>
      </c>
    </row>
    <row r="74" spans="3:6" ht="12.75">
      <c r="C74" s="60">
        <v>39602</v>
      </c>
      <c r="D74" s="61">
        <v>5362.62</v>
      </c>
      <c r="E74" s="61"/>
      <c r="F74" s="61">
        <v>2575963.2</v>
      </c>
    </row>
    <row r="75" spans="3:6" ht="12.75">
      <c r="C75" s="60">
        <v>39571</v>
      </c>
      <c r="D75" s="61">
        <v>5354.13</v>
      </c>
      <c r="E75" s="61"/>
      <c r="F75" s="61">
        <v>2703676</v>
      </c>
    </row>
    <row r="76" spans="3:6" ht="12.75">
      <c r="C76" s="60">
        <v>39541</v>
      </c>
      <c r="D76" s="61">
        <v>5381.27</v>
      </c>
      <c r="E76" s="61"/>
      <c r="F76" s="61">
        <v>2703451</v>
      </c>
    </row>
    <row r="77" spans="3:6" ht="12.75">
      <c r="C77" s="60">
        <v>39510</v>
      </c>
      <c r="D77" s="61">
        <v>5392.72</v>
      </c>
      <c r="E77" s="61"/>
      <c r="F77" s="61">
        <v>2641301</v>
      </c>
    </row>
    <row r="78" spans="3:6" ht="12.75">
      <c r="C78" s="60">
        <v>39481</v>
      </c>
      <c r="D78" s="61">
        <v>5292.65</v>
      </c>
      <c r="E78" s="61"/>
      <c r="F78" s="61">
        <v>2139120</v>
      </c>
    </row>
    <row r="79" spans="3:6" ht="12.75">
      <c r="C79" s="60">
        <v>39450</v>
      </c>
      <c r="D79" s="61">
        <v>5225.68</v>
      </c>
      <c r="E79" s="61"/>
      <c r="F79" s="61">
        <v>2526268</v>
      </c>
    </row>
    <row r="80" spans="2:6" ht="13.5" thickBot="1">
      <c r="B80">
        <v>2003</v>
      </c>
      <c r="D80" s="62">
        <f>SUM(D68:D79)</f>
        <v>64872.09</v>
      </c>
      <c r="E80" s="61"/>
      <c r="F80" s="62">
        <f>SUM(F68:F79)</f>
        <v>31795390.4</v>
      </c>
    </row>
    <row r="81" spans="5:6" ht="13.5" thickTop="1">
      <c r="E81" s="61"/>
      <c r="F81" s="61"/>
    </row>
    <row r="82" spans="4:6" ht="12.75">
      <c r="D82" s="61"/>
      <c r="E82" s="61"/>
      <c r="F82" s="61"/>
    </row>
    <row r="83" spans="2:6" ht="12.75">
      <c r="B83">
        <v>2002</v>
      </c>
      <c r="C83" s="60">
        <v>39784</v>
      </c>
      <c r="D83" s="61">
        <v>5202.32</v>
      </c>
      <c r="E83" s="61"/>
      <c r="F83" s="61">
        <v>2571758</v>
      </c>
    </row>
    <row r="84" spans="3:6" ht="12.75">
      <c r="C84" s="60">
        <v>39754</v>
      </c>
      <c r="D84" s="61">
        <v>5197.95</v>
      </c>
      <c r="E84" s="61"/>
      <c r="F84" s="61">
        <v>2726673</v>
      </c>
    </row>
    <row r="85" spans="3:6" ht="12.75">
      <c r="C85" s="60">
        <v>39723</v>
      </c>
      <c r="D85" s="61">
        <v>5011.2</v>
      </c>
      <c r="E85" s="61"/>
      <c r="F85" s="61">
        <v>2597611.43</v>
      </c>
    </row>
    <row r="86" spans="3:6" ht="12.75">
      <c r="C86" s="60">
        <v>39693</v>
      </c>
      <c r="D86" s="61">
        <v>5146.14</v>
      </c>
      <c r="E86" s="61"/>
      <c r="F86" s="61">
        <v>2478360</v>
      </c>
    </row>
    <row r="87" spans="3:6" ht="12.75">
      <c r="C87" s="60">
        <v>39662</v>
      </c>
      <c r="D87" s="61">
        <v>4999.92</v>
      </c>
      <c r="E87" s="61"/>
      <c r="F87" s="61">
        <v>2048764.29</v>
      </c>
    </row>
    <row r="88" spans="3:6" ht="12.75">
      <c r="C88" s="60">
        <v>39631</v>
      </c>
      <c r="D88" s="61">
        <v>4934.4</v>
      </c>
      <c r="E88" s="61"/>
      <c r="F88" s="61">
        <v>2346897</v>
      </c>
    </row>
    <row r="89" spans="3:6" ht="12.75">
      <c r="C89" s="60">
        <v>39601</v>
      </c>
      <c r="D89" s="61">
        <v>5030.4</v>
      </c>
      <c r="E89" s="61"/>
      <c r="F89" s="61">
        <v>1582186</v>
      </c>
    </row>
    <row r="90" spans="3:6" ht="12.75">
      <c r="C90" s="60">
        <v>39570</v>
      </c>
      <c r="D90" s="61">
        <v>0</v>
      </c>
      <c r="E90" s="61"/>
      <c r="F90" s="61">
        <v>776664</v>
      </c>
    </row>
    <row r="91" spans="3:6" ht="12.75">
      <c r="C91" s="60">
        <v>39540</v>
      </c>
      <c r="D91" s="61">
        <v>4915.2</v>
      </c>
      <c r="E91" s="61"/>
      <c r="F91" s="61">
        <v>1717959</v>
      </c>
    </row>
    <row r="92" spans="3:6" ht="12.75">
      <c r="C92" s="60">
        <v>39509</v>
      </c>
      <c r="D92" s="61">
        <v>4819.2</v>
      </c>
      <c r="E92" s="61"/>
      <c r="F92" s="61">
        <v>2350579</v>
      </c>
    </row>
    <row r="93" spans="3:6" ht="12.75">
      <c r="C93" s="60">
        <v>39480</v>
      </c>
      <c r="D93" s="61">
        <v>4896</v>
      </c>
      <c r="E93" s="61"/>
      <c r="F93" s="61">
        <v>2280783</v>
      </c>
    </row>
    <row r="94" spans="3:6" ht="12.75">
      <c r="C94" s="60">
        <v>39449</v>
      </c>
      <c r="D94" s="61">
        <v>4915.2</v>
      </c>
      <c r="E94" s="61"/>
      <c r="F94" s="61">
        <v>2487519</v>
      </c>
    </row>
    <row r="95" spans="2:6" ht="13.5" thickBot="1">
      <c r="B95">
        <v>2002</v>
      </c>
      <c r="D95" s="62">
        <f>SUM(D83:D94)</f>
        <v>55067.92999999999</v>
      </c>
      <c r="E95" s="61"/>
      <c r="F95" s="62">
        <f>SUM(F83:F94)</f>
        <v>25965753.72</v>
      </c>
    </row>
    <row r="96" spans="4:6" ht="13.5" thickTop="1">
      <c r="D96" s="61"/>
      <c r="E96" s="61"/>
      <c r="F96" s="61"/>
    </row>
    <row r="97" spans="2:6" ht="12.75">
      <c r="B97">
        <v>2001</v>
      </c>
      <c r="C97" s="60">
        <v>39783</v>
      </c>
      <c r="D97" s="61">
        <v>4992.25</v>
      </c>
      <c r="E97" s="61"/>
      <c r="F97" s="61">
        <v>1951192</v>
      </c>
    </row>
    <row r="98" spans="3:6" ht="12.75">
      <c r="C98" s="60">
        <v>39753</v>
      </c>
      <c r="D98" s="61">
        <v>4938.15</v>
      </c>
      <c r="E98" s="61"/>
      <c r="F98" s="61">
        <f>2072000+272622</f>
        <v>2344622</v>
      </c>
    </row>
    <row r="99" spans="3:6" ht="12.75">
      <c r="C99" s="60">
        <v>39722</v>
      </c>
      <c r="D99" s="61">
        <v>4915.31</v>
      </c>
      <c r="E99" s="61"/>
      <c r="F99" s="61">
        <f>2072000+333534</f>
        <v>2405534</v>
      </c>
    </row>
    <row r="100" spans="3:6" ht="12.75">
      <c r="C100" s="60">
        <v>39692</v>
      </c>
      <c r="D100" s="61">
        <v>4876.8</v>
      </c>
      <c r="E100" s="61"/>
      <c r="F100" s="61">
        <f>2072000+172076</f>
        <v>2244076</v>
      </c>
    </row>
    <row r="101" spans="3:6" ht="12.75">
      <c r="C101" s="60">
        <v>39661</v>
      </c>
      <c r="D101" s="61">
        <v>5069.52</v>
      </c>
      <c r="E101" s="61"/>
      <c r="F101" s="61">
        <f>2072000+341727</f>
        <v>2413727</v>
      </c>
    </row>
    <row r="102" spans="3:6" ht="12.75">
      <c r="C102" s="60">
        <v>39630</v>
      </c>
      <c r="D102" s="61">
        <v>4954.72</v>
      </c>
      <c r="E102" s="61"/>
      <c r="F102" s="61">
        <f>1882171+0</f>
        <v>1882171</v>
      </c>
    </row>
    <row r="103" spans="3:6" ht="12.75">
      <c r="C103" s="60">
        <v>39600</v>
      </c>
      <c r="D103" s="61">
        <v>5124.71</v>
      </c>
      <c r="E103" s="61"/>
      <c r="F103" s="61">
        <f>2072000+366543</f>
        <v>2438543</v>
      </c>
    </row>
    <row r="104" spans="3:6" ht="12.75">
      <c r="C104" s="60">
        <v>39569</v>
      </c>
      <c r="D104" s="61">
        <v>5090.56</v>
      </c>
      <c r="E104" s="61"/>
      <c r="F104" s="61">
        <f>2072000+479310</f>
        <v>2551310</v>
      </c>
    </row>
    <row r="105" spans="3:6" ht="12.75">
      <c r="C105" s="60">
        <v>39539</v>
      </c>
      <c r="D105" s="61">
        <v>4863</v>
      </c>
      <c r="E105" s="61"/>
      <c r="F105" s="61">
        <f>2072000+305246</f>
        <v>2377246</v>
      </c>
    </row>
    <row r="106" spans="3:6" ht="12.75">
      <c r="C106" s="60">
        <v>39508</v>
      </c>
      <c r="D106" s="61">
        <v>5257.73</v>
      </c>
      <c r="E106" s="61"/>
      <c r="F106" s="61">
        <f>2072000+479472</f>
        <v>2551472</v>
      </c>
    </row>
    <row r="107" spans="3:6" ht="12.75">
      <c r="C107" s="60">
        <v>39479</v>
      </c>
      <c r="D107" s="61">
        <v>5010.39</v>
      </c>
      <c r="E107" s="61"/>
      <c r="F107" s="61">
        <f>2072000+254982</f>
        <v>2326982</v>
      </c>
    </row>
    <row r="108" spans="3:6" ht="12.75">
      <c r="C108" s="60">
        <v>39448</v>
      </c>
      <c r="D108" s="61">
        <v>4994.44</v>
      </c>
      <c r="E108" s="61"/>
      <c r="F108" s="61">
        <f>2072000+336071</f>
        <v>2408071</v>
      </c>
    </row>
    <row r="109" spans="2:6" ht="13.5" thickBot="1">
      <c r="B109">
        <v>2001</v>
      </c>
      <c r="D109" s="62">
        <f>SUM(D97:D108)</f>
        <v>60087.58</v>
      </c>
      <c r="E109" s="61"/>
      <c r="F109" s="62">
        <f>SUM(F97:F108)</f>
        <v>27894946</v>
      </c>
    </row>
    <row r="110" spans="4:6" ht="13.5" thickTop="1">
      <c r="D110" s="61"/>
      <c r="E110" s="61"/>
      <c r="F110" s="61"/>
    </row>
    <row r="111" spans="2:6" ht="12.75">
      <c r="B111">
        <v>2000</v>
      </c>
      <c r="C111" s="60">
        <v>39783</v>
      </c>
      <c r="D111" s="61">
        <v>4792.32</v>
      </c>
      <c r="E111" s="61"/>
      <c r="F111" s="61">
        <f>2072000+32988</f>
        <v>2104988</v>
      </c>
    </row>
    <row r="112" spans="3:6" ht="12.75">
      <c r="C112" s="60">
        <v>39753</v>
      </c>
      <c r="D112" s="61">
        <v>4757.76</v>
      </c>
      <c r="E112" s="61"/>
      <c r="F112" s="61">
        <f>2072000+263939</f>
        <v>2335939</v>
      </c>
    </row>
    <row r="113" spans="3:6" ht="12.75">
      <c r="C113" s="60">
        <v>39722</v>
      </c>
      <c r="D113" s="61">
        <v>4705</v>
      </c>
      <c r="E113" s="61"/>
      <c r="F113" s="61">
        <f>2072000+402809</f>
        <v>2474809</v>
      </c>
    </row>
    <row r="114" spans="3:6" ht="12.75">
      <c r="C114" s="60">
        <v>39692</v>
      </c>
      <c r="D114" s="61">
        <v>4855.55</v>
      </c>
      <c r="E114" s="61"/>
      <c r="F114" s="61">
        <f>2072000+192808</f>
        <v>2264808</v>
      </c>
    </row>
    <row r="115" spans="3:6" ht="12.75">
      <c r="C115" s="60">
        <v>39661</v>
      </c>
      <c r="D115" s="61">
        <v>4987.66</v>
      </c>
      <c r="E115" s="61"/>
      <c r="F115" s="61">
        <f>2072000+483714</f>
        <v>2555714</v>
      </c>
    </row>
    <row r="116" spans="3:6" ht="12.75">
      <c r="C116" s="60">
        <v>39630</v>
      </c>
      <c r="D116" s="61">
        <v>4687.17</v>
      </c>
      <c r="E116" s="61"/>
      <c r="F116" s="61">
        <v>1783713</v>
      </c>
    </row>
    <row r="117" spans="3:6" ht="12.75">
      <c r="C117" s="60">
        <v>39600</v>
      </c>
      <c r="D117" s="61">
        <v>4795.07</v>
      </c>
      <c r="E117" s="61"/>
      <c r="F117" s="61">
        <f>2072000+393052</f>
        <v>2465052</v>
      </c>
    </row>
    <row r="118" spans="3:6" ht="12.75">
      <c r="C118" s="60">
        <v>39569</v>
      </c>
      <c r="D118" s="61">
        <v>4881.6</v>
      </c>
      <c r="E118" s="61"/>
      <c r="F118" s="61">
        <f>2072000+558669</f>
        <v>2630669</v>
      </c>
    </row>
    <row r="119" spans="3:6" ht="12.75">
      <c r="C119" s="60">
        <v>39539</v>
      </c>
      <c r="D119" s="61">
        <v>4806.77</v>
      </c>
      <c r="E119" s="61"/>
      <c r="F119" s="61">
        <f>2072000+316118</f>
        <v>2388118</v>
      </c>
    </row>
    <row r="120" spans="3:6" ht="12.75">
      <c r="C120" s="60">
        <v>39508</v>
      </c>
      <c r="D120" s="61">
        <v>4819.02</v>
      </c>
      <c r="E120" s="61"/>
      <c r="F120" s="61">
        <f>2072000+607733</f>
        <v>2679733</v>
      </c>
    </row>
    <row r="121" spans="3:6" ht="12.75">
      <c r="C121" s="60">
        <v>39479</v>
      </c>
      <c r="D121" s="61">
        <v>4825.44</v>
      </c>
      <c r="E121" s="61"/>
      <c r="F121" s="61">
        <f>2072000+378612</f>
        <v>2450612</v>
      </c>
    </row>
    <row r="122" spans="3:6" ht="12.75">
      <c r="C122" s="60">
        <v>39448</v>
      </c>
      <c r="D122" s="61">
        <v>4677</v>
      </c>
      <c r="E122" s="61"/>
      <c r="F122" s="61">
        <f>2072000+444178</f>
        <v>2516178</v>
      </c>
    </row>
    <row r="123" spans="2:6" ht="13.5" thickBot="1">
      <c r="B123">
        <v>2000</v>
      </c>
      <c r="D123" s="62">
        <f>SUM(D111:D122)</f>
        <v>57590.36</v>
      </c>
      <c r="E123" s="61"/>
      <c r="F123" s="62">
        <f>SUM(F111:F122)</f>
        <v>28650333</v>
      </c>
    </row>
    <row r="124" spans="4:6" ht="13.5" thickTop="1">
      <c r="D124" s="61"/>
      <c r="E124" s="61"/>
      <c r="F124" s="61"/>
    </row>
    <row r="125" spans="4:6" ht="12.75">
      <c r="D125" s="61"/>
      <c r="E125" s="61"/>
      <c r="F125" s="61"/>
    </row>
    <row r="126" spans="4:6" ht="12.75">
      <c r="D126" s="61"/>
      <c r="E126" s="61"/>
      <c r="F126" s="61"/>
    </row>
    <row r="127" spans="4:6" ht="12.75">
      <c r="D127" s="61"/>
      <c r="E127" s="61"/>
      <c r="F127" s="61"/>
    </row>
    <row r="128" spans="4:6" ht="12.75">
      <c r="D128" s="61"/>
      <c r="E128" s="61"/>
      <c r="F128" s="61"/>
    </row>
    <row r="129" spans="4:6" ht="12.75">
      <c r="D129" s="61"/>
      <c r="E129" s="61"/>
      <c r="F129" s="61"/>
    </row>
    <row r="130" spans="4:6" ht="12.75">
      <c r="D130" s="61"/>
      <c r="E130" s="61"/>
      <c r="F130" s="61"/>
    </row>
    <row r="131" spans="4:6" ht="12.75">
      <c r="D131" s="61"/>
      <c r="E131" s="61"/>
      <c r="F131" s="61"/>
    </row>
    <row r="132" spans="4:6" ht="12.75">
      <c r="D132" s="61"/>
      <c r="E132" s="61"/>
      <c r="F132" s="61"/>
    </row>
    <row r="133" spans="4:6" ht="12.75">
      <c r="D133" s="61"/>
      <c r="E133" s="61"/>
      <c r="F133" s="61"/>
    </row>
    <row r="134" spans="4:6" ht="12.75">
      <c r="D134" s="61"/>
      <c r="E134" s="61"/>
      <c r="F134" s="61"/>
    </row>
    <row r="135" spans="4:6" ht="12.75">
      <c r="D135" s="61"/>
      <c r="E135" s="61"/>
      <c r="F135" s="61"/>
    </row>
    <row r="136" spans="4:6" ht="12.75">
      <c r="D136" s="61"/>
      <c r="E136" s="61"/>
      <c r="F136" s="61"/>
    </row>
    <row r="137" spans="4:6" ht="12.75">
      <c r="D137" s="61"/>
      <c r="E137" s="61"/>
      <c r="F137" s="61"/>
    </row>
    <row r="138" spans="4:6" ht="12.75">
      <c r="D138" s="61"/>
      <c r="E138" s="61"/>
      <c r="F138" s="61"/>
    </row>
    <row r="139" spans="4:6" ht="12.75">
      <c r="D139" s="61"/>
      <c r="E139" s="61"/>
      <c r="F139" s="61"/>
    </row>
    <row r="140" spans="4:6" ht="12.75">
      <c r="D140" s="61"/>
      <c r="E140" s="61"/>
      <c r="F140" s="61"/>
    </row>
    <row r="141" spans="4:6" ht="12.75">
      <c r="D141" s="61"/>
      <c r="E141" s="61"/>
      <c r="F141" s="61"/>
    </row>
    <row r="142" spans="4:6" ht="12.75">
      <c r="D142" s="61"/>
      <c r="E142" s="61"/>
      <c r="F142" s="61"/>
    </row>
    <row r="143" spans="4:6" ht="12.75">
      <c r="D143" s="61"/>
      <c r="E143" s="61"/>
      <c r="F143" s="61"/>
    </row>
    <row r="144" spans="4:6" ht="12.75">
      <c r="D144" s="61"/>
      <c r="E144" s="61"/>
      <c r="F144" s="61"/>
    </row>
    <row r="145" spans="4:6" ht="12.75">
      <c r="D145" s="61"/>
      <c r="E145" s="61"/>
      <c r="F145" s="61"/>
    </row>
    <row r="146" spans="4:6" ht="12.75">
      <c r="D146" s="61"/>
      <c r="E146" s="61"/>
      <c r="F146" s="61"/>
    </row>
    <row r="147" spans="4:6" ht="12.75">
      <c r="D147" s="61"/>
      <c r="E147" s="61"/>
      <c r="F147" s="61"/>
    </row>
    <row r="148" spans="4:6" ht="12.75">
      <c r="D148" s="61"/>
      <c r="E148" s="61"/>
      <c r="F148" s="61"/>
    </row>
    <row r="149" spans="4:6" ht="12.75">
      <c r="D149" s="61"/>
      <c r="E149" s="61"/>
      <c r="F149" s="61"/>
    </row>
    <row r="150" spans="4:6" ht="12.75">
      <c r="D150" s="61"/>
      <c r="E150" s="61"/>
      <c r="F150" s="61"/>
    </row>
    <row r="151" spans="4:6" ht="12.75">
      <c r="D151" s="61"/>
      <c r="E151" s="61"/>
      <c r="F151" s="61"/>
    </row>
    <row r="152" spans="4:6" ht="12.75">
      <c r="D152" s="61"/>
      <c r="E152" s="61"/>
      <c r="F152" s="61"/>
    </row>
    <row r="153" spans="4:6" ht="12.75">
      <c r="D153" s="61"/>
      <c r="E153" s="61"/>
      <c r="F153" s="61"/>
    </row>
    <row r="154" spans="4:6" ht="12.75">
      <c r="D154" s="61"/>
      <c r="E154" s="61"/>
      <c r="F154" s="61"/>
    </row>
    <row r="155" spans="4:6" ht="12.75">
      <c r="D155" s="61"/>
      <c r="E155" s="61"/>
      <c r="F155" s="61"/>
    </row>
    <row r="156" spans="4:6" ht="12.75">
      <c r="D156" s="61"/>
      <c r="E156" s="61"/>
      <c r="F156" s="61"/>
    </row>
    <row r="157" spans="4:6" ht="12.75">
      <c r="D157" s="61"/>
      <c r="E157" s="61"/>
      <c r="F157" s="61"/>
    </row>
    <row r="158" spans="4:6" ht="12.75">
      <c r="D158" s="61"/>
      <c r="E158" s="61"/>
      <c r="F158" s="61"/>
    </row>
    <row r="159" spans="4:6" ht="12.75">
      <c r="D159" s="61"/>
      <c r="E159" s="61"/>
      <c r="F159" s="61"/>
    </row>
    <row r="160" spans="4:6" ht="12.75">
      <c r="D160" s="61"/>
      <c r="E160" s="61"/>
      <c r="F160" s="61"/>
    </row>
    <row r="161" spans="4:6" ht="12.75">
      <c r="D161" s="61"/>
      <c r="E161" s="61"/>
      <c r="F161" s="61"/>
    </row>
    <row r="162" spans="4:6" ht="12.75">
      <c r="D162" s="61"/>
      <c r="E162" s="61"/>
      <c r="F162" s="61"/>
    </row>
    <row r="163" spans="4:6" ht="12.75">
      <c r="D163" s="61"/>
      <c r="E163" s="61"/>
      <c r="F163" s="61"/>
    </row>
    <row r="164" spans="4:6" ht="12.75">
      <c r="D164" s="61"/>
      <c r="E164" s="61"/>
      <c r="F164" s="61"/>
    </row>
    <row r="165" spans="4:6" ht="12.75">
      <c r="D165" s="61"/>
      <c r="E165" s="61"/>
      <c r="F165" s="61"/>
    </row>
    <row r="166" spans="4:6" ht="12.75">
      <c r="D166" s="61"/>
      <c r="E166" s="61"/>
      <c r="F166" s="61"/>
    </row>
    <row r="167" spans="4:6" ht="12.75">
      <c r="D167" s="61"/>
      <c r="E167" s="61"/>
      <c r="F167" s="61"/>
    </row>
    <row r="168" spans="4:6" ht="12.75">
      <c r="D168" s="61"/>
      <c r="E168" s="61"/>
      <c r="F168" s="61"/>
    </row>
    <row r="169" spans="4:6" ht="12.75">
      <c r="D169" s="61"/>
      <c r="E169" s="61"/>
      <c r="F169" s="61"/>
    </row>
    <row r="170" spans="4:6" ht="12.75">
      <c r="D170" s="61"/>
      <c r="E170" s="61"/>
      <c r="F170" s="61"/>
    </row>
    <row r="171" spans="4:6" ht="12.75">
      <c r="D171" s="61"/>
      <c r="E171" s="61"/>
      <c r="F171" s="61"/>
    </row>
    <row r="172" spans="4:6" ht="12.75">
      <c r="D172" s="61"/>
      <c r="E172" s="61"/>
      <c r="F172" s="61"/>
    </row>
    <row r="173" spans="4:6" ht="12.75">
      <c r="D173" s="61"/>
      <c r="E173" s="61"/>
      <c r="F173" s="61"/>
    </row>
    <row r="174" spans="4:6" ht="12.75">
      <c r="D174" s="61"/>
      <c r="E174" s="61"/>
      <c r="F174" s="61"/>
    </row>
    <row r="175" spans="4:6" ht="12.75">
      <c r="D175" s="61"/>
      <c r="E175" s="61"/>
      <c r="F175" s="61"/>
    </row>
    <row r="176" spans="4:6" ht="12.75">
      <c r="D176" s="61"/>
      <c r="E176" s="61"/>
      <c r="F176" s="61"/>
    </row>
    <row r="177" spans="4:6" ht="12.75">
      <c r="D177" s="61"/>
      <c r="E177" s="61"/>
      <c r="F177" s="61"/>
    </row>
    <row r="178" spans="4:6" ht="12.75">
      <c r="D178" s="61"/>
      <c r="E178" s="61"/>
      <c r="F178" s="61"/>
    </row>
    <row r="179" spans="4:6" ht="12.75">
      <c r="D179" s="61"/>
      <c r="E179" s="61"/>
      <c r="F179" s="61"/>
    </row>
    <row r="180" spans="4:6" ht="12.75">
      <c r="D180" s="61"/>
      <c r="E180" s="61"/>
      <c r="F180" s="61"/>
    </row>
    <row r="181" spans="4:6" ht="12.75">
      <c r="D181" s="61"/>
      <c r="E181" s="61"/>
      <c r="F181" s="61"/>
    </row>
    <row r="182" spans="4:6" ht="12.75">
      <c r="D182" s="61"/>
      <c r="E182" s="61"/>
      <c r="F182" s="61"/>
    </row>
    <row r="183" spans="4:6" ht="12.75">
      <c r="D183" s="61"/>
      <c r="E183" s="61"/>
      <c r="F183" s="61"/>
    </row>
    <row r="184" spans="4:6" ht="12.75">
      <c r="D184" s="61"/>
      <c r="E184" s="61"/>
      <c r="F184" s="61"/>
    </row>
    <row r="185" spans="4:6" ht="12.75">
      <c r="D185" s="61"/>
      <c r="E185" s="61"/>
      <c r="F185" s="61"/>
    </row>
    <row r="186" spans="4:6" ht="12.75">
      <c r="D186" s="61"/>
      <c r="E186" s="61"/>
      <c r="F186" s="61"/>
    </row>
    <row r="187" spans="4:6" ht="12.75">
      <c r="D187" s="61"/>
      <c r="E187" s="61"/>
      <c r="F187" s="61"/>
    </row>
    <row r="188" spans="4:6" ht="12.75">
      <c r="D188" s="61"/>
      <c r="E188" s="61"/>
      <c r="F188" s="61"/>
    </row>
    <row r="189" spans="4:6" ht="12.75">
      <c r="D189" s="61"/>
      <c r="E189" s="61"/>
      <c r="F189" s="61"/>
    </row>
    <row r="190" spans="4:6" ht="12.75">
      <c r="D190" s="61"/>
      <c r="E190" s="61"/>
      <c r="F190" s="61"/>
    </row>
    <row r="191" spans="4:6" ht="12.75">
      <c r="D191" s="61"/>
      <c r="E191" s="61"/>
      <c r="F191" s="61"/>
    </row>
    <row r="192" spans="4:6" ht="12.75">
      <c r="D192" s="61"/>
      <c r="E192" s="61"/>
      <c r="F192" s="61"/>
    </row>
    <row r="193" spans="4:6" ht="12.75">
      <c r="D193" s="61"/>
      <c r="E193" s="61"/>
      <c r="F193" s="61"/>
    </row>
    <row r="194" spans="4:6" ht="12.75">
      <c r="D194" s="61"/>
      <c r="E194" s="61"/>
      <c r="F194" s="61"/>
    </row>
    <row r="195" spans="4:6" ht="12.75">
      <c r="D195" s="61"/>
      <c r="E195" s="61"/>
      <c r="F195" s="61"/>
    </row>
    <row r="196" spans="4:6" ht="12.75">
      <c r="D196" s="61"/>
      <c r="E196" s="61"/>
      <c r="F196" s="61"/>
    </row>
    <row r="197" spans="4:6" ht="12.75">
      <c r="D197" s="61"/>
      <c r="E197" s="61"/>
      <c r="F197" s="61"/>
    </row>
    <row r="198" spans="4:6" ht="12.75">
      <c r="D198" s="61"/>
      <c r="E198" s="61"/>
      <c r="F198" s="61"/>
    </row>
    <row r="199" spans="4:6" ht="12.75">
      <c r="D199" s="61"/>
      <c r="E199" s="61"/>
      <c r="F199" s="61"/>
    </row>
    <row r="200" spans="4:6" ht="12.75">
      <c r="D200" s="61"/>
      <c r="E200" s="61"/>
      <c r="F200" s="61"/>
    </row>
    <row r="201" spans="4:6" ht="12.75">
      <c r="D201" s="61"/>
      <c r="E201" s="61"/>
      <c r="F201" s="61"/>
    </row>
    <row r="202" spans="4:6" ht="12.75">
      <c r="D202" s="61"/>
      <c r="E202" s="61"/>
      <c r="F202" s="61"/>
    </row>
    <row r="203" spans="4:6" ht="12.75">
      <c r="D203" s="61"/>
      <c r="E203" s="61"/>
      <c r="F203" s="61"/>
    </row>
    <row r="204" spans="4:6" ht="12.75">
      <c r="D204" s="61"/>
      <c r="E204" s="61"/>
      <c r="F204" s="61"/>
    </row>
    <row r="205" spans="4:6" ht="12.75">
      <c r="D205" s="61"/>
      <c r="E205" s="61"/>
      <c r="F205" s="61"/>
    </row>
    <row r="206" spans="4:6" ht="12.75">
      <c r="D206" s="61"/>
      <c r="E206" s="61"/>
      <c r="F206" s="61"/>
    </row>
    <row r="207" spans="4:6" ht="12.75">
      <c r="D207" s="61"/>
      <c r="E207" s="61"/>
      <c r="F207" s="61"/>
    </row>
    <row r="208" spans="4:6" ht="12.75">
      <c r="D208" s="61"/>
      <c r="E208" s="61"/>
      <c r="F208" s="61"/>
    </row>
    <row r="209" spans="4:6" ht="12.75">
      <c r="D209" s="61"/>
      <c r="E209" s="61"/>
      <c r="F209" s="61"/>
    </row>
    <row r="210" spans="4:6" ht="12.75">
      <c r="D210" s="61"/>
      <c r="E210" s="61"/>
      <c r="F210" s="61"/>
    </row>
    <row r="211" spans="4:6" ht="12.75">
      <c r="D211" s="61"/>
      <c r="E211" s="61"/>
      <c r="F211" s="61"/>
    </row>
    <row r="212" spans="4:6" ht="12.75">
      <c r="D212" s="61"/>
      <c r="E212" s="61"/>
      <c r="F212" s="61"/>
    </row>
    <row r="213" spans="4:6" ht="12.75">
      <c r="D213" s="61"/>
      <c r="E213" s="61"/>
      <c r="F213" s="61"/>
    </row>
    <row r="214" spans="4:6" ht="12.75">
      <c r="D214" s="61"/>
      <c r="E214" s="61"/>
      <c r="F214" s="61"/>
    </row>
    <row r="215" spans="4:6" ht="12.75">
      <c r="D215" s="61"/>
      <c r="E215" s="61"/>
      <c r="F215" s="61"/>
    </row>
    <row r="216" spans="4:6" ht="12.75">
      <c r="D216" s="61"/>
      <c r="E216" s="61"/>
      <c r="F216" s="61"/>
    </row>
    <row r="217" spans="4:6" ht="12.75">
      <c r="D217" s="61"/>
      <c r="E217" s="61"/>
      <c r="F217" s="61"/>
    </row>
    <row r="218" spans="4:6" ht="12.75">
      <c r="D218" s="61"/>
      <c r="E218" s="61"/>
      <c r="F218" s="61"/>
    </row>
    <row r="219" spans="4:6" ht="12.75">
      <c r="D219" s="61"/>
      <c r="E219" s="61"/>
      <c r="F219" s="61"/>
    </row>
    <row r="220" spans="4:6" ht="12.75">
      <c r="D220" s="61"/>
      <c r="E220" s="61"/>
      <c r="F220" s="61"/>
    </row>
    <row r="221" spans="4:6" ht="12.75">
      <c r="D221" s="61"/>
      <c r="E221" s="61"/>
      <c r="F221" s="61"/>
    </row>
    <row r="222" spans="4:6" ht="12.75">
      <c r="D222" s="61"/>
      <c r="E222" s="61"/>
      <c r="F222" s="61"/>
    </row>
    <row r="223" spans="4:6" ht="12.75">
      <c r="D223" s="61"/>
      <c r="E223" s="61"/>
      <c r="F223" s="61"/>
    </row>
    <row r="224" spans="4:6" ht="12.75">
      <c r="D224" s="61"/>
      <c r="E224" s="61"/>
      <c r="F224" s="61"/>
    </row>
    <row r="225" spans="4:6" ht="12.75">
      <c r="D225" s="61"/>
      <c r="E225" s="61"/>
      <c r="F225" s="61"/>
    </row>
    <row r="226" spans="4:6" ht="12.75">
      <c r="D226" s="61"/>
      <c r="E226" s="61"/>
      <c r="F226" s="61"/>
    </row>
    <row r="227" spans="4:6" ht="12.75">
      <c r="D227" s="61"/>
      <c r="E227" s="61"/>
      <c r="F227" s="61"/>
    </row>
    <row r="228" spans="4:6" ht="12.75">
      <c r="D228" s="61"/>
      <c r="E228" s="61"/>
      <c r="F228" s="61"/>
    </row>
    <row r="229" spans="4:6" ht="12.75">
      <c r="D229" s="61"/>
      <c r="E229" s="61"/>
      <c r="F229" s="61"/>
    </row>
    <row r="230" spans="4:6" ht="12.75">
      <c r="D230" s="61"/>
      <c r="E230" s="61"/>
      <c r="F230" s="61"/>
    </row>
    <row r="231" spans="4:6" ht="12.75">
      <c r="D231" s="61"/>
      <c r="E231" s="61"/>
      <c r="F231" s="61"/>
    </row>
    <row r="232" spans="4:6" ht="12.75">
      <c r="D232" s="61"/>
      <c r="E232" s="61"/>
      <c r="F232" s="61"/>
    </row>
    <row r="233" spans="4:6" ht="12.75">
      <c r="D233" s="61"/>
      <c r="E233" s="61"/>
      <c r="F233" s="61"/>
    </row>
    <row r="234" spans="4:6" ht="12.75">
      <c r="D234" s="61"/>
      <c r="E234" s="61"/>
      <c r="F234" s="61"/>
    </row>
    <row r="235" spans="4:6" ht="12.75">
      <c r="D235" s="61"/>
      <c r="E235" s="61"/>
      <c r="F235" s="61"/>
    </row>
    <row r="236" spans="4:6" ht="12.75">
      <c r="D236" s="61"/>
      <c r="E236" s="61"/>
      <c r="F236" s="61"/>
    </row>
    <row r="237" spans="4:6" ht="12.75">
      <c r="D237" s="61"/>
      <c r="E237" s="61"/>
      <c r="F237" s="61"/>
    </row>
    <row r="238" spans="4:6" ht="12.75">
      <c r="D238" s="61"/>
      <c r="E238" s="61"/>
      <c r="F238" s="61"/>
    </row>
    <row r="239" spans="4:6" ht="12.75">
      <c r="D239" s="61"/>
      <c r="E239" s="61"/>
      <c r="F239" s="61"/>
    </row>
    <row r="240" spans="4:6" ht="12.75">
      <c r="D240" s="61"/>
      <c r="E240" s="61"/>
      <c r="F240" s="61"/>
    </row>
    <row r="241" spans="4:6" ht="12.75">
      <c r="D241" s="61"/>
      <c r="E241" s="61"/>
      <c r="F241" s="61"/>
    </row>
    <row r="242" spans="4:6" ht="12.75">
      <c r="D242" s="61"/>
      <c r="E242" s="61"/>
      <c r="F242" s="61"/>
    </row>
    <row r="243" spans="4:6" ht="12.75">
      <c r="D243" s="61"/>
      <c r="E243" s="61"/>
      <c r="F243" s="61"/>
    </row>
    <row r="244" spans="4:6" ht="12.75">
      <c r="D244" s="61"/>
      <c r="E244" s="61"/>
      <c r="F244" s="61"/>
    </row>
    <row r="245" spans="4:6" ht="12.75">
      <c r="D245" s="61"/>
      <c r="E245" s="61"/>
      <c r="F245" s="61"/>
    </row>
    <row r="246" spans="4:6" ht="12.75">
      <c r="D246" s="61"/>
      <c r="E246" s="61"/>
      <c r="F246" s="61"/>
    </row>
    <row r="247" spans="4:6" ht="12.75">
      <c r="D247" s="61"/>
      <c r="E247" s="61"/>
      <c r="F247" s="61"/>
    </row>
    <row r="248" spans="4:6" ht="12.75">
      <c r="D248" s="61"/>
      <c r="E248" s="61"/>
      <c r="F248" s="61"/>
    </row>
    <row r="249" spans="4:6" ht="12.75">
      <c r="D249" s="61"/>
      <c r="E249" s="61"/>
      <c r="F249" s="61"/>
    </row>
    <row r="250" spans="4:6" ht="12.75">
      <c r="D250" s="61"/>
      <c r="E250" s="61"/>
      <c r="F250" s="61"/>
    </row>
    <row r="251" spans="4:6" ht="12.75">
      <c r="D251" s="61"/>
      <c r="E251" s="61"/>
      <c r="F251" s="61"/>
    </row>
    <row r="252" spans="4:6" ht="12.75">
      <c r="D252" s="61"/>
      <c r="E252" s="61"/>
      <c r="F252" s="61"/>
    </row>
    <row r="253" spans="4:6" ht="12.75">
      <c r="D253" s="61"/>
      <c r="E253" s="61"/>
      <c r="F253" s="61"/>
    </row>
    <row r="254" spans="4:6" ht="12.75">
      <c r="D254" s="61"/>
      <c r="E254" s="61"/>
      <c r="F254" s="61"/>
    </row>
    <row r="255" spans="4:6" ht="12.75">
      <c r="D255" s="61"/>
      <c r="E255" s="61"/>
      <c r="F255" s="61"/>
    </row>
    <row r="256" spans="4:6" ht="12.75">
      <c r="D256" s="61"/>
      <c r="E256" s="61"/>
      <c r="F256" s="61"/>
    </row>
    <row r="257" spans="4:6" ht="12.75">
      <c r="D257" s="61"/>
      <c r="E257" s="61"/>
      <c r="F257" s="61"/>
    </row>
    <row r="258" spans="4:6" ht="12.75">
      <c r="D258" s="61"/>
      <c r="E258" s="61"/>
      <c r="F258" s="61"/>
    </row>
    <row r="259" spans="4:6" ht="12.75">
      <c r="D259" s="61"/>
      <c r="E259" s="61"/>
      <c r="F259" s="61"/>
    </row>
    <row r="260" spans="4:6" ht="12.75">
      <c r="D260" s="61"/>
      <c r="E260" s="61"/>
      <c r="F260" s="61"/>
    </row>
    <row r="261" spans="4:6" ht="12.75">
      <c r="D261" s="61"/>
      <c r="E261" s="61"/>
      <c r="F261" s="61"/>
    </row>
    <row r="262" spans="4:6" ht="12.75">
      <c r="D262" s="61"/>
      <c r="E262" s="61"/>
      <c r="F262" s="61"/>
    </row>
    <row r="263" spans="4:6" ht="12.75">
      <c r="D263" s="61"/>
      <c r="E263" s="61"/>
      <c r="F263" s="61"/>
    </row>
    <row r="264" spans="4:6" ht="12.75">
      <c r="D264" s="61"/>
      <c r="E264" s="61"/>
      <c r="F264" s="61"/>
    </row>
    <row r="265" spans="4:6" ht="12.75">
      <c r="D265" s="61"/>
      <c r="E265" s="61"/>
      <c r="F265" s="61"/>
    </row>
    <row r="266" spans="4:6" ht="12.75">
      <c r="D266" s="61"/>
      <c r="E266" s="61"/>
      <c r="F266" s="61"/>
    </row>
    <row r="267" spans="4:6" ht="12.75">
      <c r="D267" s="61"/>
      <c r="E267" s="61"/>
      <c r="F267" s="61"/>
    </row>
    <row r="268" spans="4:6" ht="12.75">
      <c r="D268" s="61"/>
      <c r="E268" s="61"/>
      <c r="F268" s="61"/>
    </row>
    <row r="269" spans="4:6" ht="12.75">
      <c r="D269" s="61"/>
      <c r="E269" s="61"/>
      <c r="F269" s="61"/>
    </row>
    <row r="270" spans="4:6" ht="12.75">
      <c r="D270" s="61"/>
      <c r="E270" s="61"/>
      <c r="F270" s="61"/>
    </row>
    <row r="271" spans="4:6" ht="12.75">
      <c r="D271" s="61"/>
      <c r="E271" s="61"/>
      <c r="F271" s="61"/>
    </row>
    <row r="272" spans="4:6" ht="12.75">
      <c r="D272" s="61"/>
      <c r="E272" s="61"/>
      <c r="F272" s="61"/>
    </row>
    <row r="273" spans="4:6" ht="12.75">
      <c r="D273" s="61"/>
      <c r="E273" s="61"/>
      <c r="F273" s="61"/>
    </row>
    <row r="274" spans="4:6" ht="12.75">
      <c r="D274" s="61"/>
      <c r="E274" s="61"/>
      <c r="F274" s="61"/>
    </row>
    <row r="275" spans="4:6" ht="12.75">
      <c r="D275" s="61"/>
      <c r="E275" s="61"/>
      <c r="F275" s="61"/>
    </row>
    <row r="276" spans="4:6" ht="12.75">
      <c r="D276" s="61"/>
      <c r="E276" s="61"/>
      <c r="F276" s="61"/>
    </row>
    <row r="277" spans="4:6" ht="12.75">
      <c r="D277" s="61"/>
      <c r="E277" s="61"/>
      <c r="F277" s="61"/>
    </row>
    <row r="278" spans="4:6" ht="12.75">
      <c r="D278" s="61"/>
      <c r="E278" s="61"/>
      <c r="F278" s="61"/>
    </row>
    <row r="279" spans="4:6" ht="12.75">
      <c r="D279" s="61"/>
      <c r="E279" s="61"/>
      <c r="F279" s="61"/>
    </row>
    <row r="280" spans="4:6" ht="12.75">
      <c r="D280" s="61"/>
      <c r="E280" s="61"/>
      <c r="F280" s="61"/>
    </row>
    <row r="281" spans="4:6" ht="12.75">
      <c r="D281" s="61"/>
      <c r="E281" s="61"/>
      <c r="F281" s="61"/>
    </row>
    <row r="282" spans="4:6" ht="12.75">
      <c r="D282" s="61"/>
      <c r="E282" s="61"/>
      <c r="F282" s="61"/>
    </row>
    <row r="283" spans="4:6" ht="12.75">
      <c r="D283" s="61"/>
      <c r="E283" s="61"/>
      <c r="F283" s="61"/>
    </row>
    <row r="284" spans="4:6" ht="12.75">
      <c r="D284" s="61"/>
      <c r="E284" s="61"/>
      <c r="F284" s="61"/>
    </row>
    <row r="285" spans="4:6" ht="12.75">
      <c r="D285" s="61"/>
      <c r="E285" s="61"/>
      <c r="F285" s="61"/>
    </row>
    <row r="286" spans="4:6" ht="12.75">
      <c r="D286" s="61"/>
      <c r="E286" s="61"/>
      <c r="F286" s="61"/>
    </row>
    <row r="287" spans="4:6" ht="12.75">
      <c r="D287" s="61"/>
      <c r="E287" s="61"/>
      <c r="F287" s="61"/>
    </row>
    <row r="288" spans="4:6" ht="12.75">
      <c r="D288" s="61"/>
      <c r="E288" s="61"/>
      <c r="F288" s="61"/>
    </row>
    <row r="289" spans="4:6" ht="12.75">
      <c r="D289" s="61"/>
      <c r="E289" s="61"/>
      <c r="F289" s="61"/>
    </row>
    <row r="290" spans="4:6" ht="12.75">
      <c r="D290" s="61"/>
      <c r="E290" s="61"/>
      <c r="F290" s="61"/>
    </row>
    <row r="291" spans="4:6" ht="12.75">
      <c r="D291" s="61"/>
      <c r="E291" s="61"/>
      <c r="F291" s="61"/>
    </row>
    <row r="292" spans="4:6" ht="12.75">
      <c r="D292" s="61"/>
      <c r="E292" s="61"/>
      <c r="F292" s="61"/>
    </row>
    <row r="293" spans="4:6" ht="12.75">
      <c r="D293" s="61"/>
      <c r="E293" s="61"/>
      <c r="F293" s="61"/>
    </row>
    <row r="294" spans="4:6" ht="12.75">
      <c r="D294" s="61"/>
      <c r="E294" s="61"/>
      <c r="F294" s="61"/>
    </row>
    <row r="295" spans="4:6" ht="12.75">
      <c r="D295" s="61"/>
      <c r="E295" s="61"/>
      <c r="F295" s="61"/>
    </row>
    <row r="296" spans="4:6" ht="12.75">
      <c r="D296" s="61"/>
      <c r="E296" s="61"/>
      <c r="F296" s="61"/>
    </row>
    <row r="297" spans="4:6" ht="12.75">
      <c r="D297" s="61"/>
      <c r="E297" s="61"/>
      <c r="F297" s="61"/>
    </row>
    <row r="298" spans="4:6" ht="12.75">
      <c r="D298" s="61"/>
      <c r="E298" s="61"/>
      <c r="F298" s="61"/>
    </row>
    <row r="299" spans="4:6" ht="12.75">
      <c r="D299" s="61"/>
      <c r="E299" s="61"/>
      <c r="F299" s="61"/>
    </row>
    <row r="300" spans="4:6" ht="12.75">
      <c r="D300" s="61"/>
      <c r="E300" s="61"/>
      <c r="F300" s="61"/>
    </row>
    <row r="301" spans="4:6" ht="12.75">
      <c r="D301" s="61"/>
      <c r="E301" s="61"/>
      <c r="F301" s="61"/>
    </row>
    <row r="302" spans="4:6" ht="12.75">
      <c r="D302" s="61"/>
      <c r="E302" s="61"/>
      <c r="F302" s="61"/>
    </row>
    <row r="303" spans="4:6" ht="12.75">
      <c r="D303" s="61"/>
      <c r="E303" s="61"/>
      <c r="F303" s="61"/>
    </row>
    <row r="304" spans="4:6" ht="12.75">
      <c r="D304" s="61"/>
      <c r="E304" s="61"/>
      <c r="F304" s="61"/>
    </row>
    <row r="305" spans="4:6" ht="12.75">
      <c r="D305" s="61"/>
      <c r="E305" s="61"/>
      <c r="F305" s="61"/>
    </row>
    <row r="306" spans="4:6" ht="12.75">
      <c r="D306" s="61"/>
      <c r="E306" s="61"/>
      <c r="F306" s="61"/>
    </row>
    <row r="307" spans="4:6" ht="12.75">
      <c r="D307" s="61"/>
      <c r="E307" s="61"/>
      <c r="F307" s="61"/>
    </row>
    <row r="308" spans="4:6" ht="12.75">
      <c r="D308" s="61"/>
      <c r="E308" s="61"/>
      <c r="F308" s="61"/>
    </row>
    <row r="309" spans="4:6" ht="12.75">
      <c r="D309" s="61"/>
      <c r="E309" s="61"/>
      <c r="F309" s="61"/>
    </row>
    <row r="310" spans="4:6" ht="12.75">
      <c r="D310" s="61"/>
      <c r="E310" s="61"/>
      <c r="F310" s="61"/>
    </row>
    <row r="311" spans="4:6" ht="12.75">
      <c r="D311" s="61"/>
      <c r="E311" s="61"/>
      <c r="F311" s="61"/>
    </row>
    <row r="312" spans="4:6" ht="12.75">
      <c r="D312" s="61"/>
      <c r="E312" s="61"/>
      <c r="F312" s="61"/>
    </row>
    <row r="313" spans="4:6" ht="12.75">
      <c r="D313" s="61"/>
      <c r="E313" s="61"/>
      <c r="F313" s="61"/>
    </row>
    <row r="314" spans="4:6" ht="12.75">
      <c r="D314" s="61"/>
      <c r="E314" s="61"/>
      <c r="F314" s="61"/>
    </row>
    <row r="315" spans="4:6" ht="12.75">
      <c r="D315" s="61"/>
      <c r="E315" s="61"/>
      <c r="F315" s="61"/>
    </row>
    <row r="316" spans="4:6" ht="12.75">
      <c r="D316" s="61"/>
      <c r="E316" s="61"/>
      <c r="F316" s="61"/>
    </row>
    <row r="317" spans="4:6" ht="12.75">
      <c r="D317" s="61"/>
      <c r="E317" s="61"/>
      <c r="F317" s="61"/>
    </row>
    <row r="318" spans="4:6" ht="12.75">
      <c r="D318" s="61"/>
      <c r="E318" s="61"/>
      <c r="F318" s="61"/>
    </row>
    <row r="319" spans="4:6" ht="12.75">
      <c r="D319" s="61"/>
      <c r="E319" s="61"/>
      <c r="F319" s="61"/>
    </row>
    <row r="320" spans="4:6" ht="12.75">
      <c r="D320" s="61"/>
      <c r="E320" s="61"/>
      <c r="F320" s="61"/>
    </row>
    <row r="321" spans="4:6" ht="12.75">
      <c r="D321" s="61"/>
      <c r="E321" s="61"/>
      <c r="F321" s="61"/>
    </row>
    <row r="322" spans="4:6" ht="12.75">
      <c r="D322" s="61"/>
      <c r="E322" s="61"/>
      <c r="F322" s="61"/>
    </row>
    <row r="323" spans="4:6" ht="12.75">
      <c r="D323" s="61"/>
      <c r="E323" s="61"/>
      <c r="F323" s="61"/>
    </row>
    <row r="324" spans="4:6" ht="12.75">
      <c r="D324" s="61"/>
      <c r="E324" s="61"/>
      <c r="F324" s="61"/>
    </row>
    <row r="325" spans="4:6" ht="12.75">
      <c r="D325" s="61"/>
      <c r="E325" s="61"/>
      <c r="F325" s="61"/>
    </row>
    <row r="326" spans="4:6" ht="12.75">
      <c r="D326" s="61"/>
      <c r="E326" s="61"/>
      <c r="F326" s="61"/>
    </row>
    <row r="327" spans="4:6" ht="12.75">
      <c r="D327" s="61"/>
      <c r="E327" s="61"/>
      <c r="F327" s="61"/>
    </row>
    <row r="328" spans="4:6" ht="12.75">
      <c r="D328" s="61"/>
      <c r="E328" s="61"/>
      <c r="F328" s="61"/>
    </row>
    <row r="329" spans="4:6" ht="12.75">
      <c r="D329" s="61"/>
      <c r="E329" s="61"/>
      <c r="F329" s="61"/>
    </row>
    <row r="330" spans="4:6" ht="12.75">
      <c r="D330" s="61"/>
      <c r="E330" s="61"/>
      <c r="F330" s="61"/>
    </row>
    <row r="331" spans="4:6" ht="12.75">
      <c r="D331" s="61"/>
      <c r="E331" s="61"/>
      <c r="F331" s="61"/>
    </row>
    <row r="332" spans="4:6" ht="12.75">
      <c r="D332" s="61"/>
      <c r="E332" s="61"/>
      <c r="F332" s="61"/>
    </row>
    <row r="333" spans="4:6" ht="12.75">
      <c r="D333" s="61"/>
      <c r="E333" s="61"/>
      <c r="F333" s="61"/>
    </row>
    <row r="334" spans="4:6" ht="12.75">
      <c r="D334" s="61"/>
      <c r="E334" s="61"/>
      <c r="F334" s="61"/>
    </row>
    <row r="335" spans="4:6" ht="12.75">
      <c r="D335" s="61"/>
      <c r="E335" s="61"/>
      <c r="F335" s="61"/>
    </row>
    <row r="336" spans="4:6" ht="12.75">
      <c r="D336" s="61"/>
      <c r="E336" s="61"/>
      <c r="F336" s="61"/>
    </row>
    <row r="337" spans="4:6" ht="12.75">
      <c r="D337" s="61"/>
      <c r="E337" s="61"/>
      <c r="F337" s="61"/>
    </row>
    <row r="338" spans="4:6" ht="12.75">
      <c r="D338" s="61"/>
      <c r="E338" s="61"/>
      <c r="F338" s="61"/>
    </row>
    <row r="339" spans="4:6" ht="12.75">
      <c r="D339" s="61"/>
      <c r="E339" s="61"/>
      <c r="F339" s="61"/>
    </row>
    <row r="340" spans="4:6" ht="12.75">
      <c r="D340" s="61"/>
      <c r="E340" s="61"/>
      <c r="F340" s="61"/>
    </row>
    <row r="341" spans="4:6" ht="12.75">
      <c r="D341" s="61"/>
      <c r="E341" s="61"/>
      <c r="F341" s="61"/>
    </row>
    <row r="342" spans="4:6" ht="12.75">
      <c r="D342" s="61"/>
      <c r="E342" s="61"/>
      <c r="F342" s="61"/>
    </row>
    <row r="343" spans="4:6" ht="12.75">
      <c r="D343" s="61"/>
      <c r="E343" s="61"/>
      <c r="F343" s="61"/>
    </row>
    <row r="344" spans="4:6" ht="12.75">
      <c r="D344" s="61"/>
      <c r="E344" s="61"/>
      <c r="F344" s="61"/>
    </row>
    <row r="345" spans="4:6" ht="12.75">
      <c r="D345" s="61"/>
      <c r="E345" s="61"/>
      <c r="F345" s="61"/>
    </row>
    <row r="346" spans="4:6" ht="12.75">
      <c r="D346" s="61"/>
      <c r="E346" s="61"/>
      <c r="F346" s="61"/>
    </row>
    <row r="347" spans="4:6" ht="12.75">
      <c r="D347" s="61"/>
      <c r="E347" s="61"/>
      <c r="F347" s="61"/>
    </row>
    <row r="348" spans="4:6" ht="12.75">
      <c r="D348" s="61"/>
      <c r="E348" s="61"/>
      <c r="F348" s="61"/>
    </row>
    <row r="349" spans="4:6" ht="12.75">
      <c r="D349" s="61"/>
      <c r="E349" s="61"/>
      <c r="F349" s="61"/>
    </row>
    <row r="350" spans="4:6" ht="12.75">
      <c r="D350" s="61"/>
      <c r="E350" s="61"/>
      <c r="F350" s="61"/>
    </row>
    <row r="351" spans="4:6" ht="12.75">
      <c r="D351" s="61"/>
      <c r="E351" s="61"/>
      <c r="F351" s="61"/>
    </row>
    <row r="352" spans="4:6" ht="12.75">
      <c r="D352" s="61"/>
      <c r="E352" s="61"/>
      <c r="F352" s="61"/>
    </row>
    <row r="353" spans="4:6" ht="12.75">
      <c r="D353" s="61"/>
      <c r="E353" s="61"/>
      <c r="F353" s="61"/>
    </row>
    <row r="354" spans="4:6" ht="12.75">
      <c r="D354" s="61"/>
      <c r="E354" s="61"/>
      <c r="F354" s="61"/>
    </row>
    <row r="355" spans="4:6" ht="12.75">
      <c r="D355" s="61"/>
      <c r="E355" s="61"/>
      <c r="F355" s="61"/>
    </row>
    <row r="356" spans="4:6" ht="12.75">
      <c r="D356" s="61"/>
      <c r="E356" s="61"/>
      <c r="F356" s="61"/>
    </row>
    <row r="357" spans="4:6" ht="12.75">
      <c r="D357" s="61"/>
      <c r="E357" s="61"/>
      <c r="F357" s="61"/>
    </row>
    <row r="358" spans="4:6" ht="12.75">
      <c r="D358" s="61"/>
      <c r="E358" s="61"/>
      <c r="F358" s="61"/>
    </row>
    <row r="359" spans="4:6" ht="12.75">
      <c r="D359" s="61"/>
      <c r="E359" s="61"/>
      <c r="F359" s="61"/>
    </row>
    <row r="360" spans="4:6" ht="12.75">
      <c r="D360" s="61"/>
      <c r="E360" s="61"/>
      <c r="F360" s="61"/>
    </row>
    <row r="361" spans="4:6" ht="12.75">
      <c r="D361" s="61"/>
      <c r="E361" s="61"/>
      <c r="F361" s="61"/>
    </row>
    <row r="362" spans="4:6" ht="12.75">
      <c r="D362" s="61"/>
      <c r="E362" s="61"/>
      <c r="F362" s="61"/>
    </row>
    <row r="363" spans="4:6" ht="12.75">
      <c r="D363" s="61"/>
      <c r="E363" s="61"/>
      <c r="F363" s="61"/>
    </row>
    <row r="364" spans="4:6" ht="12.75">
      <c r="D364" s="61"/>
      <c r="E364" s="61"/>
      <c r="F364" s="61"/>
    </row>
    <row r="365" spans="4:6" ht="12.75">
      <c r="D365" s="61"/>
      <c r="E365" s="61"/>
      <c r="F365" s="61"/>
    </row>
    <row r="366" spans="4:6" ht="12.75">
      <c r="D366" s="61"/>
      <c r="E366" s="61"/>
      <c r="F366" s="61"/>
    </row>
    <row r="367" spans="4:6" ht="12.75">
      <c r="D367" s="61"/>
      <c r="E367" s="61"/>
      <c r="F367" s="61"/>
    </row>
    <row r="368" spans="4:6" ht="12.75">
      <c r="D368" s="61"/>
      <c r="E368" s="61"/>
      <c r="F368" s="61"/>
    </row>
    <row r="369" spans="4:6" ht="12.75">
      <c r="D369" s="61"/>
      <c r="E369" s="61"/>
      <c r="F369" s="61"/>
    </row>
    <row r="370" spans="4:6" ht="12.75">
      <c r="D370" s="61"/>
      <c r="E370" s="61"/>
      <c r="F370" s="61"/>
    </row>
    <row r="371" spans="4:6" ht="12.75">
      <c r="D371" s="61"/>
      <c r="E371" s="61"/>
      <c r="F371" s="61"/>
    </row>
    <row r="372" spans="4:6" ht="12.75">
      <c r="D372" s="61"/>
      <c r="E372" s="61"/>
      <c r="F372" s="61"/>
    </row>
    <row r="373" spans="4:6" ht="12.75">
      <c r="D373" s="61"/>
      <c r="E373" s="61"/>
      <c r="F373" s="61"/>
    </row>
    <row r="374" spans="4:6" ht="12.75">
      <c r="D374" s="61"/>
      <c r="E374" s="61"/>
      <c r="F374" s="61"/>
    </row>
    <row r="375" spans="4:6" ht="12.75">
      <c r="D375" s="61"/>
      <c r="E375" s="61"/>
      <c r="F375" s="61"/>
    </row>
    <row r="376" spans="4:6" ht="12.75">
      <c r="D376" s="61"/>
      <c r="E376" s="61"/>
      <c r="F376" s="61"/>
    </row>
    <row r="377" spans="4:6" ht="12.75">
      <c r="D377" s="61"/>
      <c r="E377" s="61"/>
      <c r="F377" s="61"/>
    </row>
    <row r="378" spans="4:6" ht="12.75">
      <c r="D378" s="61"/>
      <c r="E378" s="61"/>
      <c r="F378" s="61"/>
    </row>
    <row r="379" spans="4:6" ht="12.75">
      <c r="D379" s="61"/>
      <c r="E379" s="61"/>
      <c r="F379" s="61"/>
    </row>
    <row r="380" spans="4:6" ht="12.75">
      <c r="D380" s="61"/>
      <c r="E380" s="61"/>
      <c r="F380" s="61"/>
    </row>
    <row r="381" spans="4:6" ht="12.75">
      <c r="D381" s="61"/>
      <c r="E381" s="61"/>
      <c r="F381" s="61"/>
    </row>
    <row r="382" spans="4:6" ht="12.75">
      <c r="D382" s="61"/>
      <c r="E382" s="61"/>
      <c r="F382" s="61"/>
    </row>
    <row r="383" spans="4:6" ht="12.75">
      <c r="D383" s="61"/>
      <c r="E383" s="61"/>
      <c r="F383" s="61"/>
    </row>
    <row r="384" spans="4:6" ht="12.75">
      <c r="D384" s="61"/>
      <c r="E384" s="61"/>
      <c r="F384" s="61"/>
    </row>
    <row r="385" spans="4:6" ht="12.75">
      <c r="D385" s="61"/>
      <c r="E385" s="61"/>
      <c r="F385" s="61"/>
    </row>
    <row r="386" spans="4:6" ht="12.75">
      <c r="D386" s="61"/>
      <c r="E386" s="61"/>
      <c r="F386" s="61"/>
    </row>
    <row r="387" spans="4:6" ht="12.75">
      <c r="D387" s="61"/>
      <c r="E387" s="61"/>
      <c r="F387" s="61"/>
    </row>
    <row r="388" spans="4:6" ht="12.75">
      <c r="D388" s="61"/>
      <c r="E388" s="61"/>
      <c r="F388" s="61"/>
    </row>
    <row r="389" spans="4:6" ht="12.75">
      <c r="D389" s="61"/>
      <c r="E389" s="61"/>
      <c r="F389" s="61"/>
    </row>
    <row r="390" spans="4:6" ht="12.75">
      <c r="D390" s="61"/>
      <c r="E390" s="61"/>
      <c r="F390" s="61"/>
    </row>
    <row r="391" spans="4:6" ht="12.75">
      <c r="D391" s="61"/>
      <c r="E391" s="61"/>
      <c r="F391" s="61"/>
    </row>
    <row r="392" spans="4:6" ht="12.75">
      <c r="D392" s="61"/>
      <c r="E392" s="61"/>
      <c r="F392" s="61"/>
    </row>
    <row r="393" spans="4:6" ht="12.75">
      <c r="D393" s="61"/>
      <c r="E393" s="61"/>
      <c r="F393" s="61"/>
    </row>
    <row r="394" spans="4:6" ht="12.75">
      <c r="D394" s="61"/>
      <c r="E394" s="61"/>
      <c r="F394" s="61"/>
    </row>
    <row r="395" spans="4:6" ht="12.75">
      <c r="D395" s="61"/>
      <c r="E395" s="61"/>
      <c r="F395" s="61"/>
    </row>
    <row r="396" spans="4:6" ht="12.75">
      <c r="D396" s="61"/>
      <c r="E396" s="61"/>
      <c r="F396" s="61"/>
    </row>
    <row r="397" spans="4:6" ht="12.75">
      <c r="D397" s="61"/>
      <c r="E397" s="61"/>
      <c r="F397" s="61"/>
    </row>
    <row r="398" spans="4:6" ht="12.75">
      <c r="D398" s="61"/>
      <c r="E398" s="61"/>
      <c r="F398" s="61"/>
    </row>
    <row r="399" spans="4:6" ht="12.75">
      <c r="D399" s="61"/>
      <c r="E399" s="61"/>
      <c r="F399" s="61"/>
    </row>
    <row r="400" spans="4:6" ht="12.75">
      <c r="D400" s="61"/>
      <c r="E400" s="61"/>
      <c r="F400" s="61"/>
    </row>
    <row r="401" spans="4:6" ht="12.75">
      <c r="D401" s="61"/>
      <c r="E401" s="61"/>
      <c r="F401" s="61"/>
    </row>
    <row r="402" spans="4:6" ht="12.75">
      <c r="D402" s="61"/>
      <c r="E402" s="61"/>
      <c r="F402" s="61"/>
    </row>
    <row r="403" spans="4:6" ht="12.75">
      <c r="D403" s="61"/>
      <c r="E403" s="61"/>
      <c r="F403" s="61"/>
    </row>
    <row r="404" spans="4:6" ht="12.75">
      <c r="D404" s="61"/>
      <c r="E404" s="61"/>
      <c r="F404" s="61"/>
    </row>
    <row r="405" spans="4:6" ht="12.75">
      <c r="D405" s="61"/>
      <c r="E405" s="61"/>
      <c r="F405" s="61"/>
    </row>
    <row r="406" spans="4:6" ht="12.75">
      <c r="D406" s="61"/>
      <c r="E406" s="61"/>
      <c r="F406" s="61"/>
    </row>
    <row r="407" spans="4:6" ht="12.75">
      <c r="D407" s="61"/>
      <c r="E407" s="61"/>
      <c r="F407" s="61"/>
    </row>
    <row r="408" spans="4:6" ht="12.75">
      <c r="D408" s="61"/>
      <c r="E408" s="61"/>
      <c r="F408" s="61"/>
    </row>
    <row r="409" spans="4:6" ht="12.75">
      <c r="D409" s="61"/>
      <c r="E409" s="61"/>
      <c r="F409" s="61"/>
    </row>
    <row r="410" spans="4:6" ht="12.75">
      <c r="D410" s="61"/>
      <c r="E410" s="61"/>
      <c r="F410" s="61"/>
    </row>
    <row r="411" spans="4:6" ht="12.75">
      <c r="D411" s="61"/>
      <c r="E411" s="61"/>
      <c r="F411" s="61"/>
    </row>
    <row r="412" spans="4:6" ht="12.75">
      <c r="D412" s="61"/>
      <c r="E412" s="61"/>
      <c r="F412" s="61"/>
    </row>
    <row r="413" spans="4:6" ht="12.75">
      <c r="D413" s="61"/>
      <c r="E413" s="61"/>
      <c r="F413" s="61"/>
    </row>
    <row r="414" spans="4:6" ht="12.75">
      <c r="D414" s="61"/>
      <c r="E414" s="61"/>
      <c r="F414" s="61"/>
    </row>
    <row r="415" spans="4:6" ht="12.75">
      <c r="D415" s="61"/>
      <c r="E415" s="61"/>
      <c r="F415" s="61"/>
    </row>
    <row r="416" spans="4:6" ht="12.75">
      <c r="D416" s="61"/>
      <c r="E416" s="61"/>
      <c r="F416" s="61"/>
    </row>
    <row r="417" spans="4:6" ht="12.75">
      <c r="D417" s="61"/>
      <c r="E417" s="61"/>
      <c r="F417" s="61"/>
    </row>
    <row r="418" spans="4:6" ht="12.75">
      <c r="D418" s="61"/>
      <c r="E418" s="61"/>
      <c r="F418" s="61"/>
    </row>
    <row r="419" spans="4:6" ht="12.75">
      <c r="D419" s="61"/>
      <c r="E419" s="61"/>
      <c r="F419" s="61"/>
    </row>
    <row r="420" spans="4:6" ht="12.75">
      <c r="D420" s="61"/>
      <c r="E420" s="61"/>
      <c r="F420" s="61"/>
    </row>
    <row r="421" spans="4:6" ht="12.75">
      <c r="D421" s="61"/>
      <c r="E421" s="61"/>
      <c r="F421" s="61"/>
    </row>
    <row r="422" spans="4:6" ht="12.75">
      <c r="D422" s="61"/>
      <c r="E422" s="61"/>
      <c r="F422" s="61"/>
    </row>
    <row r="423" spans="4:6" ht="12.75">
      <c r="D423" s="61"/>
      <c r="E423" s="61"/>
      <c r="F423" s="61"/>
    </row>
    <row r="424" spans="4:6" ht="12.75">
      <c r="D424" s="61"/>
      <c r="E424" s="61"/>
      <c r="F424" s="61"/>
    </row>
    <row r="425" spans="4:6" ht="12.75">
      <c r="D425" s="61"/>
      <c r="E425" s="61"/>
      <c r="F425" s="61"/>
    </row>
    <row r="426" spans="4:6" ht="12.75">
      <c r="D426" s="61"/>
      <c r="E426" s="61"/>
      <c r="F426" s="61"/>
    </row>
    <row r="427" spans="4:6" ht="12.75">
      <c r="D427" s="61"/>
      <c r="E427" s="61"/>
      <c r="F427" s="61"/>
    </row>
    <row r="428" spans="4:6" ht="12.75">
      <c r="D428" s="61"/>
      <c r="E428" s="61"/>
      <c r="F428" s="61"/>
    </row>
    <row r="429" spans="4:6" ht="12.75">
      <c r="D429" s="61"/>
      <c r="E429" s="61"/>
      <c r="F429" s="61"/>
    </row>
    <row r="430" spans="4:6" ht="12.75">
      <c r="D430" s="61"/>
      <c r="E430" s="61"/>
      <c r="F430" s="61"/>
    </row>
    <row r="431" spans="4:6" ht="12.75">
      <c r="D431" s="61"/>
      <c r="E431" s="61"/>
      <c r="F431" s="61"/>
    </row>
    <row r="432" spans="4:6" ht="12.75">
      <c r="D432" s="61"/>
      <c r="E432" s="61"/>
      <c r="F432" s="61"/>
    </row>
    <row r="433" spans="4:6" ht="12.75">
      <c r="D433" s="61"/>
      <c r="E433" s="61"/>
      <c r="F433" s="61"/>
    </row>
    <row r="434" spans="4:6" ht="12.75">
      <c r="D434" s="61"/>
      <c r="E434" s="61"/>
      <c r="F434" s="61"/>
    </row>
    <row r="435" spans="4:6" ht="12.75">
      <c r="D435" s="61"/>
      <c r="E435" s="61"/>
      <c r="F435" s="61"/>
    </row>
    <row r="436" spans="4:6" ht="12.75">
      <c r="D436" s="61"/>
      <c r="E436" s="61"/>
      <c r="F436" s="61"/>
    </row>
    <row r="437" spans="4:6" ht="12.75">
      <c r="D437" s="61"/>
      <c r="E437" s="61"/>
      <c r="F437" s="61"/>
    </row>
    <row r="438" spans="4:6" ht="12.75">
      <c r="D438" s="61"/>
      <c r="E438" s="61"/>
      <c r="F438" s="61"/>
    </row>
    <row r="439" spans="4:6" ht="12.75">
      <c r="D439" s="61"/>
      <c r="E439" s="61"/>
      <c r="F439" s="61"/>
    </row>
    <row r="440" spans="4:6" ht="12.75">
      <c r="D440" s="61"/>
      <c r="E440" s="61"/>
      <c r="F440" s="61"/>
    </row>
    <row r="441" spans="4:6" ht="12.75">
      <c r="D441" s="61"/>
      <c r="E441" s="61"/>
      <c r="F441" s="61"/>
    </row>
    <row r="442" spans="4:6" ht="12.75">
      <c r="D442" s="61"/>
      <c r="E442" s="61"/>
      <c r="F442" s="61"/>
    </row>
    <row r="443" spans="4:6" ht="12.75">
      <c r="D443" s="61"/>
      <c r="E443" s="61"/>
      <c r="F443" s="61"/>
    </row>
    <row r="444" spans="4:6" ht="12.75">
      <c r="D444" s="61"/>
      <c r="E444" s="61"/>
      <c r="F444" s="61"/>
    </row>
    <row r="445" spans="4:6" ht="12.75">
      <c r="D445" s="61"/>
      <c r="E445" s="61"/>
      <c r="F445" s="61"/>
    </row>
    <row r="446" spans="4:6" ht="12.75">
      <c r="D446" s="61"/>
      <c r="E446" s="61"/>
      <c r="F446" s="61"/>
    </row>
    <row r="447" spans="4:6" ht="12.75">
      <c r="D447" s="61"/>
      <c r="E447" s="61"/>
      <c r="F447" s="61"/>
    </row>
    <row r="448" spans="4:6" ht="12.75">
      <c r="D448" s="61"/>
      <c r="E448" s="61"/>
      <c r="F448" s="61"/>
    </row>
    <row r="449" spans="4:6" ht="12.75">
      <c r="D449" s="61"/>
      <c r="E449" s="61"/>
      <c r="F449" s="61"/>
    </row>
    <row r="450" spans="4:6" ht="12.75">
      <c r="D450" s="61"/>
      <c r="E450" s="61"/>
      <c r="F450" s="61"/>
    </row>
    <row r="451" spans="4:6" ht="12.75">
      <c r="D451" s="61"/>
      <c r="E451" s="61"/>
      <c r="F451" s="61"/>
    </row>
    <row r="452" spans="4:6" ht="12.75">
      <c r="D452" s="61"/>
      <c r="E452" s="61"/>
      <c r="F452" s="61"/>
    </row>
    <row r="453" spans="4:6" ht="12.75">
      <c r="D453" s="61"/>
      <c r="E453" s="61"/>
      <c r="F453" s="61"/>
    </row>
    <row r="454" spans="4:6" ht="12.75">
      <c r="D454" s="61"/>
      <c r="E454" s="61"/>
      <c r="F454" s="61"/>
    </row>
    <row r="455" spans="4:6" ht="12.75">
      <c r="D455" s="61"/>
      <c r="E455" s="61"/>
      <c r="F455" s="61"/>
    </row>
    <row r="456" spans="4:6" ht="12.75">
      <c r="D456" s="61"/>
      <c r="E456" s="61"/>
      <c r="F456" s="61"/>
    </row>
    <row r="457" spans="4:6" ht="12.75">
      <c r="D457" s="61"/>
      <c r="E457" s="61"/>
      <c r="F457" s="61"/>
    </row>
    <row r="458" spans="4:6" ht="12.75">
      <c r="D458" s="61"/>
      <c r="E458" s="61"/>
      <c r="F458" s="61"/>
    </row>
    <row r="459" spans="4:6" ht="12.75">
      <c r="D459" s="61"/>
      <c r="E459" s="61"/>
      <c r="F459" s="61"/>
    </row>
    <row r="460" spans="4:6" ht="12.75">
      <c r="D460" s="61"/>
      <c r="E460" s="61"/>
      <c r="F460" s="61"/>
    </row>
    <row r="461" spans="4:6" ht="12.75">
      <c r="D461" s="61"/>
      <c r="E461" s="61"/>
      <c r="F461" s="61"/>
    </row>
    <row r="462" spans="4:6" ht="12.75">
      <c r="D462" s="61"/>
      <c r="E462" s="61"/>
      <c r="F462" s="61"/>
    </row>
    <row r="463" spans="4:6" ht="12.75">
      <c r="D463" s="61"/>
      <c r="E463" s="61"/>
      <c r="F463" s="61"/>
    </row>
    <row r="464" spans="4:6" ht="12.75">
      <c r="D464" s="61"/>
      <c r="E464" s="61"/>
      <c r="F464" s="61"/>
    </row>
    <row r="465" spans="4:6" ht="12.75">
      <c r="D465" s="61"/>
      <c r="E465" s="61"/>
      <c r="F465" s="61"/>
    </row>
    <row r="466" spans="4:6" ht="12.75">
      <c r="D466" s="61"/>
      <c r="E466" s="61"/>
      <c r="F466" s="61"/>
    </row>
    <row r="467" spans="4:6" ht="12.75">
      <c r="D467" s="61"/>
      <c r="E467" s="61"/>
      <c r="F467" s="61"/>
    </row>
    <row r="468" spans="4:6" ht="12.75">
      <c r="D468" s="61"/>
      <c r="E468" s="61"/>
      <c r="F468" s="61"/>
    </row>
    <row r="469" spans="4:6" ht="12.75">
      <c r="D469" s="61"/>
      <c r="E469" s="61"/>
      <c r="F469" s="61"/>
    </row>
    <row r="470" spans="4:6" ht="12.75">
      <c r="D470" s="61"/>
      <c r="E470" s="61"/>
      <c r="F470" s="61"/>
    </row>
    <row r="471" spans="4:6" ht="12.75">
      <c r="D471" s="61"/>
      <c r="E471" s="61"/>
      <c r="F471" s="61"/>
    </row>
    <row r="472" spans="4:6" ht="12.75">
      <c r="D472" s="61"/>
      <c r="E472" s="61"/>
      <c r="F472" s="61"/>
    </row>
    <row r="473" spans="4:6" ht="12.75">
      <c r="D473" s="61"/>
      <c r="E473" s="61"/>
      <c r="F473" s="61"/>
    </row>
    <row r="474" spans="4:6" ht="12.75">
      <c r="D474" s="61"/>
      <c r="E474" s="61"/>
      <c r="F474" s="61"/>
    </row>
    <row r="475" spans="4:6" ht="12.75">
      <c r="D475" s="61"/>
      <c r="E475" s="61"/>
      <c r="F475" s="61"/>
    </row>
    <row r="476" spans="4:6" ht="12.75">
      <c r="D476" s="61"/>
      <c r="E476" s="61"/>
      <c r="F476" s="61"/>
    </row>
    <row r="477" spans="4:6" ht="12.75">
      <c r="D477" s="61"/>
      <c r="E477" s="61"/>
      <c r="F477" s="61"/>
    </row>
    <row r="478" spans="4:6" ht="12.75">
      <c r="D478" s="61"/>
      <c r="E478" s="61"/>
      <c r="F478" s="61"/>
    </row>
    <row r="479" spans="4:6" ht="12.75">
      <c r="D479" s="61"/>
      <c r="E479" s="61"/>
      <c r="F479" s="61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reeced</cp:lastModifiedBy>
  <cp:lastPrinted>2009-06-08T15:23:44Z</cp:lastPrinted>
  <dcterms:created xsi:type="dcterms:W3CDTF">2008-02-06T18:24:44Z</dcterms:created>
  <dcterms:modified xsi:type="dcterms:W3CDTF">2009-11-23T19:13:13Z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