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9555" tabRatio="606" activeTab="1"/>
  </bookViews>
  <sheets>
    <sheet name="Summary" sheetId="1" r:id="rId1"/>
    <sheet name="Purchased Power Model" sheetId="2" r:id="rId2"/>
    <sheet name="Rate Class Energy Model" sheetId="3" r:id="rId3"/>
    <sheet name="Rate Class Customer Model" sheetId="4" r:id="rId4"/>
    <sheet name="Rate Class Load Model" sheetId="5" r:id="rId5"/>
    <sheet name="Tables for Templates" sheetId="6" state="hidden" r:id="rId6"/>
    <sheet name="Graph" sheetId="7" state="hidden" r:id="rId7"/>
    <sheet name="Summary of Forecast Data" sheetId="8" state="hidden" r:id="rId8"/>
    <sheet name="Stats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1">'Purchased Power Model'!$A$1:$M$265</definedName>
    <definedName name="_xlnm.Print_Area" localSheetId="3">'Rate Class Customer Model'!$A$1:$J$32</definedName>
    <definedName name="_xlnm.Print_Area" localSheetId="2">'Rate Class Energy Model'!$A$1:$O$72</definedName>
    <definedName name="_xlnm.Print_Area" localSheetId="4">'Rate Class Load Model'!$A$1:$G$29</definedName>
    <definedName name="_xlnm.Print_Titles" localSheetId="1">'Purchased Power Model'!$A:$M,'Purchased Power Model'!$1:$2</definedName>
  </definedNames>
  <calcPr fullCalcOnLoad="1"/>
</workbook>
</file>

<file path=xl/comments3.xml><?xml version="1.0" encoding="utf-8"?>
<comments xmlns="http://schemas.openxmlformats.org/spreadsheetml/2006/main">
  <authors>
    <author>Ravi Baichan</author>
  </authors>
  <commentList>
    <comment ref="F23" authorId="0">
      <text>
        <r>
          <rPr>
            <b/>
            <sz val="8"/>
            <rFont val="Tahoma"/>
            <family val="0"/>
          </rPr>
          <t>Ravi Baichan:</t>
        </r>
        <r>
          <rPr>
            <sz val="8"/>
            <rFont val="Tahoma"/>
            <family val="0"/>
          </rPr>
          <t xml:space="preserve">
5 years Average </t>
        </r>
      </text>
    </comment>
  </commentList>
</comments>
</file>

<file path=xl/comments4.xml><?xml version="1.0" encoding="utf-8"?>
<comments xmlns="http://schemas.openxmlformats.org/spreadsheetml/2006/main">
  <authors>
    <author>Ravi Baichan</author>
  </authors>
  <commentList>
    <comment ref="H13" authorId="0">
      <text>
        <r>
          <rPr>
            <b/>
            <sz val="8"/>
            <rFont val="Tahoma"/>
            <family val="0"/>
          </rPr>
          <t>Ravi Baichan
# of Connection @ April 2009</t>
        </r>
      </text>
    </comment>
    <comment ref="F13" authorId="0">
      <text>
        <r>
          <rPr>
            <b/>
            <sz val="8"/>
            <rFont val="Tahoma"/>
            <family val="0"/>
          </rPr>
          <t>Ravi Baichan:</t>
        </r>
        <r>
          <rPr>
            <sz val="8"/>
            <rFont val="Tahoma"/>
            <family val="0"/>
          </rPr>
          <t xml:space="preserve">
Customer Count @ April 2009
</t>
        </r>
      </text>
    </comment>
  </commentList>
</comments>
</file>

<file path=xl/sharedStrings.xml><?xml version="1.0" encoding="utf-8"?>
<sst xmlns="http://schemas.openxmlformats.org/spreadsheetml/2006/main" count="416" uniqueCount="158">
  <si>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</si>
  <si>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</si>
  <si>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</si>
  <si>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</si>
  <si>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</si>
  <si>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</si>
  <si>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</si>
  <si>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</si>
  <si>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</si>
  <si>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</si>
  <si>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</si>
  <si>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</si>
  <si>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</si>
  <si>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</si>
  <si>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</si>
  <si>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</si>
  <si>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</si>
  <si>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</si>
  <si>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</si>
  <si>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</si>
  <si>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</si>
  <si>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</si>
  <si>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</si>
  <si>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</si>
  <si>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</si>
  <si>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</si>
  <si>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>2009 Weather Normal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</si>
  <si>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</si>
  <si>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</si>
  <si>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</si>
  <si>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</si>
  <si>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</si>
  <si>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</si>
  <si>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</si>
  <si>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</si>
  <si>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</si>
  <si>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</si>
  <si>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</si>
  <si>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</si>
  <si>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</si>
  <si>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</si>
  <si>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</si>
  <si>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</si>
  <si>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</si>
  <si>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</si>
  <si>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</si>
  <si>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</si>
  <si>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</si>
  <si>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</si>
  <si>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</si>
  <si>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</si>
  <si>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</si>
  <si>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</si>
  <si>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</si>
  <si>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</si>
  <si>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</si>
  <si>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</si>
  <si>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</si>
  <si>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</si>
  <si>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</si>
  <si>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</si>
  <si>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</si>
  <si>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</si>
  <si>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</si>
  <si>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</si>
  <si>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</si>
  <si>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</si>
  <si>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</si>
  <si>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</si>
  <si>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</si>
  <si>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</si>
  <si>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</si>
  <si>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</si>
  <si>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</si>
  <si>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</si>
  <si>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</si>
  <si>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</si>
  <si>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</si>
  <si>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r>
      <t xml:space="preserve">General Service </t>
    </r>
    <r>
      <rPr>
        <u val="single"/>
        <sz val="10"/>
        <rFont val="Arial"/>
        <family val="2"/>
      </rPr>
      <t>&lt; 50 kW</t>
    </r>
  </si>
  <si>
    <r>
      <t xml:space="preserve">General Service </t>
    </r>
    <r>
      <rPr>
        <u val="single"/>
        <sz val="10"/>
        <rFont val="Arial"/>
        <family val="2"/>
      </rPr>
      <t>&gt; 50 to 999 kW</t>
    </r>
  </si>
  <si>
    <r>
      <t xml:space="preserve">General Service </t>
    </r>
    <r>
      <rPr>
        <u val="single"/>
        <sz val="10"/>
        <rFont val="Arial"/>
        <family val="2"/>
      </rPr>
      <t>&gt; 1000 to 4999 kW</t>
    </r>
  </si>
  <si>
    <t>kW/kWh</t>
  </si>
  <si>
    <t>Check totals above sould be zero</t>
  </si>
  <si>
    <t>Total to 2008</t>
  </si>
  <si>
    <t>2008 Actual</t>
  </si>
  <si>
    <t>2010 Weather Normal</t>
  </si>
  <si>
    <t>Purchased kWh</t>
  </si>
  <si>
    <t>Population</t>
  </si>
  <si>
    <r>
      <t xml:space="preserve">General Service </t>
    </r>
    <r>
      <rPr>
        <u val="single"/>
        <sz val="10"/>
        <rFont val="Arial"/>
        <family val="2"/>
      </rPr>
      <t>&gt; 5000 kW</t>
    </r>
  </si>
  <si>
    <t>Street Lights</t>
  </si>
  <si>
    <t>Cambridge and North Dumfries Hydro Inc. Weather Normal Load Forecast for 2010 Rate Application</t>
  </si>
  <si>
    <t>Embedded Distributor</t>
  </si>
  <si>
    <t xml:space="preserve">Embedded </t>
  </si>
  <si>
    <t>Waterloo</t>
  </si>
  <si>
    <t>Hydro One</t>
  </si>
  <si>
    <t>Weather Normal</t>
  </si>
  <si>
    <t>Summary of Load and Customer Connection Forecast</t>
  </si>
  <si>
    <t>Year</t>
  </si>
  <si>
    <t>Growth</t>
  </si>
  <si>
    <t>Percentage Change</t>
  </si>
  <si>
    <t>Customer/ Connection Count</t>
  </si>
  <si>
    <t>Percentage Change %</t>
  </si>
  <si>
    <t>Billed Energy and Number of Customer / Connection by Rate Class</t>
  </si>
  <si>
    <t>Energy (MWh)</t>
  </si>
  <si>
    <t>Billed (MWh)</t>
  </si>
  <si>
    <t>Growth (MWh)</t>
  </si>
  <si>
    <t>Number of Customers/Connection</t>
  </si>
  <si>
    <t>2009 (B)</t>
  </si>
  <si>
    <t>2010 (T)</t>
  </si>
  <si>
    <t>Annual Usage per Customer/Connection by Rate Class</t>
  </si>
  <si>
    <t>Energy Usage per Customer/Connection (kWh per customer/Connection)</t>
  </si>
  <si>
    <t>Annual Growth Rate in Usage per Customer/Connection</t>
  </si>
  <si>
    <t>Cambridge and North Dumfries Hydro Inc. Total Sytem Purchases</t>
  </si>
  <si>
    <t>MWh</t>
  </si>
  <si>
    <t>Actual</t>
  </si>
  <si>
    <t>Predicted</t>
  </si>
  <si>
    <t>Actual Purchases</t>
  </si>
  <si>
    <t>% 'Difference</t>
  </si>
  <si>
    <t>2009 (W N)</t>
  </si>
  <si>
    <t>2010 (W N)</t>
  </si>
  <si>
    <t>Historical Loss Factor</t>
  </si>
  <si>
    <t>Actual Billed</t>
  </si>
  <si>
    <t>Historical Customer/Connection Data</t>
  </si>
  <si>
    <t>Number of Customer/Connections</t>
  </si>
  <si>
    <t>Growth Rate in Customer/Connection Data</t>
  </si>
  <si>
    <t>Geometric Mean</t>
  </si>
  <si>
    <t>Growth Rate in Customer/Connections</t>
  </si>
  <si>
    <t>Customer/Connection Forecast</t>
  </si>
  <si>
    <t>Annual kWh Usage Per Customer/Connection</t>
  </si>
  <si>
    <t>Historical Annual Usage per Customer/Connection</t>
  </si>
  <si>
    <t xml:space="preserve">Growth Rate in Usage per Customer/Connection </t>
  </si>
  <si>
    <t>Forecast Annual kWh Usage per Customer/Connection</t>
  </si>
  <si>
    <t>Forecast number of Customer/Connection</t>
  </si>
  <si>
    <t>Non - Normalized Weather Billed Energy Forecast</t>
  </si>
  <si>
    <t>Non - Normalized Weather Billed Energy Forecast (MWh)</t>
  </si>
  <si>
    <t>Weather Sensitivity by Rate Class</t>
  </si>
  <si>
    <t>Weather Sensitivity</t>
  </si>
  <si>
    <t>Alingment of Non- Normal to Weather Normal Forecast for 2009</t>
  </si>
  <si>
    <t>Alingment of Non- Normal to Weather Normal Forecast for 2010</t>
  </si>
  <si>
    <t>n/a</t>
  </si>
  <si>
    <t>Non - Normalized Weather Billed Forecast (MWh)</t>
  </si>
  <si>
    <t>Adjustment for Weather</t>
  </si>
  <si>
    <t>Weather Normalized Billed Forecast (MWh)</t>
  </si>
  <si>
    <t>Historical Annual kW per Applicable Rate Class</t>
  </si>
  <si>
    <t>Historical kW/kWH Ratio per Applicable Rate Clss</t>
  </si>
  <si>
    <t xml:space="preserve">kW Forecast by Rate Class </t>
  </si>
  <si>
    <t>2006 Board Approved</t>
  </si>
  <si>
    <t>Annual Population</t>
  </si>
  <si>
    <t>Table updated for VECC Q13 (b)</t>
  </si>
  <si>
    <t>Real Ontario GDP</t>
  </si>
  <si>
    <t>Table update for VECC Q19 (b)</t>
  </si>
  <si>
    <t>CDM Flag</t>
  </si>
  <si>
    <t>F- Test</t>
  </si>
  <si>
    <t>T-Stats by Coefficient</t>
  </si>
  <si>
    <t>Value</t>
  </si>
  <si>
    <t>2009 (W N) - kWh</t>
  </si>
  <si>
    <t>2010 (W N) - kWh</t>
  </si>
  <si>
    <t>Purchased Forecast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</si>
</sst>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%;\(0.0%\)"/>
    <numFmt numFmtId="175" formatCode="#,##0;\(#,##0\)"/>
    <numFmt numFmtId="176" formatCode="#,##0.0000;\(#,##0.0000\)"/>
    <numFmt numFmtId="177" formatCode="0.0000"/>
    <numFmt numFmtId="178" formatCode="#,##0.0000"/>
    <numFmt numFmtId="179" formatCode="0.0000%"/>
    <numFmt numFmtId="180" formatCode="#,##0.0000_);\(#,##0.0000\)"/>
    <numFmt numFmtId="181" formatCode="_(* #,##0_);_(* \(#,##0\);_(* &quot;-&quot;??_);_(@_)"/>
    <numFmt numFmtId="182" formatCode="0.000"/>
    <numFmt numFmtId="183" formatCode="_(* #,##0.0_);_(* \(#,##0.0\);_(* &quot;-&quot;??_);_(@_)"/>
    <numFmt numFmtId="184" formatCode="0.00000000"/>
    <numFmt numFmtId="185" formatCode="_(* #,##0.000_);_(* \(#,##0.000\);_(* &quot;-&quot;??_);_(@_)"/>
    <numFmt numFmtId="186" formatCode="_(* #,##0.0000_);_(* \(#,##0.0000\);_(* &quot;-&quot;??_);_(@_)"/>
    <numFmt numFmtId="187" formatCode="0.000%"/>
    <numFmt numFmtId="188" formatCode="#,##0.0"/>
    <numFmt numFmtId="189" formatCode="#,##0.000"/>
    <numFmt numFmtId="190" formatCode="_(* #,##0.0_);_(* \(#,##0.0\);_(* &quot;-&quot;?_);_(@_)"/>
    <numFmt numFmtId="191" formatCode="_(* #,##0.00000_);_(* \(#,##0.00000\);_(* &quot;-&quot;??_);_(@_)"/>
    <numFmt numFmtId="192" formatCode="_(* #,##0.0000_);_(* \(#,##0.0000\);_(* &quot;-&quot;????_);_(@_)"/>
    <numFmt numFmtId="193" formatCode="0.000000"/>
    <numFmt numFmtId="194" formatCode="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;\(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8.5"/>
      <color indexed="12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15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37" fontId="0" fillId="0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37" fontId="0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0" fillId="2" borderId="0" xfId="0" applyNumberFormat="1" applyFill="1" applyAlignment="1">
      <alignment horizontal="center"/>
    </xf>
    <xf numFmtId="17" fontId="4" fillId="0" borderId="0" xfId="0" applyNumberFormat="1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0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37" fontId="0" fillId="0" borderId="0" xfId="0" applyNumberFormat="1" applyFill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3" borderId="0" xfId="0" applyNumberForma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0" fillId="3" borderId="0" xfId="0" applyNumberFormat="1" applyFont="1" applyFill="1" applyAlignment="1">
      <alignment horizontal="center" wrapText="1"/>
    </xf>
    <xf numFmtId="3" fontId="3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3" fontId="0" fillId="3" borderId="0" xfId="0" applyNumberFormat="1" applyFont="1" applyFill="1" applyAlignment="1" quotePrefix="1">
      <alignment horizontal="center" wrapText="1"/>
    </xf>
    <xf numFmtId="43" fontId="0" fillId="0" borderId="0" xfId="15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0" fillId="4" borderId="7" xfId="0" applyNumberFormat="1" applyFont="1" applyFill="1" applyBorder="1" applyAlignment="1">
      <alignment horizontal="center"/>
    </xf>
    <xf numFmtId="43" fontId="0" fillId="0" borderId="0" xfId="15" applyAlignment="1">
      <alignment/>
    </xf>
    <xf numFmtId="9" fontId="0" fillId="2" borderId="0" xfId="0" applyNumberFormat="1" applyFill="1" applyAlignment="1">
      <alignment horizontal="center"/>
    </xf>
    <xf numFmtId="181" fontId="0" fillId="0" borderId="0" xfId="15" applyNumberFormat="1" applyAlignment="1">
      <alignment horizontal="center"/>
    </xf>
    <xf numFmtId="181" fontId="0" fillId="0" borderId="8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/>
    </xf>
    <xf numFmtId="186" fontId="0" fillId="0" borderId="0" xfId="15" applyNumberFormat="1" applyAlignment="1">
      <alignment/>
    </xf>
    <xf numFmtId="187" fontId="0" fillId="0" borderId="0" xfId="21" applyNumberFormat="1" applyAlignment="1">
      <alignment/>
    </xf>
    <xf numFmtId="187" fontId="0" fillId="0" borderId="0" xfId="21" applyNumberFormat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 horizontal="center"/>
    </xf>
    <xf numFmtId="10" fontId="0" fillId="0" borderId="0" xfId="21" applyNumberFormat="1" applyBorder="1" applyAlignment="1">
      <alignment horizontal="center"/>
    </xf>
    <xf numFmtId="10" fontId="0" fillId="0" borderId="10" xfId="21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81" fontId="0" fillId="0" borderId="0" xfId="15" applyNumberFormat="1" applyAlignment="1">
      <alignment/>
    </xf>
    <xf numFmtId="18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0" fillId="0" borderId="14" xfId="0" applyBorder="1" applyAlignment="1">
      <alignment/>
    </xf>
    <xf numFmtId="10" fontId="0" fillId="0" borderId="17" xfId="21" applyNumberFormat="1" applyBorder="1" applyAlignment="1">
      <alignment horizontal="center"/>
    </xf>
    <xf numFmtId="10" fontId="0" fillId="0" borderId="18" xfId="21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9" xfId="0" applyBorder="1" applyAlignment="1">
      <alignment horizontal="left"/>
    </xf>
    <xf numFmtId="181" fontId="0" fillId="0" borderId="0" xfId="15" applyNumberFormat="1" applyBorder="1" applyAlignment="1">
      <alignment horizontal="center"/>
    </xf>
    <xf numFmtId="181" fontId="0" fillId="0" borderId="17" xfId="15" applyNumberFormat="1" applyBorder="1" applyAlignment="1">
      <alignment horizontal="center"/>
    </xf>
    <xf numFmtId="181" fontId="0" fillId="0" borderId="17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9" xfId="0" applyBorder="1" applyAlignment="1" quotePrefix="1">
      <alignment horizontal="left"/>
    </xf>
    <xf numFmtId="2" fontId="0" fillId="0" borderId="0" xfId="21" applyNumberFormat="1" applyAlignment="1">
      <alignment/>
    </xf>
    <xf numFmtId="10" fontId="0" fillId="0" borderId="0" xfId="21" applyNumberFormat="1" applyFont="1" applyFill="1" applyBorder="1" applyAlignment="1">
      <alignment horizontal="center"/>
    </xf>
    <xf numFmtId="10" fontId="0" fillId="0" borderId="0" xfId="21" applyNumberFormat="1" applyAlignment="1">
      <alignment horizontal="center"/>
    </xf>
    <xf numFmtId="0" fontId="0" fillId="0" borderId="12" xfId="0" applyBorder="1" applyAlignment="1">
      <alignment horizontal="center" wrapText="1"/>
    </xf>
    <xf numFmtId="10" fontId="0" fillId="0" borderId="8" xfId="21" applyNumberFormat="1" applyFont="1" applyFill="1" applyBorder="1" applyAlignment="1">
      <alignment horizontal="center"/>
    </xf>
    <xf numFmtId="10" fontId="0" fillId="0" borderId="1" xfId="2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center"/>
    </xf>
    <xf numFmtId="10" fontId="0" fillId="0" borderId="20" xfId="21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10" fontId="0" fillId="0" borderId="1" xfId="21" applyNumberFormat="1" applyBorder="1" applyAlignment="1">
      <alignment horizontal="center"/>
    </xf>
    <xf numFmtId="10" fontId="0" fillId="0" borderId="13" xfId="21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0" fontId="0" fillId="0" borderId="21" xfId="21" applyNumberFormat="1" applyBorder="1" applyAlignment="1">
      <alignment horizontal="center"/>
    </xf>
    <xf numFmtId="181" fontId="0" fillId="0" borderId="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 horizontal="center"/>
    </xf>
    <xf numFmtId="10" fontId="0" fillId="0" borderId="19" xfId="21" applyNumberFormat="1" applyBorder="1" applyAlignment="1">
      <alignment horizontal="center"/>
    </xf>
    <xf numFmtId="10" fontId="0" fillId="0" borderId="8" xfId="21" applyNumberFormat="1" applyBorder="1" applyAlignment="1">
      <alignment horizontal="center"/>
    </xf>
    <xf numFmtId="0" fontId="0" fillId="0" borderId="12" xfId="0" applyBorder="1" applyAlignment="1" quotePrefix="1">
      <alignment horizontal="left"/>
    </xf>
    <xf numFmtId="9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183" fontId="0" fillId="0" borderId="0" xfId="15" applyNumberFormat="1" applyAlignment="1">
      <alignment horizontal="center"/>
    </xf>
    <xf numFmtId="181" fontId="0" fillId="0" borderId="0" xfId="0" applyNumberFormat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87" fontId="0" fillId="0" borderId="19" xfId="21" applyNumberFormat="1" applyBorder="1" applyAlignment="1">
      <alignment horizontal="center"/>
    </xf>
    <xf numFmtId="187" fontId="0" fillId="0" borderId="1" xfId="21" applyNumberFormat="1" applyBorder="1" applyAlignment="1">
      <alignment horizontal="center"/>
    </xf>
    <xf numFmtId="186" fontId="0" fillId="0" borderId="0" xfId="15" applyNumberFormat="1" applyAlignment="1">
      <alignment/>
    </xf>
    <xf numFmtId="181" fontId="0" fillId="0" borderId="0" xfId="15" applyNumberFormat="1" applyAlignment="1">
      <alignment horizontal="center"/>
    </xf>
    <xf numFmtId="0" fontId="4" fillId="0" borderId="9" xfId="0" applyFont="1" applyBorder="1" applyAlignment="1">
      <alignment/>
    </xf>
    <xf numFmtId="3" fontId="0" fillId="0" borderId="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7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3" fontId="4" fillId="0" borderId="12" xfId="0" applyNumberFormat="1" applyFont="1" applyBorder="1" applyAlignment="1">
      <alignment/>
    </xf>
    <xf numFmtId="3" fontId="0" fillId="0" borderId="1" xfId="0" applyNumberFormat="1" applyBorder="1" applyAlignment="1">
      <alignment horizontal="center" wrapText="1"/>
    </xf>
    <xf numFmtId="172" fontId="0" fillId="0" borderId="20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8" xfId="0" applyFont="1" applyFill="1" applyBorder="1" applyAlignment="1" quotePrefix="1">
      <alignment horizontal="center"/>
    </xf>
    <xf numFmtId="0" fontId="4" fillId="5" borderId="1" xfId="0" applyFont="1" applyFill="1" applyBorder="1" applyAlignment="1" quotePrefix="1">
      <alignment horizontal="center"/>
    </xf>
    <xf numFmtId="0" fontId="4" fillId="5" borderId="8" xfId="0" applyFont="1" applyFill="1" applyBorder="1" applyAlignment="1" quotePrefix="1">
      <alignment horizontal="center" wrapText="1"/>
    </xf>
    <xf numFmtId="0" fontId="4" fillId="5" borderId="1" xfId="0" applyFont="1" applyFill="1" applyBorder="1" applyAlignment="1" quotePrefix="1">
      <alignment horizontal="center" wrapText="1"/>
    </xf>
    <xf numFmtId="0" fontId="4" fillId="5" borderId="13" xfId="0" applyFont="1" applyFill="1" applyBorder="1" applyAlignment="1" quotePrefix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4" xfId="0" applyFill="1" applyBorder="1" applyAlignment="1">
      <alignment/>
    </xf>
    <xf numFmtId="0" fontId="4" fillId="5" borderId="19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2" xfId="0" applyFill="1" applyBorder="1" applyAlignment="1">
      <alignment horizontal="left"/>
    </xf>
    <xf numFmtId="3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8" fontId="0" fillId="0" borderId="8" xfId="0" applyNumberFormat="1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181" fontId="0" fillId="0" borderId="0" xfId="15" applyNumberFormat="1" applyAlignment="1">
      <alignment/>
    </xf>
    <xf numFmtId="43" fontId="0" fillId="0" borderId="0" xfId="15" applyAlignment="1">
      <alignment/>
    </xf>
    <xf numFmtId="0" fontId="0" fillId="0" borderId="1" xfId="0" applyFill="1" applyBorder="1" applyAlignment="1">
      <alignment/>
    </xf>
    <xf numFmtId="181" fontId="0" fillId="0" borderId="1" xfId="15" applyNumberFormat="1" applyBorder="1" applyAlignment="1">
      <alignment horizontal="center"/>
    </xf>
    <xf numFmtId="0" fontId="0" fillId="0" borderId="1" xfId="0" applyBorder="1" applyAlignment="1">
      <alignment horizontal="left"/>
    </xf>
    <xf numFmtId="172" fontId="0" fillId="0" borderId="1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99" fontId="0" fillId="0" borderId="1" xfId="15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Actual vs. Predicted Purchases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Graph!$B$4:$B$5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Graph!$A$6:$A$20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Graph!$B$6:$B$20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Graph!$C$4:$C$5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Graph!$A$6:$A$20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Graph!$C$6:$C$20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Thousands - KWh's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24</xdr:row>
      <xdr:rowOff>9525</xdr:rowOff>
    </xdr:from>
    <xdr:to>
      <xdr:col>15</xdr:col>
      <xdr:colOff>133350</xdr:colOff>
      <xdr:row>43</xdr:row>
      <xdr:rowOff>28575</xdr:rowOff>
    </xdr:to>
    <xdr:graphicFrame>
      <xdr:nvGraphicFramePr>
        <xdr:cNvPr id="1" name="Chart 4"/>
        <xdr:cNvGraphicFramePr/>
      </xdr:nvGraphicFramePr>
      <xdr:xfrm>
        <a:off x="2600325" y="3895725"/>
        <a:ext cx="7658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ferraro\Local%20Settings\Temporary%20Internet%20Files\OLKB\Dummy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ichan\Local%20Settings\Temporary%20Internet%20Files\OLK83F\Prorated%20Usage\Summary%20of%20Prorated%20Us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ichan\Local%20Settings\Temporary%20Internet%20Files\OLK83F\Population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baichan\Local%20Settings\Temporary%20Internet%20Files\OLK83F\Monthly%20Peak%20Dema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0\2006%20Hydro%20One%20data%20for%202010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0\Ravi%20Working%20Folder\CNDHI_EDR%202006%20Model%20(version%202.1_open_200512revis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 for Load forecast"/>
      <sheetName val="kWh Billed"/>
      <sheetName val="kW Billed"/>
      <sheetName val="2000"/>
      <sheetName val="2001"/>
      <sheetName val="2002"/>
      <sheetName val="2003"/>
      <sheetName val="2004"/>
      <sheetName val="2005"/>
      <sheetName val="2006"/>
      <sheetName val="2007"/>
      <sheetName val="2008"/>
    </sheetNames>
    <sheetDataSet>
      <sheetData sheetId="0">
        <row r="10">
          <cell r="J10">
            <v>37069</v>
          </cell>
          <cell r="K10">
            <v>4496</v>
          </cell>
          <cell r="L10">
            <v>4</v>
          </cell>
          <cell r="M10">
            <v>26</v>
          </cell>
          <cell r="N10">
            <v>2</v>
          </cell>
          <cell r="O10">
            <v>0</v>
          </cell>
          <cell r="P10">
            <v>0</v>
          </cell>
          <cell r="Q10">
            <v>41597</v>
          </cell>
        </row>
        <row r="17">
          <cell r="B17">
            <v>33785498.943687014</v>
          </cell>
          <cell r="C17">
            <v>14173521.098063031</v>
          </cell>
          <cell r="D17">
            <v>8968643.075176036</v>
          </cell>
          <cell r="E17">
            <v>19193655.89</v>
          </cell>
          <cell r="F17">
            <v>17711979.080000002</v>
          </cell>
          <cell r="G17">
            <v>0</v>
          </cell>
          <cell r="H17">
            <v>0</v>
          </cell>
        </row>
        <row r="18">
          <cell r="B18">
            <v>29751223.80148439</v>
          </cell>
          <cell r="C18">
            <v>13590184.965802036</v>
          </cell>
          <cell r="D18">
            <v>37015705.87009164</v>
          </cell>
          <cell r="E18">
            <v>17463883.52</v>
          </cell>
          <cell r="F18">
            <v>15833338.06</v>
          </cell>
          <cell r="G18">
            <v>0</v>
          </cell>
          <cell r="H18">
            <v>0</v>
          </cell>
        </row>
        <row r="19">
          <cell r="B19">
            <v>29271429.832569957</v>
          </cell>
          <cell r="C19">
            <v>13861863.169207264</v>
          </cell>
          <cell r="D19">
            <v>38539916.843551755</v>
          </cell>
          <cell r="E19">
            <v>19367896.450000003</v>
          </cell>
          <cell r="F19">
            <v>17615727.130000003</v>
          </cell>
          <cell r="G19">
            <v>0</v>
          </cell>
          <cell r="H19">
            <v>0</v>
          </cell>
        </row>
        <row r="20">
          <cell r="B20">
            <v>25646197.585708056</v>
          </cell>
          <cell r="C20">
            <v>12424283.961216617</v>
          </cell>
          <cell r="D20">
            <v>34404454.88408296</v>
          </cell>
          <cell r="E20">
            <v>18286466.950000003</v>
          </cell>
          <cell r="F20">
            <v>16486663.600000001</v>
          </cell>
          <cell r="G20">
            <v>0</v>
          </cell>
          <cell r="H20">
            <v>0</v>
          </cell>
        </row>
        <row r="21">
          <cell r="B21">
            <v>25973403.894382853</v>
          </cell>
          <cell r="C21">
            <v>12432744.806485748</v>
          </cell>
          <cell r="D21">
            <v>35173420.96269609</v>
          </cell>
          <cell r="E21">
            <v>19480397.22</v>
          </cell>
          <cell r="F21">
            <v>17627183.66</v>
          </cell>
          <cell r="G21">
            <v>0</v>
          </cell>
          <cell r="H21">
            <v>0</v>
          </cell>
        </row>
        <row r="22">
          <cell r="B22">
            <v>29185215.2530888</v>
          </cell>
          <cell r="C22">
            <v>12943936.114239223</v>
          </cell>
          <cell r="D22">
            <v>37400068.398635745</v>
          </cell>
          <cell r="E22">
            <v>20220901.450000003</v>
          </cell>
          <cell r="F22">
            <v>17656922.06</v>
          </cell>
          <cell r="G22">
            <v>0</v>
          </cell>
          <cell r="H22">
            <v>0</v>
          </cell>
          <cell r="J22">
            <v>37914</v>
          </cell>
          <cell r="K22">
            <v>3998</v>
          </cell>
          <cell r="L22">
            <v>582</v>
          </cell>
          <cell r="M22">
            <v>24</v>
          </cell>
          <cell r="N22">
            <v>3</v>
          </cell>
          <cell r="O22">
            <v>0</v>
          </cell>
          <cell r="P22">
            <v>0</v>
          </cell>
        </row>
        <row r="23">
          <cell r="B23">
            <v>32453259.16698159</v>
          </cell>
          <cell r="C23">
            <v>13593139.506863039</v>
          </cell>
          <cell r="D23">
            <v>36894811.67369781</v>
          </cell>
          <cell r="E23">
            <v>18886028.980000004</v>
          </cell>
          <cell r="F23">
            <v>16344883.970000003</v>
          </cell>
          <cell r="G23">
            <v>0</v>
          </cell>
          <cell r="H23">
            <v>0</v>
          </cell>
        </row>
        <row r="24">
          <cell r="B24">
            <v>30877201.683958977</v>
          </cell>
          <cell r="C24">
            <v>13386907.771195546</v>
          </cell>
          <cell r="D24">
            <v>38037088.74615432</v>
          </cell>
          <cell r="E24">
            <v>22648969.369999997</v>
          </cell>
          <cell r="F24">
            <v>19177065.95</v>
          </cell>
          <cell r="G24">
            <v>0</v>
          </cell>
          <cell r="H24">
            <v>0</v>
          </cell>
        </row>
        <row r="25">
          <cell r="B25">
            <v>27107600.670706585</v>
          </cell>
          <cell r="C25">
            <v>12105312.242092477</v>
          </cell>
          <cell r="D25">
            <v>35878823.92282395</v>
          </cell>
          <cell r="E25">
            <v>20838185.809999995</v>
          </cell>
          <cell r="F25">
            <v>16739121.92</v>
          </cell>
          <cell r="G25">
            <v>0</v>
          </cell>
          <cell r="H25">
            <v>0</v>
          </cell>
        </row>
        <row r="26">
          <cell r="B26">
            <v>27140772.40789926</v>
          </cell>
          <cell r="C26">
            <v>12407297.45629222</v>
          </cell>
          <cell r="D26">
            <v>37769299.92320774</v>
          </cell>
          <cell r="E26">
            <v>21539527.85</v>
          </cell>
          <cell r="F26">
            <v>17544070.759999998</v>
          </cell>
          <cell r="G26">
            <v>0</v>
          </cell>
          <cell r="H26">
            <v>0</v>
          </cell>
        </row>
        <row r="27">
          <cell r="B27">
            <v>28151161.034179624</v>
          </cell>
          <cell r="C27">
            <v>12559678.449629873</v>
          </cell>
          <cell r="D27">
            <v>37091462.17469745</v>
          </cell>
          <cell r="E27">
            <v>20581219.25</v>
          </cell>
          <cell r="F27">
            <v>16597997.7</v>
          </cell>
          <cell r="G27">
            <v>0</v>
          </cell>
          <cell r="H27">
            <v>0</v>
          </cell>
        </row>
        <row r="28">
          <cell r="B28">
            <v>32099130.556805313</v>
          </cell>
          <cell r="C28">
            <v>13657454.855997462</v>
          </cell>
          <cell r="D28">
            <v>35421205.72983042</v>
          </cell>
          <cell r="E28">
            <v>17845763.91</v>
          </cell>
          <cell r="F28">
            <v>13051000.420000002</v>
          </cell>
          <cell r="G28">
            <v>0</v>
          </cell>
          <cell r="H28">
            <v>0</v>
          </cell>
        </row>
        <row r="29">
          <cell r="B29">
            <v>29945710</v>
          </cell>
          <cell r="C29">
            <v>18705337</v>
          </cell>
          <cell r="D29">
            <v>38981611.84503799</v>
          </cell>
          <cell r="E29">
            <v>19813868.05393872</v>
          </cell>
          <cell r="F29">
            <v>19094192.627598703</v>
          </cell>
          <cell r="G29">
            <v>0</v>
          </cell>
          <cell r="H29">
            <v>0</v>
          </cell>
        </row>
        <row r="30">
          <cell r="B30">
            <v>37161251.36</v>
          </cell>
          <cell r="C30">
            <v>9306820</v>
          </cell>
          <cell r="D30">
            <v>36595301.502478845</v>
          </cell>
          <cell r="E30">
            <v>18860238.366691515</v>
          </cell>
          <cell r="F30">
            <v>18112424.843196586</v>
          </cell>
          <cell r="G30">
            <v>0</v>
          </cell>
          <cell r="H30">
            <v>0</v>
          </cell>
        </row>
        <row r="31">
          <cell r="B31">
            <v>23954505.450268015</v>
          </cell>
          <cell r="C31">
            <v>15034738</v>
          </cell>
          <cell r="D31">
            <v>38557503.512164675</v>
          </cell>
          <cell r="E31">
            <v>20371134.013477754</v>
          </cell>
          <cell r="F31">
            <v>20278043.19226336</v>
          </cell>
          <cell r="G31">
            <v>0</v>
          </cell>
          <cell r="H31">
            <v>0</v>
          </cell>
        </row>
        <row r="32">
          <cell r="B32">
            <v>32641956.37164979</v>
          </cell>
          <cell r="C32">
            <v>11778933</v>
          </cell>
          <cell r="D32">
            <v>34880786.35961313</v>
          </cell>
          <cell r="E32">
            <v>20166802.49922108</v>
          </cell>
          <cell r="F32">
            <v>19571619.44806787</v>
          </cell>
          <cell r="G32">
            <v>0</v>
          </cell>
          <cell r="H32">
            <v>0</v>
          </cell>
        </row>
        <row r="33">
          <cell r="B33">
            <v>29033542.975526467</v>
          </cell>
          <cell r="C33">
            <v>15597146</v>
          </cell>
          <cell r="D33">
            <v>35602085.38082463</v>
          </cell>
          <cell r="E33">
            <v>20982649.90119266</v>
          </cell>
          <cell r="F33">
            <v>20081230.915094372</v>
          </cell>
          <cell r="G33">
            <v>0</v>
          </cell>
          <cell r="H33">
            <v>0</v>
          </cell>
        </row>
        <row r="34">
          <cell r="B34">
            <v>19394625</v>
          </cell>
          <cell r="C34">
            <v>6355871</v>
          </cell>
          <cell r="D34">
            <v>36543584.26057101</v>
          </cell>
          <cell r="E34">
            <v>21781915.210477743</v>
          </cell>
          <cell r="F34">
            <v>20873512.237808492</v>
          </cell>
          <cell r="G34">
            <v>0</v>
          </cell>
          <cell r="H34">
            <v>0</v>
          </cell>
          <cell r="J34">
            <v>38553.5</v>
          </cell>
          <cell r="K34">
            <v>4131.5</v>
          </cell>
          <cell r="L34">
            <v>613.4999999999998</v>
          </cell>
          <cell r="M34">
            <v>25</v>
          </cell>
          <cell r="N34">
            <v>3</v>
          </cell>
          <cell r="O34">
            <v>0</v>
          </cell>
        </row>
        <row r="35">
          <cell r="B35">
            <v>12402232</v>
          </cell>
          <cell r="C35">
            <v>7777667</v>
          </cell>
          <cell r="D35">
            <v>36834091.16317432</v>
          </cell>
          <cell r="E35">
            <v>20695007.0341129</v>
          </cell>
          <cell r="F35">
            <v>18970661.044649057</v>
          </cell>
          <cell r="G35">
            <v>0</v>
          </cell>
          <cell r="H35">
            <v>0</v>
          </cell>
        </row>
        <row r="36">
          <cell r="B36">
            <v>32046383</v>
          </cell>
          <cell r="C36">
            <v>14275040.898550725</v>
          </cell>
          <cell r="D36">
            <v>37077020.494226635</v>
          </cell>
          <cell r="E36">
            <v>22231393.539384175</v>
          </cell>
          <cell r="F36">
            <v>21276250.03123723</v>
          </cell>
          <cell r="G36">
            <v>0</v>
          </cell>
          <cell r="H36">
            <v>0</v>
          </cell>
        </row>
        <row r="37">
          <cell r="B37">
            <v>37360073</v>
          </cell>
          <cell r="C37">
            <v>14265873.086956521</v>
          </cell>
          <cell r="D37">
            <v>36542622.05165906</v>
          </cell>
          <cell r="E37">
            <v>21596858.836384956</v>
          </cell>
          <cell r="F37">
            <v>21271584.963870913</v>
          </cell>
          <cell r="G37">
            <v>0</v>
          </cell>
          <cell r="H37">
            <v>0</v>
          </cell>
        </row>
        <row r="38">
          <cell r="B38">
            <v>40621732</v>
          </cell>
          <cell r="C38">
            <v>19890104</v>
          </cell>
          <cell r="D38">
            <v>36588447.53191212</v>
          </cell>
          <cell r="E38">
            <v>21366977.429588236</v>
          </cell>
          <cell r="F38">
            <v>20840348.35271942</v>
          </cell>
          <cell r="G38">
            <v>0</v>
          </cell>
          <cell r="H38">
            <v>0</v>
          </cell>
        </row>
        <row r="39">
          <cell r="B39">
            <v>23651470</v>
          </cell>
          <cell r="C39">
            <v>7145340</v>
          </cell>
          <cell r="D39">
            <v>37023727.799976625</v>
          </cell>
          <cell r="E39">
            <v>20981361.52105435</v>
          </cell>
          <cell r="F39">
            <v>20309285.360723764</v>
          </cell>
          <cell r="G39">
            <v>0</v>
          </cell>
          <cell r="H39">
            <v>0</v>
          </cell>
        </row>
        <row r="40">
          <cell r="B40">
            <v>17965295</v>
          </cell>
          <cell r="C40">
            <v>14117868</v>
          </cell>
          <cell r="D40">
            <v>36683764.09836096</v>
          </cell>
          <cell r="E40">
            <v>18896746.594475918</v>
          </cell>
          <cell r="F40">
            <v>17889121.982770246</v>
          </cell>
          <cell r="G40">
            <v>0</v>
          </cell>
          <cell r="H40">
            <v>0</v>
          </cell>
        </row>
        <row r="41">
          <cell r="B41">
            <v>35498584.8300066</v>
          </cell>
          <cell r="C41">
            <v>15338190.315291937</v>
          </cell>
          <cell r="D41">
            <v>40648380.94038638</v>
          </cell>
          <cell r="E41">
            <v>21184610.080454197</v>
          </cell>
          <cell r="F41">
            <v>17919677.076360747</v>
          </cell>
          <cell r="G41">
            <v>0</v>
          </cell>
          <cell r="H41">
            <v>955260</v>
          </cell>
        </row>
        <row r="42">
          <cell r="B42">
            <v>31207907.82250273</v>
          </cell>
          <cell r="C42">
            <v>14017964.794481222</v>
          </cell>
          <cell r="D42">
            <v>37352909.08344492</v>
          </cell>
          <cell r="E42">
            <v>20620377.07830775</v>
          </cell>
          <cell r="F42">
            <v>16704068.07118069</v>
          </cell>
          <cell r="G42">
            <v>0</v>
          </cell>
          <cell r="H42">
            <v>850673</v>
          </cell>
        </row>
        <row r="43">
          <cell r="B43">
            <v>31238437.355287056</v>
          </cell>
          <cell r="C43">
            <v>14552018.450529952</v>
          </cell>
          <cell r="D43">
            <v>39257105.54073217</v>
          </cell>
          <cell r="E43">
            <v>22328541.08479261</v>
          </cell>
          <cell r="F43">
            <v>19285677.082181662</v>
          </cell>
          <cell r="G43">
            <v>0</v>
          </cell>
          <cell r="H43">
            <v>819229</v>
          </cell>
        </row>
        <row r="44">
          <cell r="B44">
            <v>27100527.360262778</v>
          </cell>
          <cell r="C44">
            <v>12919004.233243708</v>
          </cell>
          <cell r="D44">
            <v>36088093.434727855</v>
          </cell>
          <cell r="E44">
            <v>21678811.08232475</v>
          </cell>
          <cell r="F44">
            <v>18829332.08023705</v>
          </cell>
          <cell r="G44">
            <v>0</v>
          </cell>
          <cell r="H44">
            <v>691974.9999999999</v>
          </cell>
        </row>
        <row r="45">
          <cell r="B45">
            <v>27152329.392850384</v>
          </cell>
          <cell r="C45">
            <v>12679788.146170393</v>
          </cell>
          <cell r="D45">
            <v>36264360.60946881</v>
          </cell>
          <cell r="E45">
            <v>22208910.084340043</v>
          </cell>
          <cell r="F45">
            <v>19886955.08474387</v>
          </cell>
          <cell r="G45">
            <v>0</v>
          </cell>
          <cell r="H45">
            <v>628232</v>
          </cell>
        </row>
        <row r="46">
          <cell r="B46">
            <v>28691752.89748841</v>
          </cell>
          <cell r="C46">
            <v>12744388.672518887</v>
          </cell>
          <cell r="D46">
            <v>36283235.673130676</v>
          </cell>
          <cell r="E46">
            <v>22338222.084831025</v>
          </cell>
          <cell r="F46">
            <v>20075205.085546054</v>
          </cell>
          <cell r="G46">
            <v>0</v>
          </cell>
          <cell r="H46">
            <v>549198</v>
          </cell>
          <cell r="J46">
            <v>40078</v>
          </cell>
          <cell r="K46">
            <v>4158</v>
          </cell>
          <cell r="L46">
            <v>625</v>
          </cell>
          <cell r="M46">
            <v>27</v>
          </cell>
          <cell r="N46">
            <v>3</v>
          </cell>
          <cell r="O46">
            <v>0</v>
          </cell>
        </row>
        <row r="47">
          <cell r="B47">
            <v>31983191.813899565</v>
          </cell>
          <cell r="C47">
            <v>13863417.557162058</v>
          </cell>
          <cell r="D47">
            <v>38170219.61143205</v>
          </cell>
          <cell r="E47">
            <v>22695547.086187903</v>
          </cell>
          <cell r="F47">
            <v>19923971.08490161</v>
          </cell>
          <cell r="G47">
            <v>0</v>
          </cell>
          <cell r="H47">
            <v>603176</v>
          </cell>
        </row>
        <row r="48">
          <cell r="B48">
            <v>31404071.326824058</v>
          </cell>
          <cell r="C48">
            <v>13659282.476895802</v>
          </cell>
          <cell r="D48">
            <v>36661702.05685506</v>
          </cell>
          <cell r="E48">
            <v>22234003.08444191</v>
          </cell>
          <cell r="F48">
            <v>20011398.085274164</v>
          </cell>
          <cell r="G48">
            <v>0</v>
          </cell>
          <cell r="H48">
            <v>698443</v>
          </cell>
        </row>
        <row r="49">
          <cell r="B49">
            <v>28213100.312148914</v>
          </cell>
          <cell r="C49">
            <v>12623020.26094855</v>
          </cell>
          <cell r="D49">
            <v>36903787.508244775</v>
          </cell>
          <cell r="E49">
            <v>22792003.08655664</v>
          </cell>
          <cell r="F49">
            <v>21967023.09360762</v>
          </cell>
          <cell r="G49">
            <v>0</v>
          </cell>
          <cell r="H49">
            <v>768851</v>
          </cell>
        </row>
        <row r="50">
          <cell r="B50">
            <v>28566681.623853143</v>
          </cell>
          <cell r="C50">
            <v>12916461.962848874</v>
          </cell>
          <cell r="D50">
            <v>37333706.51814152</v>
          </cell>
          <cell r="E50">
            <v>23265455.088354655</v>
          </cell>
          <cell r="F50">
            <v>21837328.09305495</v>
          </cell>
          <cell r="G50">
            <v>0</v>
          </cell>
          <cell r="H50">
            <v>879127</v>
          </cell>
        </row>
        <row r="51">
          <cell r="B51">
            <v>29919236.9217155</v>
          </cell>
          <cell r="C51">
            <v>13313006.560393697</v>
          </cell>
          <cell r="D51">
            <v>37524342.62149506</v>
          </cell>
          <cell r="E51">
            <v>21814685.082845103</v>
          </cell>
          <cell r="F51">
            <v>20334676.08665173</v>
          </cell>
          <cell r="G51">
            <v>0</v>
          </cell>
          <cell r="H51">
            <v>975144.9999999999</v>
          </cell>
        </row>
        <row r="52">
          <cell r="B52">
            <v>34808422.81933873</v>
          </cell>
          <cell r="C52">
            <v>14613743.380698398</v>
          </cell>
          <cell r="D52">
            <v>37343464.683055885</v>
          </cell>
          <cell r="E52">
            <v>20157782.076552723</v>
          </cell>
          <cell r="F52">
            <v>17896008.076259874</v>
          </cell>
          <cell r="G52">
            <v>0</v>
          </cell>
          <cell r="H52">
            <v>994358</v>
          </cell>
        </row>
        <row r="53">
          <cell r="B53">
            <v>36310687.454881296</v>
          </cell>
          <cell r="C53">
            <v>15341240.004461287</v>
          </cell>
          <cell r="D53">
            <v>39780987.018544436</v>
          </cell>
          <cell r="E53">
            <v>21510347.07969482</v>
          </cell>
          <cell r="F53">
            <v>19828871.080877107</v>
          </cell>
          <cell r="G53">
            <v>0</v>
          </cell>
          <cell r="H53">
            <v>962338</v>
          </cell>
        </row>
        <row r="54">
          <cell r="B54">
            <v>32366008.234149728</v>
          </cell>
          <cell r="C54">
            <v>14550309.002434177</v>
          </cell>
          <cell r="D54">
            <v>38623482.4813179</v>
          </cell>
          <cell r="E54">
            <v>20612313.076367643</v>
          </cell>
          <cell r="F54">
            <v>19458282.079365555</v>
          </cell>
          <cell r="G54">
            <v>0</v>
          </cell>
          <cell r="H54">
            <v>885735</v>
          </cell>
        </row>
        <row r="55">
          <cell r="B55">
            <v>31268986.833033677</v>
          </cell>
          <cell r="C55">
            <v>14450445.1461694</v>
          </cell>
          <cell r="D55">
            <v>40276916.43706656</v>
          </cell>
          <cell r="E55">
            <v>22528324.083466373</v>
          </cell>
          <cell r="F55">
            <v>21306372.086903457</v>
          </cell>
          <cell r="G55">
            <v>0</v>
          </cell>
          <cell r="H55">
            <v>827472</v>
          </cell>
        </row>
        <row r="56">
          <cell r="B56">
            <v>27582223.456031792</v>
          </cell>
          <cell r="C56">
            <v>13038667.821961708</v>
          </cell>
          <cell r="D56">
            <v>37027819.77143951</v>
          </cell>
          <cell r="E56">
            <v>21394505.079265628</v>
          </cell>
          <cell r="F56">
            <v>20098673.081977554</v>
          </cell>
          <cell r="G56">
            <v>0</v>
          </cell>
          <cell r="H56">
            <v>694777</v>
          </cell>
        </row>
        <row r="57">
          <cell r="B57">
            <v>27288250.032195106</v>
          </cell>
          <cell r="C57">
            <v>13200926.717016561</v>
          </cell>
          <cell r="D57">
            <v>38362468.20255831</v>
          </cell>
          <cell r="E57">
            <v>22598350.083725818</v>
          </cell>
          <cell r="F57">
            <v>20721936.08451969</v>
          </cell>
          <cell r="G57">
            <v>0</v>
          </cell>
          <cell r="H57">
            <v>629380</v>
          </cell>
        </row>
        <row r="58">
          <cell r="B58">
            <v>27906776.61195395</v>
          </cell>
          <cell r="C58">
            <v>12934673.174328763</v>
          </cell>
          <cell r="D58">
            <v>38685266.49257476</v>
          </cell>
          <cell r="E58">
            <v>23487537.08702021</v>
          </cell>
          <cell r="F58">
            <v>21666410.088371966</v>
          </cell>
          <cell r="G58">
            <v>0</v>
          </cell>
          <cell r="H58">
            <v>550668</v>
          </cell>
          <cell r="J58">
            <v>40991</v>
          </cell>
          <cell r="K58">
            <v>4228</v>
          </cell>
          <cell r="L58">
            <v>635</v>
          </cell>
          <cell r="M58">
            <v>27</v>
          </cell>
          <cell r="N58">
            <v>3</v>
          </cell>
          <cell r="O58">
            <v>0</v>
          </cell>
        </row>
        <row r="59">
          <cell r="B59">
            <v>30750159.273588404</v>
          </cell>
          <cell r="C59">
            <v>13749573.984235838</v>
          </cell>
          <cell r="D59">
            <v>38362962.21432619</v>
          </cell>
          <cell r="E59">
            <v>22363965.08285743</v>
          </cell>
          <cell r="F59">
            <v>18596550.075850762</v>
          </cell>
          <cell r="G59">
            <v>0</v>
          </cell>
          <cell r="H59">
            <v>609182</v>
          </cell>
        </row>
        <row r="60">
          <cell r="B60">
            <v>30678196.678128522</v>
          </cell>
          <cell r="C60">
            <v>13763634.779751724</v>
          </cell>
          <cell r="D60">
            <v>40022677.465570726</v>
          </cell>
          <cell r="E60">
            <v>24573689.091044355</v>
          </cell>
          <cell r="F60">
            <v>21928875.0894425</v>
          </cell>
          <cell r="G60">
            <v>0</v>
          </cell>
          <cell r="H60">
            <v>700822</v>
          </cell>
        </row>
        <row r="61">
          <cell r="B61">
            <v>28134753.56789361</v>
          </cell>
          <cell r="C61">
            <v>13008821.090038303</v>
          </cell>
          <cell r="D61">
            <v>40026933.09181698</v>
          </cell>
          <cell r="E61">
            <v>23718753.087876856</v>
          </cell>
          <cell r="F61">
            <v>21453032.08750166</v>
          </cell>
          <cell r="G61">
            <v>0</v>
          </cell>
          <cell r="H61">
            <v>773927</v>
          </cell>
        </row>
        <row r="62">
          <cell r="B62">
            <v>28637522.808189474</v>
          </cell>
          <cell r="C62">
            <v>13161849.843505085</v>
          </cell>
          <cell r="D62">
            <v>39714732.16429852</v>
          </cell>
          <cell r="E62">
            <v>23032486.08533427</v>
          </cell>
          <cell r="F62">
            <v>20878434.085158005</v>
          </cell>
          <cell r="G62">
            <v>0</v>
          </cell>
          <cell r="H62">
            <v>911979.1088000004</v>
          </cell>
        </row>
        <row r="63">
          <cell r="B63">
            <v>30259509.812068757</v>
          </cell>
          <cell r="C63">
            <v>13501205.912306175</v>
          </cell>
          <cell r="D63">
            <v>40496683.445089884</v>
          </cell>
          <cell r="E63">
            <v>23100487.08558621</v>
          </cell>
          <cell r="F63">
            <v>20708569.084465172</v>
          </cell>
          <cell r="G63">
            <v>0</v>
          </cell>
          <cell r="H63">
            <v>975977</v>
          </cell>
        </row>
        <row r="64">
          <cell r="B64">
            <v>35282923.48412643</v>
          </cell>
          <cell r="C64">
            <v>15007578.743968718</v>
          </cell>
          <cell r="D64">
            <v>40136550.034116976</v>
          </cell>
          <cell r="E64">
            <v>20988226.077760383</v>
          </cell>
          <cell r="F64">
            <v>18526875.075566575</v>
          </cell>
          <cell r="G64">
            <v>0</v>
          </cell>
          <cell r="H64">
            <v>995747</v>
          </cell>
        </row>
        <row r="65">
          <cell r="B65">
            <v>36570298.647924244</v>
          </cell>
          <cell r="C65">
            <v>15630912.02824579</v>
          </cell>
          <cell r="D65">
            <v>42914537.32895399</v>
          </cell>
          <cell r="E65">
            <v>23045537.079783536</v>
          </cell>
          <cell r="F65">
            <v>21243509.08287194</v>
          </cell>
          <cell r="G65">
            <v>0</v>
          </cell>
          <cell r="H65">
            <v>966298</v>
          </cell>
        </row>
        <row r="66">
          <cell r="B66">
            <v>31640353.080012523</v>
          </cell>
          <cell r="C66">
            <v>14216725.240670701</v>
          </cell>
          <cell r="D66">
            <v>39850433.38699065</v>
          </cell>
          <cell r="E66">
            <v>21289968.073705766</v>
          </cell>
          <cell r="F66">
            <v>19794115.077217788</v>
          </cell>
          <cell r="G66">
            <v>0</v>
          </cell>
          <cell r="H66">
            <v>861944.32</v>
          </cell>
        </row>
        <row r="67">
          <cell r="B67">
            <v>31901463.985042825</v>
          </cell>
          <cell r="C67">
            <v>14921774.02474373</v>
          </cell>
          <cell r="D67">
            <v>42514506.79184724</v>
          </cell>
          <cell r="E67">
            <v>22650454.078415763</v>
          </cell>
          <cell r="F67">
            <v>22022702.08591161</v>
          </cell>
          <cell r="G67">
            <v>0</v>
          </cell>
          <cell r="H67">
            <v>832420.38</v>
          </cell>
        </row>
        <row r="68">
          <cell r="B68">
            <v>27711609.238855682</v>
          </cell>
          <cell r="C68">
            <v>13219767.489102984</v>
          </cell>
          <cell r="D68">
            <v>37252028.87828113</v>
          </cell>
          <cell r="E68">
            <v>23861869.082609676</v>
          </cell>
          <cell r="F68">
            <v>21506746.083898857</v>
          </cell>
          <cell r="G68">
            <v>0</v>
          </cell>
          <cell r="H68">
            <v>701306.1899986784</v>
          </cell>
        </row>
        <row r="69">
          <cell r="B69">
            <v>30169122.650609113</v>
          </cell>
          <cell r="C69">
            <v>13763943.101525307</v>
          </cell>
          <cell r="D69">
            <v>38051241.29069228</v>
          </cell>
          <cell r="E69">
            <v>24845680.086015623</v>
          </cell>
          <cell r="F69">
            <v>21342536.083258253</v>
          </cell>
          <cell r="G69">
            <v>0</v>
          </cell>
          <cell r="H69">
            <v>635630.2300038644</v>
          </cell>
        </row>
        <row r="70">
          <cell r="B70">
            <v>35129580.0821907</v>
          </cell>
          <cell r="C70">
            <v>14379594.629556058</v>
          </cell>
          <cell r="D70">
            <v>40755388.01466721</v>
          </cell>
          <cell r="E70">
            <v>26547879.09190863</v>
          </cell>
          <cell r="F70">
            <v>22703321.08856674</v>
          </cell>
          <cell r="G70">
            <v>0</v>
          </cell>
          <cell r="H70">
            <v>554386.5599980677</v>
          </cell>
          <cell r="J70">
            <v>41608</v>
          </cell>
          <cell r="K70">
            <v>4350</v>
          </cell>
          <cell r="L70">
            <v>632</v>
          </cell>
          <cell r="M70">
            <v>30</v>
          </cell>
          <cell r="N70">
            <v>3</v>
          </cell>
          <cell r="O70">
            <v>0</v>
          </cell>
        </row>
        <row r="71">
          <cell r="B71">
            <v>39085024.985200875</v>
          </cell>
          <cell r="C71">
            <v>15455283.382323414</v>
          </cell>
          <cell r="D71">
            <v>40020682.47371646</v>
          </cell>
          <cell r="E71">
            <v>23556586.081552785</v>
          </cell>
          <cell r="F71">
            <v>19944388.077804007</v>
          </cell>
          <cell r="G71">
            <v>0</v>
          </cell>
          <cell r="H71">
            <v>613478.859998068</v>
          </cell>
        </row>
        <row r="72">
          <cell r="B72">
            <v>36113257.254625276</v>
          </cell>
          <cell r="C72">
            <v>14994914.898536999</v>
          </cell>
          <cell r="D72">
            <v>40728461.87213131</v>
          </cell>
          <cell r="E72">
            <v>27071994.09372311</v>
          </cell>
          <cell r="F72">
            <v>23796823.092832543</v>
          </cell>
          <cell r="G72">
            <v>0</v>
          </cell>
          <cell r="H72">
            <v>705654.8900019324</v>
          </cell>
        </row>
        <row r="73">
          <cell r="B73">
            <v>30193029.061658356</v>
          </cell>
          <cell r="C73">
            <v>13545269.214559339</v>
          </cell>
          <cell r="D73">
            <v>38735524.41753167</v>
          </cell>
          <cell r="E73">
            <v>25155373.607081853</v>
          </cell>
          <cell r="F73">
            <v>22143092.866379276</v>
          </cell>
          <cell r="G73">
            <v>0</v>
          </cell>
          <cell r="H73">
            <v>782286.4499864761</v>
          </cell>
        </row>
        <row r="74">
          <cell r="B74">
            <v>29335115.664578382</v>
          </cell>
          <cell r="C74">
            <v>13585344.316435944</v>
          </cell>
          <cell r="D74">
            <v>38743868.98569236</v>
          </cell>
          <cell r="E74">
            <v>24566373.1450521</v>
          </cell>
          <cell r="F74">
            <v>21495447.193860844</v>
          </cell>
          <cell r="G74">
            <v>2600.5607333842618</v>
          </cell>
          <cell r="H74">
            <v>891769.1100148623</v>
          </cell>
        </row>
        <row r="75">
          <cell r="B75">
            <v>30934137.750188727</v>
          </cell>
          <cell r="C75">
            <v>13931009.236007383</v>
          </cell>
          <cell r="D75">
            <v>39160504.328177504</v>
          </cell>
          <cell r="E75">
            <v>24736247.13560716</v>
          </cell>
          <cell r="F75">
            <v>21602580.314282555</v>
          </cell>
          <cell r="G75">
            <v>128003.26712146941</v>
          </cell>
          <cell r="H75">
            <v>990151.3600008505</v>
          </cell>
        </row>
        <row r="76">
          <cell r="B76">
            <v>35240315.99304195</v>
          </cell>
          <cell r="C76">
            <v>15227645.555540359</v>
          </cell>
          <cell r="D76">
            <v>38615361.96387386</v>
          </cell>
          <cell r="E76">
            <v>21522820.054524586</v>
          </cell>
          <cell r="F76">
            <v>18746128.493124086</v>
          </cell>
          <cell r="G76">
            <v>261584.23369879957</v>
          </cell>
          <cell r="H76">
            <v>1006450.37000786</v>
          </cell>
        </row>
        <row r="77">
          <cell r="B77">
            <v>35607221.64184321</v>
          </cell>
          <cell r="C77">
            <v>15391617.561713494</v>
          </cell>
          <cell r="D77">
            <v>40050498.99097812</v>
          </cell>
          <cell r="E77">
            <v>23380812.45999628</v>
          </cell>
          <cell r="F77">
            <v>21472270.759995714</v>
          </cell>
          <cell r="G77">
            <v>285069.5384463465</v>
          </cell>
          <cell r="H77">
            <v>939758.1499981285</v>
          </cell>
        </row>
        <row r="78">
          <cell r="B78">
            <v>30905661.934466433</v>
          </cell>
          <cell r="C78">
            <v>14025715.19078733</v>
          </cell>
          <cell r="D78">
            <v>37179158.69020018</v>
          </cell>
          <cell r="E78">
            <v>21731545.94998873</v>
          </cell>
          <cell r="F78">
            <v>19622390.990009747</v>
          </cell>
          <cell r="G78">
            <v>262724.1037037039</v>
          </cell>
          <cell r="H78">
            <v>838409.4600019322</v>
          </cell>
        </row>
        <row r="79">
          <cell r="B79">
            <v>31603081.70885059</v>
          </cell>
          <cell r="C79">
            <v>14789565.739849158</v>
          </cell>
          <cell r="D79">
            <v>40200945.29029684</v>
          </cell>
          <cell r="E79">
            <v>24182551.089982543</v>
          </cell>
          <cell r="F79">
            <v>22203524.51999262</v>
          </cell>
          <cell r="G79">
            <v>293967.77905491664</v>
          </cell>
          <cell r="H79">
            <v>805495.6300003038</v>
          </cell>
        </row>
        <row r="80">
          <cell r="B80">
            <v>27662210.143372092</v>
          </cell>
          <cell r="C80">
            <v>12941439.73073155</v>
          </cell>
          <cell r="D80">
            <v>36493846.968822934</v>
          </cell>
          <cell r="E80">
            <v>22319299.000010233</v>
          </cell>
          <cell r="F80">
            <v>20046372.119999997</v>
          </cell>
          <cell r="G80">
            <v>270347.03725065495</v>
          </cell>
          <cell r="H80">
            <v>680509.8799934709</v>
          </cell>
        </row>
        <row r="81">
          <cell r="B81">
            <v>28590224.805423334</v>
          </cell>
          <cell r="C81">
            <v>13182611.716292515</v>
          </cell>
          <cell r="D81">
            <v>39142092.4218801</v>
          </cell>
          <cell r="E81">
            <v>24631207.63825311</v>
          </cell>
          <cell r="F81">
            <v>22006779.19999372</v>
          </cell>
          <cell r="G81">
            <v>269064.97879950923</v>
          </cell>
          <cell r="H81">
            <v>624936.4066788207</v>
          </cell>
        </row>
        <row r="82">
          <cell r="B82">
            <v>32221710.592129845</v>
          </cell>
          <cell r="C82">
            <v>13596147.20113145</v>
          </cell>
          <cell r="D82">
            <v>39812431.209536895</v>
          </cell>
          <cell r="E82">
            <v>25058992.04000058</v>
          </cell>
          <cell r="F82">
            <v>22310959.650002</v>
          </cell>
          <cell r="G82">
            <v>265781.8577586207</v>
          </cell>
          <cell r="H82">
            <v>538286.3700291129</v>
          </cell>
          <cell r="J82">
            <v>42471</v>
          </cell>
          <cell r="K82">
            <v>4354</v>
          </cell>
          <cell r="L82">
            <v>662</v>
          </cell>
          <cell r="M82">
            <v>29</v>
          </cell>
          <cell r="N82">
            <v>3</v>
          </cell>
        </row>
        <row r="83">
          <cell r="B83">
            <v>36731540.88971382</v>
          </cell>
          <cell r="C83">
            <v>14913610.584945753</v>
          </cell>
          <cell r="D83">
            <v>41104448.28803081</v>
          </cell>
          <cell r="E83">
            <v>23542701.23998281</v>
          </cell>
          <cell r="F83">
            <v>19714025.51999688</v>
          </cell>
          <cell r="G83">
            <v>266564.090158046</v>
          </cell>
          <cell r="H83">
            <v>593731.449999578</v>
          </cell>
        </row>
        <row r="84">
          <cell r="B84">
            <v>34302121.98282158</v>
          </cell>
          <cell r="C84">
            <v>14150357.056226546</v>
          </cell>
          <cell r="D84">
            <v>40717712.497898966</v>
          </cell>
          <cell r="E84">
            <v>25124353.590019833</v>
          </cell>
          <cell r="F84">
            <v>23199448.610009976</v>
          </cell>
          <cell r="G84">
            <v>263912.42708333343</v>
          </cell>
          <cell r="H84">
            <v>685902.6800182448</v>
          </cell>
        </row>
        <row r="85">
          <cell r="B85">
            <v>29087224.425843317</v>
          </cell>
          <cell r="C85">
            <v>12765121.472515043</v>
          </cell>
          <cell r="D85">
            <v>38066010.162590116</v>
          </cell>
          <cell r="E85">
            <v>22914922.750022464</v>
          </cell>
          <cell r="F85">
            <v>20921550.899996124</v>
          </cell>
          <cell r="G85">
            <v>235399.82857142852</v>
          </cell>
          <cell r="H85">
            <v>757739.8099894099</v>
          </cell>
        </row>
        <row r="86">
          <cell r="B86">
            <v>29343350.179477677</v>
          </cell>
          <cell r="C86">
            <v>13235258.752342988</v>
          </cell>
          <cell r="D86">
            <v>39574609.477383904</v>
          </cell>
          <cell r="E86">
            <v>22985255.42000433</v>
          </cell>
          <cell r="F86">
            <v>21232213.219998017</v>
          </cell>
          <cell r="G86">
            <v>205218.2036866362</v>
          </cell>
          <cell r="H86">
            <v>861870.4200073775</v>
          </cell>
        </row>
        <row r="87">
          <cell r="B87">
            <v>30851583.106073357</v>
          </cell>
          <cell r="C87">
            <v>13522451.434934605</v>
          </cell>
          <cell r="D87">
            <v>39771266.03109822</v>
          </cell>
          <cell r="E87">
            <v>22572741.34996766</v>
          </cell>
          <cell r="F87">
            <v>21048044.71000007</v>
          </cell>
          <cell r="G87">
            <v>194124.3470522803</v>
          </cell>
          <cell r="H87">
            <v>959312.0209570937</v>
          </cell>
        </row>
        <row r="88">
          <cell r="B88">
            <v>34674037.18042355</v>
          </cell>
          <cell r="C88">
            <v>14373053.429849444</v>
          </cell>
          <cell r="D88">
            <v>38013953.50783479</v>
          </cell>
          <cell r="E88">
            <v>19664911.43999681</v>
          </cell>
          <cell r="F88">
            <v>18324233.7100051</v>
          </cell>
          <cell r="G88">
            <v>185127.67951318456</v>
          </cell>
          <cell r="H88">
            <v>1014605.5600055914</v>
          </cell>
        </row>
        <row r="89">
          <cell r="B89">
            <v>36728886.583133645</v>
          </cell>
          <cell r="C89">
            <v>15323539.838926408</v>
          </cell>
          <cell r="D89">
            <v>42110157.8242335</v>
          </cell>
          <cell r="E89">
            <v>22084067.839973535</v>
          </cell>
          <cell r="F89">
            <v>21752460.469986457</v>
          </cell>
          <cell r="G89">
            <v>186711.28600405695</v>
          </cell>
          <cell r="H89">
            <v>991872.6599811767</v>
          </cell>
        </row>
        <row r="90">
          <cell r="B90">
            <v>32825846.964741904</v>
          </cell>
          <cell r="C90">
            <v>14254404.869282773</v>
          </cell>
          <cell r="D90">
            <v>39550209.53420954</v>
          </cell>
          <cell r="E90">
            <v>20236100.249987334</v>
          </cell>
          <cell r="F90">
            <v>19823682.160004757</v>
          </cell>
          <cell r="G90">
            <v>177151.86206896527</v>
          </cell>
          <cell r="H90">
            <v>826908.8000032024</v>
          </cell>
        </row>
        <row r="91">
          <cell r="B91">
            <v>33181983.06167624</v>
          </cell>
          <cell r="C91">
            <v>14705559.21996519</v>
          </cell>
          <cell r="D91">
            <v>41467506.86072372</v>
          </cell>
          <cell r="E91">
            <v>22349254.660006363</v>
          </cell>
          <cell r="F91">
            <v>21226563.84000359</v>
          </cell>
          <cell r="G91">
            <v>191189.7931034484</v>
          </cell>
          <cell r="H91">
            <v>820333.2999999998</v>
          </cell>
        </row>
        <row r="92">
          <cell r="B92">
            <v>29167939.587908167</v>
          </cell>
          <cell r="C92">
            <v>13223247.024506278</v>
          </cell>
          <cell r="D92">
            <v>38360088.26626617</v>
          </cell>
          <cell r="E92">
            <v>20555255.660010684</v>
          </cell>
          <cell r="F92">
            <v>19964258.739994295</v>
          </cell>
          <cell r="G92">
            <v>178792.28005566745</v>
          </cell>
          <cell r="H92">
            <v>695620.1600057596</v>
          </cell>
        </row>
        <row r="93">
          <cell r="B93">
            <v>29981212.255604457</v>
          </cell>
          <cell r="C93">
            <v>13534713.317948852</v>
          </cell>
          <cell r="D93">
            <v>40310741.73369043</v>
          </cell>
          <cell r="E93">
            <v>22106899.209998265</v>
          </cell>
          <cell r="F93">
            <v>21957400.949992843</v>
          </cell>
          <cell r="G93">
            <v>185804.91996179396</v>
          </cell>
          <cell r="H93">
            <v>635756.1799928407</v>
          </cell>
        </row>
        <row r="94">
          <cell r="B94">
            <v>32346165.932932075</v>
          </cell>
          <cell r="C94">
            <v>13855309.434062205</v>
          </cell>
          <cell r="D94">
            <v>40739314.52885644</v>
          </cell>
          <cell r="E94">
            <v>22087324.779997632</v>
          </cell>
          <cell r="F94">
            <v>21982728.77000194</v>
          </cell>
          <cell r="G94">
            <v>181925.99999999997</v>
          </cell>
          <cell r="H94">
            <v>572520.9600074836</v>
          </cell>
          <cell r="J94">
            <v>43304</v>
          </cell>
          <cell r="K94">
            <v>4398</v>
          </cell>
          <cell r="L94">
            <v>682</v>
          </cell>
          <cell r="M94">
            <v>28</v>
          </cell>
          <cell r="N94">
            <v>3</v>
          </cell>
        </row>
        <row r="95">
          <cell r="B95">
            <v>35476043.74455261</v>
          </cell>
          <cell r="C95">
            <v>14626815.490834307</v>
          </cell>
          <cell r="D95">
            <v>40217717.14672953</v>
          </cell>
          <cell r="E95">
            <v>21306194.629992064</v>
          </cell>
          <cell r="F95">
            <v>19971378.71000139</v>
          </cell>
          <cell r="G95">
            <v>185265.45625000002</v>
          </cell>
          <cell r="H95">
            <v>613246.9999938319</v>
          </cell>
        </row>
        <row r="96">
          <cell r="B96">
            <v>34628296.03296043</v>
          </cell>
          <cell r="C96">
            <v>14430500.925318226</v>
          </cell>
          <cell r="D96">
            <v>41433214.15622149</v>
          </cell>
          <cell r="E96">
            <v>23391758.649999313</v>
          </cell>
          <cell r="F96">
            <v>23637009.319995366</v>
          </cell>
          <cell r="G96">
            <v>186049.54374999998</v>
          </cell>
          <cell r="H96">
            <v>689898.3200116699</v>
          </cell>
        </row>
        <row r="97">
          <cell r="B97">
            <v>30730559.950613886</v>
          </cell>
          <cell r="C97">
            <v>13393142.046299364</v>
          </cell>
          <cell r="D97">
            <v>39591283.455005415</v>
          </cell>
          <cell r="E97">
            <v>21144797.66001374</v>
          </cell>
          <cell r="F97">
            <v>20989232.27000241</v>
          </cell>
          <cell r="G97">
            <v>175445.54999999993</v>
          </cell>
          <cell r="H97">
            <v>762262.2799853551</v>
          </cell>
        </row>
        <row r="98">
          <cell r="B98">
            <v>30125310.47131016</v>
          </cell>
          <cell r="C98">
            <v>13454936.16464148</v>
          </cell>
          <cell r="D98">
            <v>40658293.22270696</v>
          </cell>
          <cell r="E98">
            <v>21868455.95996485</v>
          </cell>
          <cell r="F98">
            <v>22122137.160010226</v>
          </cell>
          <cell r="G98">
            <v>187031.25000000012</v>
          </cell>
          <cell r="H98">
            <v>880083.300021351</v>
          </cell>
        </row>
        <row r="99">
          <cell r="B99">
            <v>31646846.650935836</v>
          </cell>
          <cell r="C99">
            <v>13873921.158604521</v>
          </cell>
          <cell r="D99">
            <v>40644425.65243004</v>
          </cell>
          <cell r="E99">
            <v>20998716.270008665</v>
          </cell>
          <cell r="F99">
            <v>21217315.01000802</v>
          </cell>
          <cell r="G99">
            <v>188999.9999999998</v>
          </cell>
          <cell r="H99">
            <v>937817.6899881826</v>
          </cell>
        </row>
        <row r="100">
          <cell r="B100">
            <v>35719874.77968912</v>
          </cell>
          <cell r="C100">
            <v>14930184.637764923</v>
          </cell>
          <cell r="D100">
            <v>39153323.8201958</v>
          </cell>
          <cell r="E100">
            <v>18323060.330028594</v>
          </cell>
          <cell r="F100">
            <v>17448181.079990033</v>
          </cell>
          <cell r="G100">
            <v>176641.06951871663</v>
          </cell>
          <cell r="H100">
            <v>1016511.2299935173</v>
          </cell>
        </row>
        <row r="101">
          <cell r="B101">
            <v>36726792.57172696</v>
          </cell>
          <cell r="C101">
            <v>15549593.161358383</v>
          </cell>
          <cell r="D101">
            <v>41536792.1200452</v>
          </cell>
          <cell r="E101">
            <v>21598965.99997695</v>
          </cell>
          <cell r="F101">
            <v>19824369.77999994</v>
          </cell>
          <cell r="G101">
            <v>182227.1388146171</v>
          </cell>
          <cell r="H101">
            <v>991289.2500019872</v>
          </cell>
        </row>
        <row r="102">
          <cell r="B102">
            <v>33367805.498523623</v>
          </cell>
          <cell r="C102">
            <v>14728354.41165401</v>
          </cell>
          <cell r="D102">
            <v>39521301.84723065</v>
          </cell>
          <cell r="E102">
            <v>20349471.679994933</v>
          </cell>
          <cell r="F102">
            <v>19251710.159988202</v>
          </cell>
          <cell r="G102">
            <v>180919.17097701132</v>
          </cell>
          <cell r="H102">
            <v>854123.7199977849</v>
          </cell>
        </row>
        <row r="103">
          <cell r="B103">
            <v>32908225.872884765</v>
          </cell>
          <cell r="C103">
            <v>14960201.304213291</v>
          </cell>
          <cell r="D103">
            <v>40287858.252653</v>
          </cell>
          <cell r="E103">
            <v>20178079.560003906</v>
          </cell>
          <cell r="F103">
            <v>19803697.69001212</v>
          </cell>
          <cell r="G103">
            <v>173378.6489028209</v>
          </cell>
          <cell r="H103">
            <v>814814.4600135243</v>
          </cell>
        </row>
        <row r="104">
          <cell r="B104">
            <v>28401970.94709118</v>
          </cell>
          <cell r="C104">
            <v>13445650.500102634</v>
          </cell>
          <cell r="D104">
            <v>38327271.4769282</v>
          </cell>
          <cell r="E104">
            <v>20381920.720000867</v>
          </cell>
          <cell r="F104">
            <v>20058983.66999849</v>
          </cell>
          <cell r="G104">
            <v>170100.76183386357</v>
          </cell>
          <cell r="H104">
            <v>692150.2599830817</v>
          </cell>
        </row>
        <row r="105">
          <cell r="B105">
            <v>28606820.28130895</v>
          </cell>
          <cell r="C105">
            <v>13349344.15099516</v>
          </cell>
          <cell r="D105">
            <v>37995070.55709255</v>
          </cell>
          <cell r="E105">
            <v>20490381.890000995</v>
          </cell>
          <cell r="F105">
            <v>19981967.29000342</v>
          </cell>
          <cell r="G105">
            <v>181712.94323165392</v>
          </cell>
          <cell r="H105">
            <v>630053.479997763</v>
          </cell>
        </row>
        <row r="106">
          <cell r="B106">
            <v>31292848.8329916</v>
          </cell>
          <cell r="C106">
            <v>13642915.627696376</v>
          </cell>
          <cell r="D106">
            <v>38452184.73197223</v>
          </cell>
          <cell r="E106">
            <v>21315807.239981636</v>
          </cell>
          <cell r="F106">
            <v>20504074.070004694</v>
          </cell>
          <cell r="G106">
            <v>166687.30833333335</v>
          </cell>
          <cell r="H106">
            <v>568147.7000026735</v>
          </cell>
          <cell r="J106">
            <v>43558</v>
          </cell>
          <cell r="K106">
            <v>4500</v>
          </cell>
          <cell r="L106">
            <v>677</v>
          </cell>
          <cell r="M106">
            <v>28</v>
          </cell>
          <cell r="N106">
            <v>3</v>
          </cell>
        </row>
        <row r="107">
          <cell r="B107">
            <v>34849161.767594844</v>
          </cell>
          <cell r="C107">
            <v>14679438.630333576</v>
          </cell>
          <cell r="D107">
            <v>40544535.668412924</v>
          </cell>
          <cell r="E107">
            <v>21642080.510023084</v>
          </cell>
          <cell r="F107">
            <v>19760758.830000464</v>
          </cell>
          <cell r="G107">
            <v>178028.80208333337</v>
          </cell>
          <cell r="H107">
            <v>610294.5500040865</v>
          </cell>
        </row>
        <row r="108">
          <cell r="B108">
            <v>33251703.97400425</v>
          </cell>
          <cell r="C108">
            <v>14304106.559233438</v>
          </cell>
          <cell r="D108">
            <v>39032545.9622766</v>
          </cell>
          <cell r="E108">
            <v>22055376.640005253</v>
          </cell>
          <cell r="F108">
            <v>20150279.589995585</v>
          </cell>
          <cell r="G108">
            <v>181595.95625</v>
          </cell>
          <cell r="H108">
            <v>686536.4899828439</v>
          </cell>
        </row>
        <row r="109">
          <cell r="B109">
            <v>29485754.43523585</v>
          </cell>
          <cell r="C109">
            <v>13204869.035135947</v>
          </cell>
          <cell r="D109">
            <v>38206892.28623147</v>
          </cell>
          <cell r="E109">
            <v>21926093.46122586</v>
          </cell>
          <cell r="F109">
            <v>20058820.989991788</v>
          </cell>
          <cell r="G109">
            <v>166865.51573275856</v>
          </cell>
          <cell r="H109">
            <v>757679.2599972062</v>
          </cell>
        </row>
        <row r="110">
          <cell r="B110">
            <v>29814378.456865907</v>
          </cell>
          <cell r="C110">
            <v>13490728.882374618</v>
          </cell>
          <cell r="D110">
            <v>38611417.94042934</v>
          </cell>
          <cell r="E110">
            <v>21447251.63000311</v>
          </cell>
          <cell r="F110">
            <v>19989018.50000066</v>
          </cell>
          <cell r="G110">
            <v>178499.0657327586</v>
          </cell>
          <cell r="H110">
            <v>884034.7200159901</v>
          </cell>
        </row>
        <row r="111">
          <cell r="B111">
            <v>31875169.099085823</v>
          </cell>
          <cell r="C111">
            <v>14100497.114105927</v>
          </cell>
          <cell r="D111">
            <v>38436272.415639125</v>
          </cell>
          <cell r="E111">
            <v>20072336.410007585</v>
          </cell>
          <cell r="F111">
            <v>17336232.6799987</v>
          </cell>
          <cell r="G111">
            <v>184144.86730295565</v>
          </cell>
          <cell r="H111">
            <v>941397.5099982887</v>
          </cell>
        </row>
        <row r="112">
          <cell r="B112">
            <v>36734100.08343978</v>
          </cell>
          <cell r="C112">
            <v>14807897.870417804</v>
          </cell>
          <cell r="D112">
            <v>38366482.56334147</v>
          </cell>
          <cell r="E112">
            <v>18412085.170005612</v>
          </cell>
          <cell r="F112">
            <v>13577841.860004282</v>
          </cell>
          <cell r="G112">
            <v>168072.05879455223</v>
          </cell>
          <cell r="H112">
            <v>1018368.5699953006</v>
          </cell>
        </row>
        <row r="118">
          <cell r="P118">
            <v>11471</v>
          </cell>
        </row>
        <row r="119">
          <cell r="P119">
            <v>11642</v>
          </cell>
        </row>
        <row r="120">
          <cell r="P120">
            <v>11821</v>
          </cell>
        </row>
        <row r="121">
          <cell r="P121">
            <v>11968</v>
          </cell>
        </row>
        <row r="122">
          <cell r="P122">
            <v>12097</v>
          </cell>
        </row>
        <row r="123">
          <cell r="P123">
            <v>12176</v>
          </cell>
        </row>
        <row r="124">
          <cell r="P124">
            <v>12338</v>
          </cell>
        </row>
        <row r="125">
          <cell r="P125">
            <v>12393</v>
          </cell>
        </row>
        <row r="130">
          <cell r="P130">
            <v>516</v>
          </cell>
        </row>
        <row r="131">
          <cell r="P131">
            <v>456</v>
          </cell>
        </row>
        <row r="132">
          <cell r="P132">
            <v>458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Sheet3"/>
    </sheetNames>
    <sheetDataSet>
      <sheetData sheetId="1">
        <row r="29">
          <cell r="J29">
            <v>107063</v>
          </cell>
        </row>
        <row r="30">
          <cell r="J30">
            <v>107278</v>
          </cell>
        </row>
        <row r="31">
          <cell r="J31">
            <v>107493</v>
          </cell>
        </row>
        <row r="32">
          <cell r="J32">
            <v>107708</v>
          </cell>
        </row>
        <row r="33">
          <cell r="J33">
            <v>107923</v>
          </cell>
        </row>
        <row r="34">
          <cell r="J34">
            <v>108138</v>
          </cell>
        </row>
        <row r="35">
          <cell r="J35">
            <v>108353</v>
          </cell>
        </row>
        <row r="36">
          <cell r="J36">
            <v>108568</v>
          </cell>
        </row>
        <row r="37">
          <cell r="J37">
            <v>108783</v>
          </cell>
        </row>
        <row r="38">
          <cell r="J38">
            <v>108998</v>
          </cell>
        </row>
        <row r="39">
          <cell r="J39">
            <v>109213</v>
          </cell>
        </row>
        <row r="40">
          <cell r="J40">
            <v>109428</v>
          </cell>
        </row>
        <row r="41">
          <cell r="J41">
            <v>109495</v>
          </cell>
        </row>
        <row r="42">
          <cell r="J42">
            <v>109562</v>
          </cell>
        </row>
        <row r="43">
          <cell r="J43">
            <v>109629</v>
          </cell>
        </row>
        <row r="44">
          <cell r="J44">
            <v>109696</v>
          </cell>
        </row>
        <row r="45">
          <cell r="J45">
            <v>109763</v>
          </cell>
        </row>
        <row r="46">
          <cell r="J46">
            <v>109830</v>
          </cell>
        </row>
        <row r="47">
          <cell r="J47">
            <v>109897</v>
          </cell>
        </row>
        <row r="48">
          <cell r="J48">
            <v>109964</v>
          </cell>
        </row>
        <row r="49">
          <cell r="J49">
            <v>110031</v>
          </cell>
        </row>
        <row r="50">
          <cell r="J50">
            <v>110098</v>
          </cell>
        </row>
        <row r="51">
          <cell r="J51">
            <v>110165</v>
          </cell>
        </row>
        <row r="52">
          <cell r="J52">
            <v>110232</v>
          </cell>
        </row>
        <row r="53">
          <cell r="J53">
            <v>110327</v>
          </cell>
        </row>
        <row r="54">
          <cell r="J54">
            <v>110422</v>
          </cell>
        </row>
        <row r="55">
          <cell r="J55">
            <v>110517</v>
          </cell>
        </row>
        <row r="56">
          <cell r="J56">
            <v>110612</v>
          </cell>
        </row>
        <row r="57">
          <cell r="J57">
            <v>110707</v>
          </cell>
        </row>
        <row r="58">
          <cell r="J58">
            <v>110802</v>
          </cell>
        </row>
        <row r="59">
          <cell r="J59">
            <v>110897</v>
          </cell>
        </row>
        <row r="60">
          <cell r="J60">
            <v>110992</v>
          </cell>
        </row>
        <row r="61">
          <cell r="J61">
            <v>111087</v>
          </cell>
        </row>
        <row r="62">
          <cell r="J62">
            <v>111182</v>
          </cell>
        </row>
        <row r="63">
          <cell r="J63">
            <v>111277</v>
          </cell>
        </row>
        <row r="64">
          <cell r="J64">
            <v>111372</v>
          </cell>
        </row>
        <row r="65">
          <cell r="J65">
            <v>111593</v>
          </cell>
        </row>
        <row r="66">
          <cell r="J66">
            <v>111814</v>
          </cell>
        </row>
        <row r="67">
          <cell r="J67">
            <v>112035</v>
          </cell>
        </row>
        <row r="68">
          <cell r="J68">
            <v>112256</v>
          </cell>
        </row>
        <row r="69">
          <cell r="J69">
            <v>112477</v>
          </cell>
        </row>
        <row r="70">
          <cell r="J70">
            <v>112698</v>
          </cell>
        </row>
        <row r="71">
          <cell r="J71">
            <v>112919</v>
          </cell>
        </row>
        <row r="72">
          <cell r="J72">
            <v>113140</v>
          </cell>
        </row>
        <row r="73">
          <cell r="J73">
            <v>113361</v>
          </cell>
        </row>
        <row r="74">
          <cell r="J74">
            <v>113582</v>
          </cell>
        </row>
        <row r="75">
          <cell r="J75">
            <v>113803</v>
          </cell>
        </row>
        <row r="76">
          <cell r="J76">
            <v>114024</v>
          </cell>
        </row>
        <row r="77">
          <cell r="J77">
            <v>114285</v>
          </cell>
        </row>
        <row r="78">
          <cell r="J78">
            <v>114546</v>
          </cell>
        </row>
        <row r="79">
          <cell r="J79">
            <v>114807</v>
          </cell>
        </row>
        <row r="80">
          <cell r="J80">
            <v>115068</v>
          </cell>
        </row>
        <row r="81">
          <cell r="J81">
            <v>115329</v>
          </cell>
        </row>
        <row r="82">
          <cell r="J82">
            <v>115590</v>
          </cell>
        </row>
        <row r="83">
          <cell r="J83">
            <v>115851</v>
          </cell>
        </row>
        <row r="84">
          <cell r="J84">
            <v>116112</v>
          </cell>
        </row>
        <row r="85">
          <cell r="J85">
            <v>116373</v>
          </cell>
        </row>
        <row r="86">
          <cell r="J86">
            <v>116634</v>
          </cell>
        </row>
        <row r="87">
          <cell r="J87">
            <v>116895</v>
          </cell>
        </row>
        <row r="88">
          <cell r="J88">
            <v>117156</v>
          </cell>
        </row>
        <row r="89">
          <cell r="J89">
            <v>117347</v>
          </cell>
        </row>
        <row r="90">
          <cell r="J90">
            <v>117538</v>
          </cell>
        </row>
        <row r="91">
          <cell r="J91">
            <v>117729</v>
          </cell>
        </row>
        <row r="92">
          <cell r="J92">
            <v>117920</v>
          </cell>
        </row>
        <row r="93">
          <cell r="J93">
            <v>118111</v>
          </cell>
        </row>
        <row r="94">
          <cell r="J94">
            <v>118302</v>
          </cell>
        </row>
        <row r="95">
          <cell r="J95">
            <v>118493</v>
          </cell>
        </row>
        <row r="96">
          <cell r="J96">
            <v>118684</v>
          </cell>
        </row>
        <row r="97">
          <cell r="J97">
            <v>118875</v>
          </cell>
        </row>
        <row r="98">
          <cell r="J98">
            <v>119066</v>
          </cell>
        </row>
        <row r="99">
          <cell r="J99">
            <v>119257</v>
          </cell>
        </row>
        <row r="100">
          <cell r="J100">
            <v>119448</v>
          </cell>
        </row>
        <row r="101">
          <cell r="J101">
            <v>119682</v>
          </cell>
        </row>
        <row r="102">
          <cell r="J102">
            <v>119916</v>
          </cell>
        </row>
        <row r="103">
          <cell r="J103">
            <v>120150</v>
          </cell>
        </row>
        <row r="104">
          <cell r="J104">
            <v>120384</v>
          </cell>
        </row>
        <row r="105">
          <cell r="J105">
            <v>120618</v>
          </cell>
        </row>
        <row r="106">
          <cell r="J106">
            <v>120852</v>
          </cell>
        </row>
        <row r="107">
          <cell r="J107">
            <v>121086</v>
          </cell>
        </row>
        <row r="108">
          <cell r="J108">
            <v>121320</v>
          </cell>
        </row>
        <row r="109">
          <cell r="J109">
            <v>121554</v>
          </cell>
        </row>
        <row r="110">
          <cell r="J110">
            <v>121788</v>
          </cell>
        </row>
        <row r="111">
          <cell r="J111">
            <v>122022</v>
          </cell>
        </row>
        <row r="112">
          <cell r="J112">
            <v>122256</v>
          </cell>
        </row>
        <row r="113">
          <cell r="J113">
            <v>122425</v>
          </cell>
        </row>
        <row r="114">
          <cell r="J114">
            <v>122594</v>
          </cell>
        </row>
        <row r="115">
          <cell r="J115">
            <v>122763</v>
          </cell>
        </row>
        <row r="116">
          <cell r="J116">
            <v>122932</v>
          </cell>
        </row>
        <row r="117">
          <cell r="J117">
            <v>123101</v>
          </cell>
        </row>
        <row r="118">
          <cell r="J118">
            <v>123270</v>
          </cell>
        </row>
        <row r="119">
          <cell r="J119">
            <v>123439</v>
          </cell>
        </row>
        <row r="120">
          <cell r="J120">
            <v>123608</v>
          </cell>
        </row>
        <row r="121">
          <cell r="J121">
            <v>123777</v>
          </cell>
        </row>
        <row r="122">
          <cell r="J122">
            <v>123946</v>
          </cell>
        </row>
        <row r="123">
          <cell r="J123">
            <v>124115</v>
          </cell>
        </row>
        <row r="124">
          <cell r="J124">
            <v>124284</v>
          </cell>
        </row>
        <row r="125">
          <cell r="J125">
            <v>124546</v>
          </cell>
        </row>
        <row r="126">
          <cell r="J126">
            <v>124808</v>
          </cell>
        </row>
        <row r="127">
          <cell r="J127">
            <v>125070</v>
          </cell>
        </row>
        <row r="128">
          <cell r="J128">
            <v>125332</v>
          </cell>
        </row>
        <row r="129">
          <cell r="J129">
            <v>125594</v>
          </cell>
        </row>
        <row r="130">
          <cell r="J130">
            <v>125856</v>
          </cell>
        </row>
        <row r="131">
          <cell r="J131">
            <v>126118</v>
          </cell>
        </row>
        <row r="132">
          <cell r="J132">
            <v>126380</v>
          </cell>
        </row>
        <row r="133">
          <cell r="J133">
            <v>126642</v>
          </cell>
        </row>
        <row r="134">
          <cell r="J134">
            <v>126904</v>
          </cell>
        </row>
        <row r="135">
          <cell r="J135">
            <v>127166</v>
          </cell>
        </row>
        <row r="136">
          <cell r="J136">
            <v>127428</v>
          </cell>
        </row>
        <row r="137">
          <cell r="J137">
            <v>127590</v>
          </cell>
        </row>
        <row r="138">
          <cell r="J138">
            <v>127752</v>
          </cell>
        </row>
        <row r="139">
          <cell r="J139">
            <v>127914</v>
          </cell>
        </row>
        <row r="140">
          <cell r="J140">
            <v>128076</v>
          </cell>
        </row>
        <row r="141">
          <cell r="J141">
            <v>128238</v>
          </cell>
        </row>
        <row r="142">
          <cell r="J142">
            <v>128400</v>
          </cell>
        </row>
        <row r="143">
          <cell r="J143">
            <v>128562</v>
          </cell>
        </row>
        <row r="144">
          <cell r="J144">
            <v>128724</v>
          </cell>
        </row>
        <row r="145">
          <cell r="J145">
            <v>128886</v>
          </cell>
        </row>
        <row r="146">
          <cell r="J146">
            <v>129048</v>
          </cell>
        </row>
        <row r="147">
          <cell r="J147">
            <v>129210</v>
          </cell>
        </row>
        <row r="148">
          <cell r="J148">
            <v>129372</v>
          </cell>
        </row>
        <row r="149">
          <cell r="J149">
            <v>129546</v>
          </cell>
        </row>
        <row r="150">
          <cell r="J150">
            <v>129720</v>
          </cell>
        </row>
        <row r="151">
          <cell r="J151">
            <v>129894</v>
          </cell>
        </row>
        <row r="152">
          <cell r="J152">
            <v>130068</v>
          </cell>
        </row>
        <row r="153">
          <cell r="J153">
            <v>130242</v>
          </cell>
        </row>
        <row r="154">
          <cell r="J154">
            <v>130416</v>
          </cell>
        </row>
        <row r="155">
          <cell r="J155">
            <v>130590</v>
          </cell>
        </row>
        <row r="156">
          <cell r="J156">
            <v>130764</v>
          </cell>
        </row>
        <row r="157">
          <cell r="J157">
            <v>130938</v>
          </cell>
        </row>
        <row r="158">
          <cell r="J158">
            <v>131112</v>
          </cell>
        </row>
        <row r="159">
          <cell r="J159">
            <v>131286</v>
          </cell>
        </row>
        <row r="160">
          <cell r="J160">
            <v>131460</v>
          </cell>
        </row>
        <row r="161">
          <cell r="J161">
            <v>131624</v>
          </cell>
        </row>
        <row r="162">
          <cell r="J162">
            <v>131788</v>
          </cell>
        </row>
        <row r="163">
          <cell r="J163">
            <v>131952</v>
          </cell>
        </row>
        <row r="164">
          <cell r="J164">
            <v>132116</v>
          </cell>
        </row>
        <row r="165">
          <cell r="J165">
            <v>132280</v>
          </cell>
        </row>
        <row r="166">
          <cell r="J166">
            <v>132444</v>
          </cell>
        </row>
        <row r="167">
          <cell r="J167">
            <v>132608</v>
          </cell>
        </row>
        <row r="168">
          <cell r="J168">
            <v>132772</v>
          </cell>
        </row>
        <row r="169">
          <cell r="J169">
            <v>132936</v>
          </cell>
        </row>
        <row r="170">
          <cell r="J170">
            <v>133100</v>
          </cell>
        </row>
        <row r="171">
          <cell r="J171">
            <v>133264</v>
          </cell>
        </row>
        <row r="172">
          <cell r="J172">
            <v>133428</v>
          </cell>
        </row>
        <row r="173">
          <cell r="J173">
            <v>133520</v>
          </cell>
        </row>
        <row r="174">
          <cell r="J174">
            <v>133612</v>
          </cell>
        </row>
        <row r="175">
          <cell r="J175">
            <v>133704</v>
          </cell>
        </row>
        <row r="176">
          <cell r="J176">
            <v>133796</v>
          </cell>
        </row>
        <row r="177">
          <cell r="J177">
            <v>133888</v>
          </cell>
        </row>
        <row r="178">
          <cell r="J178">
            <v>133980</v>
          </cell>
        </row>
        <row r="179">
          <cell r="J179">
            <v>134072</v>
          </cell>
        </row>
        <row r="180">
          <cell r="J180">
            <v>134164</v>
          </cell>
        </row>
        <row r="181">
          <cell r="J181">
            <v>134256</v>
          </cell>
        </row>
        <row r="182">
          <cell r="J182">
            <v>134348</v>
          </cell>
        </row>
        <row r="183">
          <cell r="J183">
            <v>134440</v>
          </cell>
        </row>
        <row r="184">
          <cell r="J184">
            <v>134532</v>
          </cell>
        </row>
        <row r="185">
          <cell r="J185">
            <v>134619</v>
          </cell>
        </row>
        <row r="186">
          <cell r="J186">
            <v>134706</v>
          </cell>
        </row>
        <row r="187">
          <cell r="J187">
            <v>134793</v>
          </cell>
        </row>
        <row r="188">
          <cell r="J188">
            <v>134880</v>
          </cell>
        </row>
        <row r="189">
          <cell r="J189">
            <v>134967</v>
          </cell>
        </row>
        <row r="190">
          <cell r="J190">
            <v>135054</v>
          </cell>
        </row>
        <row r="191">
          <cell r="J191">
            <v>135141</v>
          </cell>
        </row>
        <row r="192">
          <cell r="J192">
            <v>135228</v>
          </cell>
        </row>
        <row r="193">
          <cell r="J193">
            <v>135315</v>
          </cell>
        </row>
        <row r="194">
          <cell r="J194">
            <v>135402</v>
          </cell>
        </row>
        <row r="195">
          <cell r="J195">
            <v>135489</v>
          </cell>
        </row>
        <row r="196">
          <cell r="J196">
            <v>135576</v>
          </cell>
        </row>
        <row r="197">
          <cell r="J197">
            <v>135659</v>
          </cell>
        </row>
        <row r="198">
          <cell r="J198">
            <v>135742</v>
          </cell>
        </row>
        <row r="199">
          <cell r="J199">
            <v>135825</v>
          </cell>
        </row>
        <row r="200">
          <cell r="J200">
            <v>135908</v>
          </cell>
        </row>
        <row r="201">
          <cell r="J201">
            <v>135991</v>
          </cell>
        </row>
        <row r="202">
          <cell r="J202">
            <v>136074</v>
          </cell>
        </row>
        <row r="203">
          <cell r="J203">
            <v>136157</v>
          </cell>
        </row>
        <row r="204">
          <cell r="J204">
            <v>136240</v>
          </cell>
        </row>
        <row r="205">
          <cell r="J205">
            <v>136323</v>
          </cell>
        </row>
        <row r="206">
          <cell r="J206">
            <v>136406</v>
          </cell>
        </row>
        <row r="207">
          <cell r="J207">
            <v>136489</v>
          </cell>
        </row>
        <row r="208">
          <cell r="J208">
            <v>136572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Causes"/>
      <sheetName val="Historical Stats"/>
      <sheetName val="Monthly Peak"/>
      <sheetName val="MW Peaks"/>
      <sheetName val="Feeder Stats"/>
      <sheetName val="Historic System Loads"/>
      <sheetName val="Graph"/>
    </sheetNames>
    <sheetDataSet>
      <sheetData sheetId="2">
        <row r="4">
          <cell r="B4">
            <v>197.5</v>
          </cell>
        </row>
        <row r="5">
          <cell r="B5">
            <v>193.4</v>
          </cell>
        </row>
        <row r="6">
          <cell r="B6">
            <v>186.7</v>
          </cell>
        </row>
        <row r="7">
          <cell r="B7">
            <v>184.3</v>
          </cell>
        </row>
        <row r="8">
          <cell r="B8">
            <v>175.5</v>
          </cell>
        </row>
        <row r="9">
          <cell r="B9">
            <v>229.5</v>
          </cell>
        </row>
        <row r="10">
          <cell r="B10">
            <v>230.3</v>
          </cell>
        </row>
        <row r="11">
          <cell r="B11">
            <v>192.4</v>
          </cell>
        </row>
        <row r="12">
          <cell r="B12">
            <v>189.4</v>
          </cell>
        </row>
        <row r="13">
          <cell r="B13">
            <v>189</v>
          </cell>
        </row>
        <row r="14">
          <cell r="B14">
            <v>203.4</v>
          </cell>
        </row>
        <row r="15">
          <cell r="B15">
            <v>203.5</v>
          </cell>
        </row>
        <row r="16">
          <cell r="B16">
            <v>207.8</v>
          </cell>
        </row>
        <row r="17">
          <cell r="B17">
            <v>204</v>
          </cell>
        </row>
        <row r="18">
          <cell r="B18">
            <v>200.3</v>
          </cell>
        </row>
        <row r="19">
          <cell r="B19">
            <v>186.5</v>
          </cell>
        </row>
        <row r="20">
          <cell r="B20">
            <v>205.1</v>
          </cell>
        </row>
        <row r="21">
          <cell r="B21">
            <v>232.5</v>
          </cell>
        </row>
        <row r="22">
          <cell r="B22">
            <v>231.7</v>
          </cell>
        </row>
        <row r="23">
          <cell r="B23">
            <v>234.8</v>
          </cell>
        </row>
        <row r="24">
          <cell r="B24">
            <v>213.8</v>
          </cell>
        </row>
        <row r="25">
          <cell r="B25">
            <v>190</v>
          </cell>
        </row>
        <row r="26">
          <cell r="B26">
            <v>201.7</v>
          </cell>
        </row>
        <row r="27">
          <cell r="B27">
            <v>222.3</v>
          </cell>
        </row>
        <row r="28">
          <cell r="B28">
            <v>226.6</v>
          </cell>
        </row>
        <row r="29">
          <cell r="B29">
            <v>213.6</v>
          </cell>
        </row>
        <row r="30">
          <cell r="B30">
            <v>212.1</v>
          </cell>
        </row>
        <row r="31">
          <cell r="B31">
            <v>195.7</v>
          </cell>
        </row>
        <row r="32">
          <cell r="B32">
            <v>210.4</v>
          </cell>
        </row>
        <row r="33">
          <cell r="B33">
            <v>248.7</v>
          </cell>
        </row>
        <row r="34">
          <cell r="B34">
            <v>255.9</v>
          </cell>
        </row>
        <row r="35">
          <cell r="B35">
            <v>230.5</v>
          </cell>
        </row>
        <row r="36">
          <cell r="B36">
            <v>228.6</v>
          </cell>
        </row>
        <row r="37">
          <cell r="B37">
            <v>197.7</v>
          </cell>
        </row>
        <row r="38">
          <cell r="B38">
            <v>218.7</v>
          </cell>
        </row>
        <row r="39">
          <cell r="B39">
            <v>230.4</v>
          </cell>
        </row>
        <row r="40">
          <cell r="B40">
            <v>231.9</v>
          </cell>
        </row>
        <row r="41">
          <cell r="B41">
            <v>222.2</v>
          </cell>
        </row>
        <row r="42">
          <cell r="B42">
            <v>211.1</v>
          </cell>
        </row>
        <row r="43">
          <cell r="B43">
            <v>212.1</v>
          </cell>
        </row>
        <row r="44">
          <cell r="B44">
            <v>222.8</v>
          </cell>
        </row>
        <row r="45">
          <cell r="B45">
            <v>246.9</v>
          </cell>
        </row>
        <row r="46">
          <cell r="B46">
            <v>227.8</v>
          </cell>
        </row>
        <row r="47">
          <cell r="B47">
            <v>252.1</v>
          </cell>
        </row>
        <row r="48">
          <cell r="B48">
            <v>252.8</v>
          </cell>
        </row>
        <row r="49">
          <cell r="B49">
            <v>207.4</v>
          </cell>
        </row>
        <row r="50">
          <cell r="B50">
            <v>235.8</v>
          </cell>
        </row>
        <row r="51">
          <cell r="B51">
            <v>242.3</v>
          </cell>
        </row>
        <row r="52">
          <cell r="B52">
            <v>236.8</v>
          </cell>
        </row>
        <row r="53">
          <cell r="B53">
            <v>228.1</v>
          </cell>
        </row>
        <row r="54">
          <cell r="B54">
            <v>224.2</v>
          </cell>
        </row>
        <row r="55">
          <cell r="B55">
            <v>210.2</v>
          </cell>
        </row>
        <row r="56">
          <cell r="B56">
            <v>224.7</v>
          </cell>
        </row>
        <row r="57">
          <cell r="B57">
            <v>267.8</v>
          </cell>
        </row>
        <row r="58">
          <cell r="B58">
            <v>264</v>
          </cell>
        </row>
        <row r="59">
          <cell r="B59">
            <v>286.5</v>
          </cell>
        </row>
        <row r="60">
          <cell r="B60">
            <v>232.7</v>
          </cell>
        </row>
        <row r="61">
          <cell r="B61">
            <v>211</v>
          </cell>
        </row>
        <row r="62">
          <cell r="B62">
            <v>223.5</v>
          </cell>
        </row>
        <row r="63">
          <cell r="B63">
            <v>227.8</v>
          </cell>
        </row>
        <row r="64">
          <cell r="B64">
            <v>229.1</v>
          </cell>
        </row>
        <row r="65">
          <cell r="B65">
            <v>238.1</v>
          </cell>
        </row>
        <row r="66">
          <cell r="B66">
            <v>232.9</v>
          </cell>
        </row>
        <row r="67">
          <cell r="B67">
            <v>226.5</v>
          </cell>
        </row>
        <row r="68">
          <cell r="B68">
            <v>236.2</v>
          </cell>
        </row>
        <row r="69">
          <cell r="B69">
            <v>277.2</v>
          </cell>
        </row>
        <row r="70">
          <cell r="B70">
            <v>287.9</v>
          </cell>
        </row>
        <row r="71">
          <cell r="B71">
            <v>288.3</v>
          </cell>
        </row>
        <row r="72">
          <cell r="B72">
            <v>285.6</v>
          </cell>
        </row>
        <row r="73">
          <cell r="B73">
            <v>238.7</v>
          </cell>
        </row>
        <row r="74">
          <cell r="B74">
            <v>238</v>
          </cell>
        </row>
        <row r="75">
          <cell r="B75">
            <v>246.6</v>
          </cell>
        </row>
        <row r="76">
          <cell r="B76">
            <v>247.2</v>
          </cell>
        </row>
        <row r="77">
          <cell r="B77">
            <v>242.8</v>
          </cell>
        </row>
        <row r="78">
          <cell r="B78">
            <v>237.8</v>
          </cell>
        </row>
        <row r="79">
          <cell r="B79">
            <v>231.1</v>
          </cell>
        </row>
        <row r="80">
          <cell r="B80">
            <v>221.2</v>
          </cell>
        </row>
        <row r="81">
          <cell r="B81">
            <v>295.1</v>
          </cell>
        </row>
        <row r="82">
          <cell r="B82">
            <v>286</v>
          </cell>
        </row>
        <row r="83">
          <cell r="B83">
            <v>290.2</v>
          </cell>
        </row>
        <row r="84">
          <cell r="B84">
            <v>243.7</v>
          </cell>
        </row>
        <row r="85">
          <cell r="B85">
            <v>229.4</v>
          </cell>
        </row>
        <row r="86">
          <cell r="B86">
            <v>241.4</v>
          </cell>
        </row>
        <row r="87">
          <cell r="B87">
            <v>247.9</v>
          </cell>
        </row>
        <row r="88">
          <cell r="B88">
            <v>254.1</v>
          </cell>
        </row>
        <row r="89">
          <cell r="B89">
            <v>244.6</v>
          </cell>
        </row>
        <row r="90">
          <cell r="B90">
            <v>237</v>
          </cell>
        </row>
        <row r="91">
          <cell r="B91">
            <v>230.6</v>
          </cell>
        </row>
        <row r="92">
          <cell r="B92">
            <v>257.5</v>
          </cell>
        </row>
        <row r="93">
          <cell r="B93">
            <v>286.5</v>
          </cell>
        </row>
        <row r="94">
          <cell r="B94">
            <v>282.4</v>
          </cell>
        </row>
        <row r="95">
          <cell r="B95">
            <v>277.3</v>
          </cell>
        </row>
        <row r="96">
          <cell r="B96">
            <v>259.4</v>
          </cell>
        </row>
        <row r="97">
          <cell r="B97">
            <v>232.1</v>
          </cell>
        </row>
        <row r="98">
          <cell r="B98">
            <v>244.1</v>
          </cell>
        </row>
        <row r="99">
          <cell r="B99">
            <v>263.5</v>
          </cell>
        </row>
        <row r="100">
          <cell r="B100">
            <v>262.8</v>
          </cell>
        </row>
        <row r="101">
          <cell r="B101">
            <v>249.1</v>
          </cell>
        </row>
        <row r="102">
          <cell r="B102">
            <v>249.7</v>
          </cell>
        </row>
        <row r="103">
          <cell r="B103">
            <v>231.1</v>
          </cell>
        </row>
        <row r="104">
          <cell r="B104">
            <v>234</v>
          </cell>
        </row>
        <row r="105">
          <cell r="B105">
            <v>321.6</v>
          </cell>
        </row>
        <row r="106">
          <cell r="B106">
            <v>318.6</v>
          </cell>
        </row>
        <row r="107">
          <cell r="B107">
            <v>306.6</v>
          </cell>
        </row>
        <row r="108">
          <cell r="B108">
            <v>282.9</v>
          </cell>
        </row>
        <row r="109">
          <cell r="B109">
            <v>260.2</v>
          </cell>
        </row>
        <row r="110">
          <cell r="B110">
            <v>257.7</v>
          </cell>
        </row>
        <row r="111">
          <cell r="B111">
            <v>262.7</v>
          </cell>
        </row>
        <row r="112">
          <cell r="B112">
            <v>248.7</v>
          </cell>
        </row>
        <row r="113">
          <cell r="B113">
            <v>247.5</v>
          </cell>
        </row>
        <row r="114">
          <cell r="B114">
            <v>245.7</v>
          </cell>
        </row>
        <row r="115">
          <cell r="B115">
            <v>236.6</v>
          </cell>
        </row>
        <row r="116">
          <cell r="B116">
            <v>306.6</v>
          </cell>
        </row>
        <row r="117">
          <cell r="B117">
            <v>286.1</v>
          </cell>
        </row>
        <row r="118">
          <cell r="B118">
            <v>306.9</v>
          </cell>
        </row>
        <row r="119">
          <cell r="B119">
            <v>316.6</v>
          </cell>
        </row>
        <row r="120">
          <cell r="B120">
            <v>248.7</v>
          </cell>
        </row>
        <row r="121">
          <cell r="B121">
            <v>240.5</v>
          </cell>
        </row>
        <row r="122">
          <cell r="B122">
            <v>241.3</v>
          </cell>
        </row>
        <row r="123">
          <cell r="B123">
            <v>262.7</v>
          </cell>
        </row>
        <row r="124">
          <cell r="B124">
            <v>258.4</v>
          </cell>
        </row>
        <row r="125">
          <cell r="B125">
            <v>264.8</v>
          </cell>
        </row>
        <row r="126">
          <cell r="B126">
            <v>251.9</v>
          </cell>
        </row>
        <row r="127">
          <cell r="B127">
            <v>244.2</v>
          </cell>
        </row>
        <row r="128">
          <cell r="B128">
            <v>271.9</v>
          </cell>
        </row>
        <row r="129">
          <cell r="B129">
            <v>318.2</v>
          </cell>
        </row>
        <row r="130">
          <cell r="B130">
            <v>309.2</v>
          </cell>
        </row>
        <row r="131">
          <cell r="B131">
            <v>308.5</v>
          </cell>
        </row>
        <row r="132">
          <cell r="B132">
            <v>295.7</v>
          </cell>
        </row>
        <row r="133">
          <cell r="B133">
            <v>245.5</v>
          </cell>
        </row>
        <row r="134">
          <cell r="B134">
            <v>243.4</v>
          </cell>
        </row>
        <row r="135">
          <cell r="B135">
            <v>251</v>
          </cell>
        </row>
        <row r="136">
          <cell r="B136">
            <v>251.9</v>
          </cell>
        </row>
        <row r="137">
          <cell r="B137">
            <v>252.5</v>
          </cell>
        </row>
        <row r="138">
          <cell r="B138">
            <v>240.3</v>
          </cell>
        </row>
        <row r="139">
          <cell r="B139">
            <v>229.3</v>
          </cell>
        </row>
        <row r="140">
          <cell r="B140">
            <v>229.9</v>
          </cell>
        </row>
        <row r="141">
          <cell r="B141">
            <v>298.3</v>
          </cell>
        </row>
        <row r="142">
          <cell r="B142">
            <v>291.3</v>
          </cell>
        </row>
        <row r="143">
          <cell r="B143">
            <v>275.6</v>
          </cell>
        </row>
        <row r="144">
          <cell r="B144">
            <v>277.3</v>
          </cell>
        </row>
        <row r="145">
          <cell r="B145">
            <v>225.3</v>
          </cell>
        </row>
        <row r="146">
          <cell r="B146">
            <v>234.9</v>
          </cell>
        </row>
        <row r="147">
          <cell r="B147">
            <v>241.6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summary"/>
      <sheetName val="Hourly load shapes by class"/>
      <sheetName val="Input to CA model"/>
    </sheetNames>
    <sheetDataSet>
      <sheetData sheetId="0">
        <row r="42">
          <cell r="E42">
            <v>0.4795537127072677</v>
          </cell>
        </row>
        <row r="47">
          <cell r="E47">
            <v>0.2284970408690982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31">
        <row r="16">
          <cell r="H16">
            <v>41372</v>
          </cell>
          <cell r="M16">
            <v>387204414.57922834</v>
          </cell>
        </row>
        <row r="54">
          <cell r="H54">
            <v>4403</v>
          </cell>
          <cell r="M54">
            <v>162488362.729449</v>
          </cell>
        </row>
        <row r="66">
          <cell r="H66">
            <v>654</v>
          </cell>
          <cell r="M66">
            <v>454023069.90038174</v>
          </cell>
          <cell r="S66">
            <v>1522376.8050994799</v>
          </cell>
        </row>
        <row r="70">
          <cell r="H70">
            <v>27</v>
          </cell>
          <cell r="M70">
            <v>263549349.0928205</v>
          </cell>
          <cell r="S70">
            <v>748240.4051282052</v>
          </cell>
        </row>
        <row r="90">
          <cell r="H90">
            <v>3</v>
          </cell>
          <cell r="M90">
            <v>239081405.3333333</v>
          </cell>
          <cell r="S90">
            <v>435330.0000000001</v>
          </cell>
        </row>
        <row r="94">
          <cell r="H94">
            <v>537</v>
          </cell>
          <cell r="M94">
            <v>3557810.0116731515</v>
          </cell>
        </row>
        <row r="103">
          <cell r="H103">
            <v>11889</v>
          </cell>
          <cell r="M103">
            <v>9206583.63205185</v>
          </cell>
          <cell r="S103">
            <v>24171.162569892873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" sqref="M5"/>
    </sheetView>
  </sheetViews>
  <sheetFormatPr defaultColWidth="9.140625" defaultRowHeight="12.75"/>
  <cols>
    <col min="1" max="1" width="32.7109375" style="0" customWidth="1"/>
    <col min="2" max="2" width="13.8515625" style="1" customWidth="1"/>
    <col min="3" max="3" width="13.140625" style="1" customWidth="1"/>
    <col min="4" max="4" width="13.00390625" style="1" customWidth="1"/>
    <col min="5" max="5" width="12.57421875" style="1" customWidth="1"/>
    <col min="6" max="6" width="14.140625" style="1" bestFit="1" customWidth="1"/>
    <col min="7" max="7" width="13.57421875" style="1" customWidth="1"/>
    <col min="8" max="8" width="12.7109375" style="1" customWidth="1"/>
    <col min="9" max="9" width="13.00390625" style="1" customWidth="1"/>
    <col min="10" max="10" width="14.28125" style="1" bestFit="1" customWidth="1"/>
    <col min="11" max="11" width="12.8515625" style="1" customWidth="1"/>
    <col min="12" max="13" width="14.00390625" style="0" bestFit="1" customWidth="1"/>
    <col min="14" max="14" width="10.57421875" style="0" bestFit="1" customWidth="1"/>
  </cols>
  <sheetData>
    <row r="1" ht="15.75">
      <c r="A1" s="48" t="s">
        <v>90</v>
      </c>
    </row>
    <row r="3" spans="2:12" ht="38.25"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50" t="s">
        <v>68</v>
      </c>
      <c r="I3" s="50" t="s">
        <v>69</v>
      </c>
      <c r="J3" s="50" t="s">
        <v>84</v>
      </c>
      <c r="K3" s="50" t="s">
        <v>26</v>
      </c>
      <c r="L3" s="50" t="s">
        <v>85</v>
      </c>
    </row>
    <row r="4" spans="1:11" ht="12.75">
      <c r="A4" s="20" t="s">
        <v>73</v>
      </c>
      <c r="B4" s="31">
        <f>'Purchased Power Model'!B250</f>
        <v>1392173591.8</v>
      </c>
      <c r="C4" s="31">
        <f>'Purchased Power Model'!B251</f>
        <v>1420977730</v>
      </c>
      <c r="D4" s="6">
        <f>'Purchased Power Model'!B252</f>
        <v>1519144756</v>
      </c>
      <c r="E4" s="31">
        <f>'Purchased Power Model'!B253</f>
        <v>1523717530</v>
      </c>
      <c r="F4" s="31">
        <f>'Purchased Power Model'!B254</f>
        <v>1570405930</v>
      </c>
      <c r="G4" s="31">
        <f>'Purchased Power Model'!B255</f>
        <v>1640988662</v>
      </c>
      <c r="H4" s="31">
        <f>'Purchased Power Model'!B256</f>
        <v>1599360044</v>
      </c>
      <c r="I4" s="31">
        <f>'Purchased Power Model'!B257</f>
        <v>1609193923</v>
      </c>
      <c r="J4" s="31">
        <f>'Purchased Power Model'!B258</f>
        <v>1557523229</v>
      </c>
      <c r="K4" s="46"/>
    </row>
    <row r="5" spans="1:12" ht="12.75">
      <c r="A5" s="20" t="s">
        <v>74</v>
      </c>
      <c r="B5" s="31">
        <f>'Purchased Power Model'!K250</f>
        <v>1393923266.7943325</v>
      </c>
      <c r="C5" s="31">
        <f>'Purchased Power Model'!K251</f>
        <v>1443778987.9166384</v>
      </c>
      <c r="D5" s="31">
        <f>'Purchased Power Model'!K252</f>
        <v>1514089910.745773</v>
      </c>
      <c r="E5" s="31">
        <f>'Purchased Power Model'!K253</f>
        <v>1530916927.4622436</v>
      </c>
      <c r="F5" s="31">
        <f>'Purchased Power Model'!K254</f>
        <v>1549059116.4876199</v>
      </c>
      <c r="G5" s="31">
        <f>'Purchased Power Model'!K255</f>
        <v>1636434659.6133075</v>
      </c>
      <c r="H5" s="31">
        <f>'Purchased Power Model'!K256</f>
        <v>1613343090.8662796</v>
      </c>
      <c r="I5" s="31">
        <f>'Purchased Power Model'!K257</f>
        <v>1617555844.2285051</v>
      </c>
      <c r="J5" s="31">
        <f>'Purchased Power Model'!K258</f>
        <v>1547727235.1048138</v>
      </c>
      <c r="K5" s="31">
        <f>'Purchased Power Model'!K259</f>
        <v>1468651648.210675</v>
      </c>
      <c r="L5" s="31">
        <f>'Purchased Power Model'!K260</f>
        <v>1429225393.2142859</v>
      </c>
    </row>
    <row r="6" spans="1:11" ht="12.75">
      <c r="A6" s="20" t="s">
        <v>11</v>
      </c>
      <c r="B6" s="49">
        <f aca="true" t="shared" si="0" ref="B6:J6">(B5-B4)/B4</f>
        <v>0.0012567936963021424</v>
      </c>
      <c r="C6" s="49">
        <f t="shared" si="0"/>
        <v>0.01604617541517584</v>
      </c>
      <c r="D6" s="49">
        <f t="shared" si="0"/>
        <v>-0.00332742830086623</v>
      </c>
      <c r="E6" s="49">
        <f t="shared" si="0"/>
        <v>0.004724889830625994</v>
      </c>
      <c r="F6" s="49">
        <f t="shared" si="0"/>
        <v>-0.01359318193123489</v>
      </c>
      <c r="G6" s="49">
        <f t="shared" si="0"/>
        <v>-0.002775157740055442</v>
      </c>
      <c r="H6" s="49">
        <f t="shared" si="0"/>
        <v>0.00874290121147956</v>
      </c>
      <c r="I6" s="49">
        <f t="shared" si="0"/>
        <v>0.005196341540313619</v>
      </c>
      <c r="J6" s="49">
        <f t="shared" si="0"/>
        <v>-0.006289468890602457</v>
      </c>
      <c r="K6" s="46"/>
    </row>
    <row r="7" spans="1:11" ht="12.75">
      <c r="A7" s="20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4" ht="12.75">
      <c r="A8" s="20" t="s">
        <v>76</v>
      </c>
      <c r="B8" s="31">
        <f>'Rate Class Energy Model'!G11</f>
        <v>0</v>
      </c>
      <c r="C8" s="31">
        <f>'Rate Class Energy Model'!G12</f>
        <v>1359912172.393183</v>
      </c>
      <c r="D8" s="31">
        <f>'Rate Class Energy Model'!G13</f>
        <v>1418653288.1429515</v>
      </c>
      <c r="E8" s="31">
        <f>'Rate Class Energy Model'!G14</f>
        <v>1486259772.5684657</v>
      </c>
      <c r="F8" s="31">
        <f>'Rate Class Energy Model'!G15</f>
        <v>1528292270.393939</v>
      </c>
      <c r="G8" s="31">
        <f>'Rate Class Energy Model'!G16</f>
        <v>1599364167.1752858</v>
      </c>
      <c r="H8" s="31">
        <f>'Rate Class Energy Model'!G17</f>
        <v>1561102859.585294</v>
      </c>
      <c r="I8" s="31">
        <f>'Rate Class Energy Model'!G18</f>
        <v>1566589591.6161513</v>
      </c>
      <c r="J8" s="31">
        <f>'Rate Class Energy Model'!G19</f>
        <v>1518625683.1198359</v>
      </c>
      <c r="K8" s="31">
        <f>'Rate Class Energy Model'!G20</f>
        <v>1431183987.3535314</v>
      </c>
      <c r="L8" s="31">
        <f>'Rate Class Energy Model'!G21</f>
        <v>1392763559.4046054</v>
      </c>
      <c r="N8" s="74"/>
    </row>
    <row r="9" spans="1:14" ht="12.75">
      <c r="A9" s="20"/>
      <c r="B9" s="46"/>
      <c r="C9" s="46"/>
      <c r="D9" s="46"/>
      <c r="E9" s="46"/>
      <c r="F9" s="46"/>
      <c r="G9" s="46"/>
      <c r="H9" s="46"/>
      <c r="I9" s="46"/>
      <c r="J9" s="46"/>
      <c r="N9" s="75"/>
    </row>
    <row r="10" ht="15.75">
      <c r="A10" s="48" t="s">
        <v>75</v>
      </c>
    </row>
    <row r="11" ht="12.75">
      <c r="A11" s="47" t="str">
        <f>'Rate Class Energy Model'!H2</f>
        <v>Residential </v>
      </c>
    </row>
    <row r="12" spans="1:12" ht="12.75">
      <c r="A12" t="s">
        <v>59</v>
      </c>
      <c r="B12" s="6">
        <v>0</v>
      </c>
      <c r="C12" s="6">
        <f>'Rate Class Customer Model'!B5</f>
        <v>37914</v>
      </c>
      <c r="D12" s="6">
        <f>'Rate Class Customer Model'!B6</f>
        <v>38553.5</v>
      </c>
      <c r="E12" s="6">
        <f>'Rate Class Customer Model'!B7</f>
        <v>40078</v>
      </c>
      <c r="F12" s="6">
        <f>'Rate Class Customer Model'!B8</f>
        <v>40991</v>
      </c>
      <c r="G12" s="6">
        <f>'Rate Class Customer Model'!B9</f>
        <v>41608</v>
      </c>
      <c r="H12" s="6">
        <f>'Rate Class Customer Model'!B10</f>
        <v>42471</v>
      </c>
      <c r="I12" s="6">
        <f>'Rate Class Customer Model'!B11</f>
        <v>43304</v>
      </c>
      <c r="J12" s="6">
        <f>'Rate Class Customer Model'!B12</f>
        <v>43558</v>
      </c>
      <c r="K12" s="6">
        <f>'Rate Class Customer Model'!B13</f>
        <v>44315</v>
      </c>
      <c r="L12" s="6">
        <f>'Rate Class Customer Model'!B14</f>
        <v>45217.63940377571</v>
      </c>
    </row>
    <row r="13" spans="1:13" ht="12.75">
      <c r="A13" t="s">
        <v>60</v>
      </c>
      <c r="B13" s="6">
        <f>'Rate Class Energy Model'!H11</f>
        <v>0</v>
      </c>
      <c r="C13" s="6">
        <f>'Rate Class Energy Model'!H12</f>
        <v>351442094.8314524</v>
      </c>
      <c r="D13" s="6">
        <f>'Rate Class Energy Model'!H13</f>
        <v>336178776.15744424</v>
      </c>
      <c r="E13" s="6">
        <f>'Rate Class Energy Model'!H14</f>
        <v>365784244.47617793</v>
      </c>
      <c r="F13" s="6">
        <f>'Rate Class Energy Model'!H15</f>
        <v>366465998.2462407</v>
      </c>
      <c r="G13" s="6">
        <f>'Rate Class Energy Model'!H16</f>
        <v>394023308.39392865</v>
      </c>
      <c r="H13" s="6">
        <f>'Rate Class Energy Model'!H17</f>
        <v>381579968.59043884</v>
      </c>
      <c r="I13" s="6">
        <f>'Rate Class Energy Model'!H18</f>
        <v>392558966.01605856</v>
      </c>
      <c r="J13" s="6">
        <f>'Rate Class Energy Model'!H19</f>
        <v>387314731.8207535</v>
      </c>
      <c r="K13" s="6">
        <f>'Rate Class Energy Model'!H61</f>
        <v>386688879.64097935</v>
      </c>
      <c r="L13" s="6">
        <f>'Rate Class Energy Model'!H62</f>
        <v>368322987.8334161</v>
      </c>
      <c r="M13" s="96"/>
    </row>
    <row r="14" ht="12.75">
      <c r="M14" s="96"/>
    </row>
    <row r="15" spans="1:13" ht="12.75">
      <c r="A15" s="47" t="str">
        <f>'Rate Class Energy Model'!I2</f>
        <v>General Service &lt; 50 kW</v>
      </c>
      <c r="M15" s="191"/>
    </row>
    <row r="16" spans="1:12" ht="12.75">
      <c r="A16" t="s">
        <v>59</v>
      </c>
      <c r="B16" s="6">
        <v>0</v>
      </c>
      <c r="C16" s="6">
        <f>'Rate Class Customer Model'!C5</f>
        <v>3998</v>
      </c>
      <c r="D16" s="6">
        <f>'Rate Class Customer Model'!C6</f>
        <v>4131.5</v>
      </c>
      <c r="E16" s="6">
        <f>'Rate Class Customer Model'!C7</f>
        <v>4158</v>
      </c>
      <c r="F16" s="6">
        <f>'Rate Class Customer Model'!C8</f>
        <v>4228</v>
      </c>
      <c r="G16" s="6">
        <f>'Rate Class Customer Model'!C9</f>
        <v>4350</v>
      </c>
      <c r="H16" s="6">
        <f>'Rate Class Customer Model'!C10</f>
        <v>4354</v>
      </c>
      <c r="I16" s="6">
        <f>'Rate Class Customer Model'!C11</f>
        <v>4398</v>
      </c>
      <c r="J16" s="6">
        <f>'Rate Class Customer Model'!C12</f>
        <v>4500</v>
      </c>
      <c r="K16" s="6">
        <f>'Rate Class Customer Model'!C13</f>
        <v>4581</v>
      </c>
      <c r="L16" s="6">
        <f>'Rate Class Customer Model'!C14</f>
        <v>4581.509254660352</v>
      </c>
    </row>
    <row r="17" spans="1:12" ht="12.75">
      <c r="A17" t="s">
        <v>60</v>
      </c>
      <c r="B17" s="6">
        <f>'Rate Class Energy Model'!I11</f>
        <v>0</v>
      </c>
      <c r="C17" s="6">
        <f>'Rate Class Energy Model'!I12</f>
        <v>157136324.39708453</v>
      </c>
      <c r="D17" s="6">
        <f>'Rate Class Energy Model'!I13</f>
        <v>154250737.98550725</v>
      </c>
      <c r="E17" s="6">
        <f>'Rate Class Energy Model'!I14</f>
        <v>163240286.81118345</v>
      </c>
      <c r="F17" s="6">
        <f>'Rate Class Energy Model'!I15</f>
        <v>165708926.2201777</v>
      </c>
      <c r="G17" s="6">
        <f>'Rate Class Energy Model'!I16</f>
        <v>172872183.117248</v>
      </c>
      <c r="H17" s="6">
        <f>'Rate Class Energy Model'!I17</f>
        <v>166886949.8713199</v>
      </c>
      <c r="I17" s="6">
        <f>'Rate Class Energy Model'!I18</f>
        <v>169606274.12815455</v>
      </c>
      <c r="J17" s="6">
        <f>'Rate Class Energy Model'!I19</f>
        <v>170263597.24762118</v>
      </c>
      <c r="K17" s="6">
        <f>'Rate Class Energy Model'!I61</f>
        <v>170178036.72460097</v>
      </c>
      <c r="L17" s="6">
        <f>'Rate Class Energy Model'!I62</f>
        <v>158957446.50489348</v>
      </c>
    </row>
    <row r="18" ht="12.75">
      <c r="L18" s="6"/>
    </row>
    <row r="19" spans="1:12" ht="12.75">
      <c r="A19" s="47" t="str">
        <f>'Rate Class Energy Model'!J2</f>
        <v>General Service &gt; 50 to 999 kW</v>
      </c>
      <c r="L19" s="6"/>
    </row>
    <row r="20" spans="1:12" ht="12.75">
      <c r="A20" t="s">
        <v>59</v>
      </c>
      <c r="B20" s="6">
        <v>0</v>
      </c>
      <c r="C20" s="6">
        <f>'Rate Class Customer Model'!D5</f>
        <v>582</v>
      </c>
      <c r="D20" s="6">
        <f>'Rate Class Customer Model'!D6</f>
        <v>613.4999999999998</v>
      </c>
      <c r="E20" s="6">
        <f>'Rate Class Customer Model'!D7</f>
        <v>625</v>
      </c>
      <c r="F20" s="6">
        <f>'Rate Class Customer Model'!D8</f>
        <v>635</v>
      </c>
      <c r="G20" s="6">
        <f>'Rate Class Customer Model'!D9</f>
        <v>632</v>
      </c>
      <c r="H20" s="6">
        <f>'Rate Class Customer Model'!D10</f>
        <v>662</v>
      </c>
      <c r="I20" s="6">
        <f>'Rate Class Customer Model'!D11</f>
        <v>682</v>
      </c>
      <c r="J20" s="6">
        <f>'Rate Class Customer Model'!D12</f>
        <v>677</v>
      </c>
      <c r="K20" s="6">
        <f>'Rate Class Customer Model'!D13</f>
        <v>709</v>
      </c>
      <c r="L20" s="6">
        <f>'Rate Class Customer Model'!D14</f>
        <v>724.4810782301834</v>
      </c>
    </row>
    <row r="21" spans="1:12" ht="12.75">
      <c r="A21" t="s">
        <v>60</v>
      </c>
      <c r="B21" s="6">
        <f>'Rate Class Energy Model'!J11</f>
        <v>0</v>
      </c>
      <c r="C21" s="6">
        <f>'Rate Class Energy Model'!J12</f>
        <v>412594902.204646</v>
      </c>
      <c r="D21" s="6">
        <f>'Rate Class Energy Model'!J13</f>
        <v>441910546</v>
      </c>
      <c r="E21" s="6">
        <f>'Rate Class Energy Model'!J14</f>
        <v>449831308.2811151</v>
      </c>
      <c r="F21" s="6">
        <f>'Rate Class Energy Model'!J15</f>
        <v>471517478.81872076</v>
      </c>
      <c r="G21" s="6">
        <f>'Rate Class Energy Model'!J16</f>
        <v>477342539.7325556</v>
      </c>
      <c r="H21" s="6">
        <f>'Rate Class Energy Model'!J17</f>
        <v>470126973.53655183</v>
      </c>
      <c r="I21" s="6">
        <f>'Rate Class Energy Model'!J18</f>
        <v>484236276.2012691</v>
      </c>
      <c r="J21" s="6">
        <f>'Rate Class Energy Model'!J19</f>
        <v>469318625.82225275</v>
      </c>
      <c r="K21" s="6">
        <f>'Rate Class Energy Model'!J61</f>
        <v>486919825.4026313</v>
      </c>
      <c r="L21" s="6">
        <f>'Rate Class Energy Model'!J62</f>
        <v>481564657.05452675</v>
      </c>
    </row>
    <row r="22" spans="1:12" ht="12.75">
      <c r="A22" t="s">
        <v>61</v>
      </c>
      <c r="B22" s="6">
        <f>'Rate Class Load Model'!B3</f>
        <v>0</v>
      </c>
      <c r="C22" s="6">
        <f>'Rate Class Load Model'!B4</f>
        <v>0</v>
      </c>
      <c r="D22" s="6">
        <f>'Rate Class Load Model'!B5</f>
        <v>0</v>
      </c>
      <c r="E22" s="6">
        <f>'Rate Class Load Model'!B6</f>
        <v>1177153</v>
      </c>
      <c r="F22" s="6">
        <f>'Rate Class Load Model'!B7</f>
        <v>1242905</v>
      </c>
      <c r="G22" s="6">
        <f>'Rate Class Load Model'!B8</f>
        <v>1274085</v>
      </c>
      <c r="H22" s="6">
        <f>'Rate Class Load Model'!B9</f>
        <v>1279604</v>
      </c>
      <c r="I22" s="6">
        <f>'Rate Class Load Model'!B10</f>
        <v>1274858</v>
      </c>
      <c r="J22" s="6">
        <f>'Rate Class Load Model'!B11</f>
        <v>1244174</v>
      </c>
      <c r="K22" s="6">
        <f>'Rate Class Load Model'!B12</f>
        <v>1292571.9205545846</v>
      </c>
      <c r="L22" s="6">
        <f>'Rate Class Load Model'!B13</f>
        <v>1278356.1505746318</v>
      </c>
    </row>
    <row r="24" spans="1:12" ht="12.75">
      <c r="A24" s="47" t="str">
        <f>'Rate Class Energy Model'!K2</f>
        <v>General Service &gt; 1000 to 4999 kW</v>
      </c>
      <c r="L24" s="6"/>
    </row>
    <row r="25" spans="1:12" ht="12.75">
      <c r="A25" t="s">
        <v>59</v>
      </c>
      <c r="B25" s="6">
        <v>0</v>
      </c>
      <c r="C25" s="6">
        <f>'Rate Class Customer Model'!E5</f>
        <v>24</v>
      </c>
      <c r="D25" s="6">
        <f>'Rate Class Customer Model'!E6</f>
        <v>25</v>
      </c>
      <c r="E25" s="6">
        <f>'Rate Class Customer Model'!E7</f>
        <v>27</v>
      </c>
      <c r="F25" s="6">
        <f>'Rate Class Customer Model'!E8</f>
        <v>27</v>
      </c>
      <c r="G25" s="6">
        <f>'Rate Class Customer Model'!E9</f>
        <v>30</v>
      </c>
      <c r="H25" s="6">
        <f>'Rate Class Customer Model'!E10</f>
        <v>29</v>
      </c>
      <c r="I25" s="6">
        <f>'Rate Class Customer Model'!E11</f>
        <v>28</v>
      </c>
      <c r="J25" s="6">
        <f>'Rate Class Customer Model'!E12</f>
        <v>28</v>
      </c>
      <c r="K25" s="6">
        <f>'Rate Class Customer Model'!E13</f>
        <v>25</v>
      </c>
      <c r="L25" s="6">
        <f>'Rate Class Customer Model'!E14</f>
        <v>25</v>
      </c>
    </row>
    <row r="26" spans="1:12" ht="12.75">
      <c r="A26" t="s">
        <v>60</v>
      </c>
      <c r="B26" s="6">
        <f>'Rate Class Energy Model'!K11</f>
        <v>0</v>
      </c>
      <c r="C26" s="6">
        <f>'Rate Class Energy Model'!K12</f>
        <v>236352896.65</v>
      </c>
      <c r="D26" s="6">
        <f>'Rate Class Energy Model'!K13</f>
        <v>247744953.00000003</v>
      </c>
      <c r="E26" s="6">
        <f>'Rate Class Energy Model'!K14</f>
        <v>263318946.99998927</v>
      </c>
      <c r="F26" s="6">
        <f>'Rate Class Energy Model'!K15</f>
        <v>269908983</v>
      </c>
      <c r="G26" s="6">
        <f>'Rate Class Energy Model'!K16</f>
        <v>288850781.6099806</v>
      </c>
      <c r="H26" s="6">
        <f>'Rate Class Energy Model'!K17</f>
        <v>278109293.96822536</v>
      </c>
      <c r="I26" s="6">
        <f>'Rate Class Energy Model'!K18</f>
        <v>256451885.89998102</v>
      </c>
      <c r="J26" s="6">
        <f>'Rate Class Energy Model'!K19</f>
        <v>249869850.91122985</v>
      </c>
      <c r="K26" s="6">
        <f>'Rate Class Energy Model'!K61</f>
        <v>219335012.83372286</v>
      </c>
      <c r="L26" s="6">
        <f>'Rate Class Energy Model'!K62</f>
        <v>213287178.73063365</v>
      </c>
    </row>
    <row r="27" spans="1:12" ht="12.75">
      <c r="A27" t="s">
        <v>61</v>
      </c>
      <c r="B27" s="6">
        <f>'Rate Class Load Model'!C3</f>
        <v>0</v>
      </c>
      <c r="C27" s="6">
        <f>'Rate Class Load Model'!C4</f>
        <v>0</v>
      </c>
      <c r="D27" s="6">
        <f>'Rate Class Load Model'!C5</f>
        <v>0</v>
      </c>
      <c r="E27" s="6">
        <f>'Rate Class Load Model'!C6</f>
        <v>533526</v>
      </c>
      <c r="F27" s="6">
        <f>'Rate Class Load Model'!C7</f>
        <v>543249</v>
      </c>
      <c r="G27" s="6">
        <f>'Rate Class Load Model'!C8</f>
        <v>619353</v>
      </c>
      <c r="H27" s="6">
        <f>'Rate Class Load Model'!C9</f>
        <v>618222</v>
      </c>
      <c r="I27" s="6">
        <f>'Rate Class Load Model'!C10</f>
        <v>571091</v>
      </c>
      <c r="J27" s="6">
        <f>'Rate Class Load Model'!C11</f>
        <v>554036</v>
      </c>
      <c r="K27" s="6">
        <f>'Rate Class Load Model'!C12</f>
        <v>469750.0002402517</v>
      </c>
      <c r="L27" s="6">
        <f>'Rate Class Load Model'!C13</f>
        <v>456797.3483372339</v>
      </c>
    </row>
    <row r="29" ht="12.75">
      <c r="A29" s="47" t="str">
        <f>'Rate Class Energy Model'!L2</f>
        <v>General Service &gt; 5000 kW</v>
      </c>
    </row>
    <row r="30" spans="1:12" ht="12.75">
      <c r="A30" t="s">
        <v>59</v>
      </c>
      <c r="B30" s="6">
        <v>0</v>
      </c>
      <c r="C30" s="6">
        <f>'Rate Class Customer Model'!F5</f>
        <v>3</v>
      </c>
      <c r="D30" s="6">
        <f>'Rate Class Customer Model'!F6</f>
        <v>3</v>
      </c>
      <c r="E30" s="6">
        <f>'Rate Class Customer Model'!F7</f>
        <v>3</v>
      </c>
      <c r="F30" s="6">
        <f>'Rate Class Customer Model'!F8</f>
        <v>3</v>
      </c>
      <c r="G30" s="6">
        <f>'Rate Class Customer Model'!F9</f>
        <v>3</v>
      </c>
      <c r="H30" s="6">
        <f>'Rate Class Customer Model'!F10</f>
        <v>3</v>
      </c>
      <c r="I30" s="6">
        <f>'Rate Class Customer Model'!F11</f>
        <v>3</v>
      </c>
      <c r="J30" s="6">
        <f>'Rate Class Customer Model'!F12</f>
        <v>3</v>
      </c>
      <c r="K30" s="6">
        <f>'Rate Class Customer Model'!F13</f>
        <v>2</v>
      </c>
      <c r="L30" s="6">
        <f>'Rate Class Customer Model'!F14</f>
        <v>2</v>
      </c>
    </row>
    <row r="31" spans="1:12" ht="12.75">
      <c r="A31" t="s">
        <v>60</v>
      </c>
      <c r="B31" s="6">
        <f>'Rate Class Energy Model'!L11</f>
        <v>0</v>
      </c>
      <c r="C31" s="6">
        <f>'Rate Class Energy Model'!L12</f>
        <v>202385954.30999994</v>
      </c>
      <c r="D31" s="6">
        <f>'Rate Class Energy Model'!L13</f>
        <v>238568275.00000003</v>
      </c>
      <c r="E31" s="6">
        <f>'Rate Class Energy Model'!L14</f>
        <v>234671319.00000003</v>
      </c>
      <c r="F31" s="6">
        <f>'Rate Class Energy Model'!L15</f>
        <v>245172879.99999994</v>
      </c>
      <c r="G31" s="6">
        <f>'Rate Class Energy Model'!L16</f>
        <v>256341389.5400085</v>
      </c>
      <c r="H31" s="6">
        <f>'Rate Class Energy Model'!L17</f>
        <v>252101813.91</v>
      </c>
      <c r="I31" s="6">
        <f>'Rate Class Energy Model'!L18</f>
        <v>252092348.4799913</v>
      </c>
      <c r="J31" s="6">
        <f>'Rate Class Energy Model'!L19</f>
        <v>230297755.10999835</v>
      </c>
      <c r="K31" s="6">
        <f>'Rate Class Energy Model'!L61</f>
        <v>156391831.21741718</v>
      </c>
      <c r="L31" s="6">
        <f>'Rate Class Energy Model'!L62</f>
        <v>159305101.73571754</v>
      </c>
    </row>
    <row r="32" spans="1:12" ht="12.75">
      <c r="A32" t="s">
        <v>61</v>
      </c>
      <c r="B32" s="6">
        <f>'Rate Class Load Model'!D3</f>
        <v>0</v>
      </c>
      <c r="C32" s="6">
        <f>'Rate Class Load Model'!D4</f>
        <v>0</v>
      </c>
      <c r="D32" s="6">
        <f>'Rate Class Load Model'!D5</f>
        <v>0</v>
      </c>
      <c r="E32" s="6">
        <f>'Rate Class Load Model'!D6</f>
        <v>429237</v>
      </c>
      <c r="F32" s="6">
        <f>'Rate Class Load Model'!D7</f>
        <v>468620</v>
      </c>
      <c r="G32" s="6">
        <f>'Rate Class Load Model'!D8</f>
        <v>480781</v>
      </c>
      <c r="H32" s="6">
        <f>'Rate Class Load Model'!D9</f>
        <v>472853</v>
      </c>
      <c r="I32" s="6">
        <f>'Rate Class Load Model'!D10</f>
        <v>481509</v>
      </c>
      <c r="J32" s="6">
        <f>'Rate Class Load Model'!D11</f>
        <v>446448</v>
      </c>
      <c r="K32" s="6">
        <f>'Rate Class Load Model'!D12</f>
        <v>295588.2741922768</v>
      </c>
      <c r="L32" s="6">
        <f>'Rate Class Load Model'!D13</f>
        <v>301094.49915336503</v>
      </c>
    </row>
    <row r="33" ht="12.75">
      <c r="L33" s="6"/>
    </row>
    <row r="34" ht="12.75">
      <c r="A34" s="47" t="str">
        <f>'Rate Class Energy Model'!M2</f>
        <v>Street Lights</v>
      </c>
    </row>
    <row r="35" spans="1:12" ht="12.75">
      <c r="A35" t="s">
        <v>70</v>
      </c>
      <c r="B35" s="6">
        <f>'Rate Class Customer Model'!G4</f>
        <v>0</v>
      </c>
      <c r="C35" s="6">
        <f>'Rate Class Customer Model'!G5</f>
        <v>0</v>
      </c>
      <c r="D35" s="6">
        <f>'Rate Class Customer Model'!G6</f>
        <v>11471</v>
      </c>
      <c r="E35" s="6">
        <f>'Rate Class Customer Model'!G7</f>
        <v>11642</v>
      </c>
      <c r="F35" s="6">
        <f>'Rate Class Customer Model'!G8</f>
        <v>11821</v>
      </c>
      <c r="G35" s="6">
        <f>'Rate Class Customer Model'!G9</f>
        <v>11968</v>
      </c>
      <c r="H35" s="6">
        <f>'Rate Class Customer Model'!G10</f>
        <v>12136.5</v>
      </c>
      <c r="I35" s="6">
        <f>'Rate Class Customer Model'!G11</f>
        <v>12338</v>
      </c>
      <c r="J35" s="6">
        <f>'Rate Class Customer Model'!G12</f>
        <v>12393</v>
      </c>
      <c r="K35" s="6">
        <f>'Rate Class Customer Model'!G13</f>
        <v>12553.7163432898</v>
      </c>
      <c r="L35" s="6">
        <f>'Rate Class Customer Model'!G14</f>
        <v>12716.516906945972</v>
      </c>
    </row>
    <row r="36" spans="1:12" ht="12.75">
      <c r="A36" t="s">
        <v>60</v>
      </c>
      <c r="B36" s="6">
        <f>'Rate Class Energy Model'!M11</f>
        <v>0</v>
      </c>
      <c r="C36" s="6">
        <f>'Rate Class Energy Model'!M12</f>
        <v>0</v>
      </c>
      <c r="D36" s="6">
        <f>'Rate Class Energy Model'!M13</f>
        <v>0</v>
      </c>
      <c r="E36" s="6">
        <f>'Rate Class Energy Model'!M14</f>
        <v>9413667</v>
      </c>
      <c r="F36" s="6">
        <f>'Rate Class Energy Model'!M15</f>
        <v>9518004.108800001</v>
      </c>
      <c r="G36" s="6">
        <f>'Rate Class Energy Model'!M16</f>
        <v>9541776.720010659</v>
      </c>
      <c r="H36" s="6">
        <f>'Rate Class Energy Model'!M17</f>
        <v>9300557.837679066</v>
      </c>
      <c r="I36" s="6">
        <f>'Rate Class Energy Model'!M18</f>
        <v>9442831.87998437</v>
      </c>
      <c r="J36" s="6">
        <f>'Rate Class Energy Model'!M19</f>
        <v>9448889.96999053</v>
      </c>
      <c r="K36" s="6">
        <f>'Rate Class Energy Model'!M61</f>
        <v>9459567.369612705</v>
      </c>
      <c r="L36" s="6">
        <f>'Rate Class Energy Model'!M62</f>
        <v>9470256.834870426</v>
      </c>
    </row>
    <row r="37" spans="1:12" ht="12.75">
      <c r="A37" t="s">
        <v>61</v>
      </c>
      <c r="B37" s="6">
        <f>'Rate Class Load Model'!E3</f>
        <v>0</v>
      </c>
      <c r="C37" s="6">
        <f>'Rate Class Load Model'!E4</f>
        <v>0</v>
      </c>
      <c r="D37" s="6">
        <f>'Rate Class Load Model'!E5</f>
        <v>0</v>
      </c>
      <c r="E37" s="6">
        <f>'Rate Class Load Model'!E6</f>
        <v>26537</v>
      </c>
      <c r="F37" s="6">
        <f>'Rate Class Load Model'!E7</f>
        <v>24497</v>
      </c>
      <c r="G37" s="6">
        <f>'Rate Class Load Model'!E8</f>
        <v>24664</v>
      </c>
      <c r="H37" s="6">
        <f>'Rate Class Load Model'!E9</f>
        <v>24008</v>
      </c>
      <c r="I37" s="6">
        <f>'Rate Class Load Model'!E10</f>
        <v>24182</v>
      </c>
      <c r="J37" s="6">
        <f>'Rate Class Load Model'!E11</f>
        <v>24090</v>
      </c>
      <c r="K37" s="6">
        <f>'Rate Class Load Model'!E12</f>
        <v>24704.171919105724</v>
      </c>
      <c r="L37" s="6">
        <f>'Rate Class Load Model'!E13</f>
        <v>24732.0880358933</v>
      </c>
    </row>
    <row r="39" ht="12.75">
      <c r="A39" s="47" t="str">
        <f>'Rate Class Energy Model'!N2</f>
        <v>Unmetered Loads </v>
      </c>
    </row>
    <row r="40" spans="1:13" ht="12.75">
      <c r="A40" t="s">
        <v>70</v>
      </c>
      <c r="B40" s="6">
        <f>'Rate Class Customer Model'!H4</f>
        <v>0</v>
      </c>
      <c r="C40" s="6">
        <f>'Rate Class Customer Model'!H5</f>
        <v>0</v>
      </c>
      <c r="D40" s="6">
        <f>'Rate Class Customer Model'!H6</f>
        <v>0</v>
      </c>
      <c r="E40" s="6">
        <f>'Rate Class Customer Model'!H7</f>
        <v>0</v>
      </c>
      <c r="F40" s="6">
        <f>'Rate Class Customer Model'!H8</f>
        <v>0</v>
      </c>
      <c r="G40" s="6">
        <f>'Rate Class Customer Model'!H9</f>
        <v>0</v>
      </c>
      <c r="H40" s="6">
        <f>'Rate Class Customer Model'!H10</f>
        <v>516</v>
      </c>
      <c r="I40" s="6">
        <f>'Rate Class Customer Model'!H11</f>
        <v>456</v>
      </c>
      <c r="J40" s="6">
        <f>'Rate Class Customer Model'!H12</f>
        <v>458</v>
      </c>
      <c r="K40" s="6">
        <f>'Rate Class Customer Model'!H13</f>
        <v>538</v>
      </c>
      <c r="L40" s="6">
        <f>'Rate Class Customer Model'!H14</f>
        <v>506.86250295245236</v>
      </c>
      <c r="M40" s="6"/>
    </row>
    <row r="41" spans="1:12" ht="12.75">
      <c r="A41" t="s">
        <v>60</v>
      </c>
      <c r="B41" s="6">
        <f>'Rate Class Energy Model'!N11</f>
        <v>0</v>
      </c>
      <c r="C41" s="6">
        <f>'Rate Class Energy Model'!N12</f>
        <v>0</v>
      </c>
      <c r="D41" s="6">
        <f>'Rate Class Energy Model'!N13</f>
        <v>0</v>
      </c>
      <c r="E41" s="6">
        <f>'Rate Class Energy Model'!N14</f>
        <v>0</v>
      </c>
      <c r="F41" s="6">
        <f>'Rate Class Energy Model'!N15</f>
        <v>0</v>
      </c>
      <c r="G41" s="6">
        <f>'Rate Class Energy Model'!N16</f>
        <v>392188.0615536532</v>
      </c>
      <c r="H41" s="6">
        <f>'Rate Class Energy Model'!N17</f>
        <v>2997301.8710786607</v>
      </c>
      <c r="I41" s="6">
        <f>'Rate Class Energy Model'!N18</f>
        <v>2201009.0107126483</v>
      </c>
      <c r="J41" s="6">
        <f>'Rate Class Energy Model'!N19</f>
        <v>2112232.2379896585</v>
      </c>
      <c r="K41" s="6">
        <f>'Rate Class Energy Model'!N61</f>
        <v>2210834.164567069</v>
      </c>
      <c r="L41" s="6">
        <f>'Rate Class Energy Model'!N62</f>
        <v>1855930.7105474856</v>
      </c>
    </row>
    <row r="42" spans="2:12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ht="12.75">
      <c r="A43" s="47" t="s">
        <v>91</v>
      </c>
    </row>
    <row r="44" spans="1:12" ht="12.75">
      <c r="A44" t="s">
        <v>59</v>
      </c>
      <c r="B44" s="6"/>
      <c r="C44" s="6"/>
      <c r="D44" s="6"/>
      <c r="E44" s="6"/>
      <c r="F44" s="6"/>
      <c r="G44" s="6"/>
      <c r="H44" s="6"/>
      <c r="I44" s="6"/>
      <c r="J44" s="6"/>
      <c r="K44" s="6">
        <v>2</v>
      </c>
      <c r="L44" s="6">
        <v>2</v>
      </c>
    </row>
    <row r="45" spans="1:12" ht="12.75">
      <c r="A45" t="s">
        <v>60</v>
      </c>
      <c r="B45" s="6"/>
      <c r="C45" s="6"/>
      <c r="D45" s="6"/>
      <c r="E45" s="6"/>
      <c r="F45" s="6"/>
      <c r="G45" s="6"/>
      <c r="H45" s="6"/>
      <c r="I45" s="6"/>
      <c r="J45" s="6"/>
      <c r="K45" s="6">
        <f>(K31/K32)*K46</f>
        <v>54636669.49113292</v>
      </c>
      <c r="L45" s="6">
        <f>(L31/L32)*L46</f>
        <v>54636669.49113292</v>
      </c>
    </row>
    <row r="46" spans="1:12" ht="12.75">
      <c r="A46" t="s">
        <v>61</v>
      </c>
      <c r="B46" s="6"/>
      <c r="C46" s="6"/>
      <c r="D46" s="6"/>
      <c r="E46" s="6"/>
      <c r="F46" s="6"/>
      <c r="G46" s="6"/>
      <c r="H46" s="6"/>
      <c r="I46" s="6"/>
      <c r="J46" s="6"/>
      <c r="K46" s="6">
        <f>K60</f>
        <v>103266</v>
      </c>
      <c r="L46" s="6">
        <f>L60</f>
        <v>103266</v>
      </c>
    </row>
    <row r="48" ht="12.75">
      <c r="A48" s="47" t="s">
        <v>12</v>
      </c>
    </row>
    <row r="49" spans="1:12" ht="12.75">
      <c r="A49" t="s">
        <v>72</v>
      </c>
      <c r="B49" s="6">
        <f>B12+B16+B20+B25+B30+B35+B40</f>
        <v>0</v>
      </c>
      <c r="C49" s="6">
        <f aca="true" t="shared" si="1" ref="C49:J49">C12+C16+C20+C25+C30+C35+C40</f>
        <v>42521</v>
      </c>
      <c r="D49" s="6">
        <f t="shared" si="1"/>
        <v>54797.5</v>
      </c>
      <c r="E49" s="6">
        <f t="shared" si="1"/>
        <v>56533</v>
      </c>
      <c r="F49" s="6">
        <f t="shared" si="1"/>
        <v>57705</v>
      </c>
      <c r="G49" s="6">
        <f t="shared" si="1"/>
        <v>58591</v>
      </c>
      <c r="H49" s="6">
        <f t="shared" si="1"/>
        <v>60171.5</v>
      </c>
      <c r="I49" s="6">
        <f t="shared" si="1"/>
        <v>61209</v>
      </c>
      <c r="J49" s="6">
        <f t="shared" si="1"/>
        <v>61617</v>
      </c>
      <c r="K49" s="6">
        <f>K12+K16+K20+K25+K30+K35+K40+K44</f>
        <v>62725.7163432898</v>
      </c>
      <c r="L49" s="6">
        <f>L12+L16+L20+L25+L30+L35+L40+L44</f>
        <v>63776.009146564684</v>
      </c>
    </row>
    <row r="50" spans="1:13" ht="12.75">
      <c r="A50" t="s">
        <v>60</v>
      </c>
      <c r="B50" s="6">
        <f>B13+B17+B21+B26+B31+B36+B41</f>
        <v>0</v>
      </c>
      <c r="C50" s="6">
        <f aca="true" t="shared" si="2" ref="C50:J50">C13+C17+C21+C26+C31+C36+C41</f>
        <v>1359912172.393183</v>
      </c>
      <c r="D50" s="6">
        <f t="shared" si="2"/>
        <v>1418653288.1429515</v>
      </c>
      <c r="E50" s="6">
        <f t="shared" si="2"/>
        <v>1486259772.5684657</v>
      </c>
      <c r="F50" s="6">
        <f t="shared" si="2"/>
        <v>1528292270.393939</v>
      </c>
      <c r="G50" s="6">
        <f t="shared" si="2"/>
        <v>1599364167.1752858</v>
      </c>
      <c r="H50" s="6">
        <f t="shared" si="2"/>
        <v>1561102859.585294</v>
      </c>
      <c r="I50" s="6">
        <f t="shared" si="2"/>
        <v>1566589591.6161513</v>
      </c>
      <c r="J50" s="6">
        <f t="shared" si="2"/>
        <v>1518625683.1198359</v>
      </c>
      <c r="K50" s="6">
        <f>K13+K17+K21+K26+K31+K36+K41+K45</f>
        <v>1485820656.8446643</v>
      </c>
      <c r="L50" s="6">
        <f>L13+L17+L21+L26+L31+L36+L41+L45</f>
        <v>1447400228.8957384</v>
      </c>
      <c r="M50" s="74">
        <f>L50-L45</f>
        <v>1392763559.4046054</v>
      </c>
    </row>
    <row r="51" spans="1:12" ht="12.75">
      <c r="A51" t="s">
        <v>71</v>
      </c>
      <c r="B51" s="6">
        <f>B22+B27+B32+B37</f>
        <v>0</v>
      </c>
      <c r="C51" s="6">
        <f aca="true" t="shared" si="3" ref="C51:J51">C22+C27+C32+C37</f>
        <v>0</v>
      </c>
      <c r="D51" s="6">
        <f t="shared" si="3"/>
        <v>0</v>
      </c>
      <c r="E51" s="6">
        <f t="shared" si="3"/>
        <v>2166453</v>
      </c>
      <c r="F51" s="6">
        <f t="shared" si="3"/>
        <v>2279271</v>
      </c>
      <c r="G51" s="6">
        <f t="shared" si="3"/>
        <v>2398883</v>
      </c>
      <c r="H51" s="6">
        <f t="shared" si="3"/>
        <v>2394687</v>
      </c>
      <c r="I51" s="6">
        <f>I22+I27+I32+I37</f>
        <v>2351640</v>
      </c>
      <c r="J51" s="6">
        <f t="shared" si="3"/>
        <v>2268748</v>
      </c>
      <c r="K51" s="6">
        <f>K22+K27+K32+K37+K46</f>
        <v>2185880.366906219</v>
      </c>
      <c r="L51" s="6">
        <f>L22+L27+L32+L37+L46</f>
        <v>2164246.086101124</v>
      </c>
    </row>
    <row r="52" spans="2:11" ht="12.75">
      <c r="B52" s="6"/>
      <c r="C52" s="6"/>
      <c r="D52" s="6"/>
      <c r="E52" s="6"/>
      <c r="F52" s="6"/>
      <c r="G52" s="6"/>
      <c r="H52" s="6"/>
      <c r="J52" s="6"/>
      <c r="K52" s="6"/>
    </row>
    <row r="53" spans="2:12" ht="12.75">
      <c r="B53" s="6">
        <v>0</v>
      </c>
      <c r="C53" s="6">
        <f>'Rate Class Customer Model'!I5</f>
        <v>42521</v>
      </c>
      <c r="D53" s="6">
        <f>'Rate Class Customer Model'!I6</f>
        <v>54797.5</v>
      </c>
      <c r="E53" s="6">
        <f>'Rate Class Customer Model'!I7</f>
        <v>56533</v>
      </c>
      <c r="F53" s="6">
        <f>'Rate Class Customer Model'!I8</f>
        <v>57705</v>
      </c>
      <c r="G53" s="6">
        <f>'Rate Class Customer Model'!I9</f>
        <v>58591</v>
      </c>
      <c r="H53" s="6">
        <f>'Rate Class Customer Model'!I10</f>
        <v>60171.5</v>
      </c>
      <c r="I53" s="6">
        <f>'Rate Class Customer Model'!I11</f>
        <v>61209</v>
      </c>
      <c r="J53" s="6">
        <f>'Rate Class Customer Model'!I12</f>
        <v>61617</v>
      </c>
      <c r="K53" s="6">
        <f>'Rate Class Customer Model'!I13</f>
        <v>62723.7163432898</v>
      </c>
      <c r="L53" s="6">
        <f>'Rate Class Customer Model'!I14</f>
        <v>63774.009146564684</v>
      </c>
    </row>
    <row r="54" spans="2:12" ht="12.75">
      <c r="B54" s="6">
        <f>'Rate Class Energy Model'!G11</f>
        <v>0</v>
      </c>
      <c r="C54" s="6">
        <f>'Rate Class Energy Model'!G12</f>
        <v>1359912172.393183</v>
      </c>
      <c r="D54" s="6">
        <f>'Rate Class Energy Model'!G13</f>
        <v>1418653288.1429515</v>
      </c>
      <c r="E54" s="6">
        <f>'Rate Class Energy Model'!G14</f>
        <v>1486259772.5684657</v>
      </c>
      <c r="F54" s="6">
        <f>'Rate Class Energy Model'!G15</f>
        <v>1528292270.393939</v>
      </c>
      <c r="G54" s="6">
        <f>'Rate Class Energy Model'!G16</f>
        <v>1599364167.1752858</v>
      </c>
      <c r="H54" s="6">
        <f>'Rate Class Energy Model'!G17</f>
        <v>1561102859.585294</v>
      </c>
      <c r="I54" s="6">
        <f>'Rate Class Energy Model'!G18</f>
        <v>1566589591.6161513</v>
      </c>
      <c r="J54" s="6">
        <f>'Rate Class Energy Model'!G19</f>
        <v>1518625683.1198359</v>
      </c>
      <c r="K54" s="6">
        <f>'Rate Class Energy Model'!G20</f>
        <v>1431183987.3535314</v>
      </c>
      <c r="L54" s="6">
        <f>'Rate Class Energy Model'!G21</f>
        <v>1392763559.4046054</v>
      </c>
    </row>
    <row r="55" spans="2:12" ht="12.75">
      <c r="B55" s="6">
        <f>'Rate Class Load Model'!F3</f>
        <v>0</v>
      </c>
      <c r="C55" s="6">
        <f>'Rate Class Load Model'!F4</f>
        <v>0</v>
      </c>
      <c r="D55" s="6">
        <f>'Rate Class Load Model'!F5</f>
        <v>0</v>
      </c>
      <c r="E55" s="6">
        <f>'Rate Class Load Model'!F6</f>
        <v>2166453</v>
      </c>
      <c r="F55" s="6">
        <f>'Rate Class Load Model'!F7</f>
        <v>2279271</v>
      </c>
      <c r="G55" s="6">
        <f>'Rate Class Load Model'!F8</f>
        <v>2398883</v>
      </c>
      <c r="H55" s="6">
        <f>'Rate Class Load Model'!F9</f>
        <v>2394687</v>
      </c>
      <c r="I55" s="6">
        <f>'Rate Class Load Model'!F10</f>
        <v>2351640</v>
      </c>
      <c r="J55" s="6">
        <f>'Rate Class Load Model'!F11</f>
        <v>2268748</v>
      </c>
      <c r="K55" s="6">
        <f>'Rate Class Load Model'!F12</f>
        <v>2082614.366906219</v>
      </c>
      <c r="L55" s="6">
        <f>'Rate Class Load Model'!F13</f>
        <v>2060980.0861011238</v>
      </c>
    </row>
    <row r="57" ht="12.75">
      <c r="A57" t="s">
        <v>92</v>
      </c>
    </row>
    <row r="58" spans="1:12" ht="12.75">
      <c r="A58" t="s">
        <v>93</v>
      </c>
      <c r="K58" s="71">
        <f>76261</f>
        <v>76261</v>
      </c>
      <c r="L58" s="71">
        <f>76261</f>
        <v>76261</v>
      </c>
    </row>
    <row r="59" spans="1:12" ht="12.75">
      <c r="A59" t="s">
        <v>94</v>
      </c>
      <c r="K59" s="71">
        <v>27005</v>
      </c>
      <c r="L59" s="71">
        <v>27005</v>
      </c>
    </row>
    <row r="60" spans="11:12" ht="12.75">
      <c r="K60" s="72">
        <f>SUM(K58:K59)</f>
        <v>103266</v>
      </c>
      <c r="L60" s="72">
        <f>SUM(L58:L59)</f>
        <v>103266</v>
      </c>
    </row>
  </sheetData>
  <printOptions/>
  <pageMargins left="0.38" right="0.75" top="0.73" bottom="0.74" header="0.5" footer="0.5"/>
  <pageSetup fitToHeight="1" fitToWidth="1" horizontalDpi="600" verticalDpi="600" orientation="landscape" scale="65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65"/>
  <sheetViews>
    <sheetView tabSelected="1" workbookViewId="0" topLeftCell="A1">
      <pane xSplit="1" ySplit="2" topLeftCell="B112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N138" sqref="N138"/>
    </sheetView>
  </sheetViews>
  <sheetFormatPr defaultColWidth="9.140625" defaultRowHeight="12.75"/>
  <cols>
    <col min="1" max="1" width="11.8515625" style="45" customWidth="1"/>
    <col min="2" max="2" width="18.00390625" style="6" customWidth="1"/>
    <col min="3" max="3" width="11.7109375" style="1" customWidth="1"/>
    <col min="4" max="4" width="13.421875" style="1" customWidth="1"/>
    <col min="5" max="5" width="12.28125" style="35" bestFit="1" customWidth="1"/>
    <col min="6" max="6" width="10.140625" style="1" customWidth="1"/>
    <col min="7" max="8" width="12.421875" style="1" customWidth="1"/>
    <col min="9" max="9" width="13.00390625" style="1" customWidth="1"/>
    <col min="10" max="10" width="10.57421875" style="1" customWidth="1"/>
    <col min="11" max="11" width="15.57421875" style="1" bestFit="1" customWidth="1"/>
    <col min="12" max="12" width="16.00390625" style="1" customWidth="1"/>
    <col min="13" max="13" width="8.421875" style="1" customWidth="1"/>
    <col min="14" max="14" width="25.8515625" style="0" bestFit="1" customWidth="1"/>
    <col min="15" max="15" width="14.57421875" style="0" bestFit="1" customWidth="1"/>
    <col min="16" max="16" width="13.7109375" style="0" bestFit="1" customWidth="1"/>
    <col min="17" max="17" width="12.57421875" style="0" bestFit="1" customWidth="1"/>
    <col min="18" max="18" width="17.140625" style="0" customWidth="1"/>
    <col min="19" max="19" width="13.57421875" style="0" bestFit="1" customWidth="1"/>
    <col min="20" max="22" width="12.57421875" style="0" bestFit="1" customWidth="1"/>
    <col min="23" max="23" width="14.140625" style="0" bestFit="1" customWidth="1"/>
    <col min="24" max="24" width="11.7109375" style="0" bestFit="1" customWidth="1"/>
    <col min="25" max="25" width="11.8515625" style="0" bestFit="1" customWidth="1"/>
    <col min="26" max="26" width="12.57421875" style="6" customWidth="1"/>
    <col min="27" max="27" width="11.28125" style="6" customWidth="1"/>
    <col min="28" max="28" width="11.57421875" style="6" customWidth="1"/>
    <col min="29" max="29" width="9.28125" style="6" customWidth="1"/>
    <col min="30" max="30" width="9.140625" style="6" customWidth="1"/>
    <col min="31" max="31" width="11.7109375" style="6" bestFit="1" customWidth="1"/>
    <col min="32" max="32" width="10.7109375" style="6" bestFit="1" customWidth="1"/>
    <col min="33" max="34" width="9.140625" style="6" customWidth="1"/>
  </cols>
  <sheetData>
    <row r="2" spans="1:28" ht="42" customHeight="1">
      <c r="A2" s="186"/>
      <c r="B2" s="187" t="s">
        <v>86</v>
      </c>
      <c r="C2" s="188" t="s">
        <v>4</v>
      </c>
      <c r="D2" s="189" t="s">
        <v>5</v>
      </c>
      <c r="E2" s="190" t="s">
        <v>8</v>
      </c>
      <c r="F2" s="189" t="s">
        <v>6</v>
      </c>
      <c r="G2" s="188" t="s">
        <v>28</v>
      </c>
      <c r="H2" s="188" t="s">
        <v>87</v>
      </c>
      <c r="I2" s="189" t="s">
        <v>7</v>
      </c>
      <c r="J2" s="189" t="s">
        <v>151</v>
      </c>
      <c r="K2" s="188" t="s">
        <v>13</v>
      </c>
      <c r="L2" s="189" t="s">
        <v>14</v>
      </c>
      <c r="M2" s="188" t="s">
        <v>15</v>
      </c>
      <c r="Z2" s="9"/>
      <c r="AA2" s="9"/>
      <c r="AB2" s="9"/>
    </row>
    <row r="3" spans="1:10" ht="12.75" hidden="1">
      <c r="A3" s="57">
        <v>33239</v>
      </c>
      <c r="B3" s="29"/>
      <c r="C3" s="1">
        <v>750.4</v>
      </c>
      <c r="D3" s="1">
        <v>0</v>
      </c>
      <c r="E3" s="59">
        <v>87.8872194398071</v>
      </c>
      <c r="F3" s="16"/>
      <c r="G3" s="16"/>
      <c r="H3" s="16"/>
      <c r="I3" s="25"/>
      <c r="J3" s="16"/>
    </row>
    <row r="4" spans="1:10" ht="12.75" hidden="1">
      <c r="A4" s="57">
        <f>EOMONTH(A3,1)</f>
        <v>33297</v>
      </c>
      <c r="B4" s="29"/>
      <c r="C4" s="1">
        <v>589.1</v>
      </c>
      <c r="D4" s="1">
        <v>0</v>
      </c>
      <c r="E4" s="59">
        <v>87.59970320905214</v>
      </c>
      <c r="F4" s="16"/>
      <c r="G4" s="16"/>
      <c r="H4" s="16"/>
      <c r="I4" s="25"/>
      <c r="J4" s="16"/>
    </row>
    <row r="5" spans="1:10" ht="12.75" hidden="1">
      <c r="A5" s="57">
        <f>EOMONTH(A4,1)</f>
        <v>33328</v>
      </c>
      <c r="B5" s="29"/>
      <c r="C5" s="1">
        <v>532.2</v>
      </c>
      <c r="D5" s="1">
        <v>0</v>
      </c>
      <c r="E5" s="59">
        <v>87.31218697829718</v>
      </c>
      <c r="F5" s="16"/>
      <c r="G5" s="16"/>
      <c r="H5" s="16"/>
      <c r="I5" s="25"/>
      <c r="J5" s="16"/>
    </row>
    <row r="6" spans="1:10" ht="12.75" hidden="1">
      <c r="A6" s="57">
        <f>EOMONTH(A5,1)</f>
        <v>33358</v>
      </c>
      <c r="B6" s="29"/>
      <c r="C6" s="1">
        <v>297.6</v>
      </c>
      <c r="D6" s="1">
        <v>0.5</v>
      </c>
      <c r="E6" s="59">
        <v>87.02467074754222</v>
      </c>
      <c r="F6" s="16"/>
      <c r="G6" s="16"/>
      <c r="H6" s="16"/>
      <c r="I6" s="25"/>
      <c r="J6" s="16"/>
    </row>
    <row r="7" spans="1:10" ht="12.75" hidden="1">
      <c r="A7" s="57">
        <f>EOMONTH(A6,1)</f>
        <v>33389</v>
      </c>
      <c r="B7" s="29"/>
      <c r="C7" s="1">
        <v>0</v>
      </c>
      <c r="D7" s="1">
        <v>0</v>
      </c>
      <c r="E7" s="59">
        <v>86.73715451678726</v>
      </c>
      <c r="F7" s="16"/>
      <c r="G7" s="16"/>
      <c r="H7" s="16"/>
      <c r="I7" s="25"/>
      <c r="J7" s="16"/>
    </row>
    <row r="8" spans="1:10" ht="12.75" hidden="1">
      <c r="A8" s="57">
        <f>EOMONTH(A7,1)</f>
        <v>33419</v>
      </c>
      <c r="B8" s="29"/>
      <c r="C8" s="1">
        <v>21.4</v>
      </c>
      <c r="D8" s="1">
        <v>61.8</v>
      </c>
      <c r="E8" s="59">
        <v>86.4496382860323</v>
      </c>
      <c r="F8" s="16"/>
      <c r="G8" s="16"/>
      <c r="H8" s="40"/>
      <c r="I8" s="25"/>
      <c r="J8" s="16"/>
    </row>
    <row r="9" spans="1:12" ht="12.75" hidden="1">
      <c r="A9" s="57">
        <f>EOMONTH(A8,1)</f>
        <v>33450</v>
      </c>
      <c r="B9" s="29"/>
      <c r="C9" s="1">
        <v>5.4</v>
      </c>
      <c r="D9" s="1">
        <v>95.7</v>
      </c>
      <c r="E9" s="59">
        <v>86.16212205527734</v>
      </c>
      <c r="F9" s="16"/>
      <c r="G9" s="16"/>
      <c r="H9" s="16"/>
      <c r="I9" s="25"/>
      <c r="J9" s="16"/>
      <c r="L9" s="25"/>
    </row>
    <row r="10" spans="1:10" ht="12.75" hidden="1">
      <c r="A10" s="57">
        <f>EOMONTH(A9,1)</f>
        <v>33481</v>
      </c>
      <c r="B10" s="29"/>
      <c r="C10" s="1">
        <v>2.7</v>
      </c>
      <c r="D10" s="1">
        <v>85.5</v>
      </c>
      <c r="E10" s="59">
        <v>85.87460582452238</v>
      </c>
      <c r="F10" s="16"/>
      <c r="G10" s="16"/>
      <c r="H10" s="16"/>
      <c r="I10" s="25"/>
      <c r="J10" s="16"/>
    </row>
    <row r="11" spans="1:10" ht="12.75" hidden="1">
      <c r="A11" s="57">
        <f>EOMONTH(A10,1)</f>
        <v>33511</v>
      </c>
      <c r="B11" s="29"/>
      <c r="C11" s="1">
        <v>130.3</v>
      </c>
      <c r="D11" s="1">
        <v>21.3</v>
      </c>
      <c r="E11" s="59">
        <v>85.58708959376742</v>
      </c>
      <c r="F11" s="16"/>
      <c r="G11" s="16"/>
      <c r="H11" s="16"/>
      <c r="I11" s="25"/>
      <c r="J11" s="16"/>
    </row>
    <row r="12" spans="1:10" ht="12.75" hidden="1">
      <c r="A12" s="57">
        <f>EOMONTH(A11,1)</f>
        <v>33542</v>
      </c>
      <c r="B12" s="29"/>
      <c r="C12" s="1">
        <v>241.8</v>
      </c>
      <c r="D12" s="1">
        <v>0</v>
      </c>
      <c r="E12" s="59">
        <v>85.29957336301246</v>
      </c>
      <c r="F12" s="16"/>
      <c r="G12" s="16"/>
      <c r="H12" s="16"/>
      <c r="I12" s="25"/>
      <c r="J12" s="16"/>
    </row>
    <row r="13" spans="1:10" ht="12.75" hidden="1">
      <c r="A13" s="57">
        <f>EOMONTH(A12,1)</f>
        <v>33572</v>
      </c>
      <c r="B13" s="29"/>
      <c r="C13" s="1">
        <v>467.6</v>
      </c>
      <c r="D13" s="1">
        <v>0</v>
      </c>
      <c r="E13" s="59">
        <v>85.0120571322575</v>
      </c>
      <c r="F13" s="16"/>
      <c r="G13" s="16"/>
      <c r="H13" s="16"/>
      <c r="I13" s="25"/>
      <c r="J13" s="16"/>
    </row>
    <row r="14" spans="1:10" ht="12.75" hidden="1">
      <c r="A14" s="57">
        <f>EOMONTH(A13,1)</f>
        <v>33603</v>
      </c>
      <c r="B14" s="29"/>
      <c r="C14" s="1">
        <v>600.1</v>
      </c>
      <c r="D14" s="1">
        <v>0</v>
      </c>
      <c r="E14" s="60">
        <v>84.72454090150252</v>
      </c>
      <c r="F14" s="16"/>
      <c r="G14" s="16"/>
      <c r="H14" s="16"/>
      <c r="I14" s="25"/>
      <c r="J14" s="16"/>
    </row>
    <row r="15" spans="1:10" ht="12.75" hidden="1">
      <c r="A15" s="57">
        <f>EOMONTH(A14,1)</f>
        <v>33634</v>
      </c>
      <c r="B15" s="29"/>
      <c r="C15" s="1">
        <v>688.8</v>
      </c>
      <c r="D15" s="1">
        <v>0</v>
      </c>
      <c r="E15" s="59">
        <v>84.78714524207014</v>
      </c>
      <c r="F15" s="16"/>
      <c r="G15" s="16"/>
      <c r="H15" s="16"/>
      <c r="I15" s="25"/>
      <c r="J15" s="16"/>
    </row>
    <row r="16" spans="1:10" ht="12.75" hidden="1">
      <c r="A16" s="57">
        <f>EOMONTH(A15,1)</f>
        <v>33663</v>
      </c>
      <c r="B16" s="29"/>
      <c r="C16" s="1">
        <v>625.4</v>
      </c>
      <c r="D16" s="1">
        <v>0</v>
      </c>
      <c r="E16" s="59">
        <v>84.84974958263776</v>
      </c>
      <c r="F16" s="16"/>
      <c r="G16" s="16"/>
      <c r="H16" s="16"/>
      <c r="I16" s="25"/>
      <c r="J16" s="16"/>
    </row>
    <row r="17" spans="1:10" ht="12.75" hidden="1">
      <c r="A17" s="57">
        <f>EOMONTH(A16,1)</f>
        <v>33694</v>
      </c>
      <c r="B17" s="29"/>
      <c r="C17" s="1">
        <v>578.7</v>
      </c>
      <c r="D17" s="1">
        <v>0</v>
      </c>
      <c r="E17" s="59">
        <v>84.91235392320537</v>
      </c>
      <c r="F17" s="16"/>
      <c r="G17" s="16"/>
      <c r="H17" s="16"/>
      <c r="I17" s="25"/>
      <c r="J17" s="16"/>
    </row>
    <row r="18" spans="1:10" ht="12.75" hidden="1">
      <c r="A18" s="57">
        <f>EOMONTH(A17,1)</f>
        <v>33724</v>
      </c>
      <c r="B18" s="29"/>
      <c r="C18" s="1">
        <v>379.4</v>
      </c>
      <c r="D18" s="1">
        <v>0</v>
      </c>
      <c r="E18" s="59">
        <v>84.97495826377299</v>
      </c>
      <c r="F18" s="16"/>
      <c r="G18" s="16"/>
      <c r="H18" s="16"/>
      <c r="I18" s="25"/>
      <c r="J18" s="16"/>
    </row>
    <row r="19" spans="1:10" ht="12.75" hidden="1">
      <c r="A19" s="57">
        <f>EOMONTH(A18,1)</f>
        <v>33755</v>
      </c>
      <c r="B19" s="29"/>
      <c r="C19" s="1">
        <v>160.9</v>
      </c>
      <c r="D19" s="1">
        <v>4</v>
      </c>
      <c r="E19" s="59">
        <v>85.03756260434061</v>
      </c>
      <c r="F19" s="16"/>
      <c r="G19" s="16"/>
      <c r="H19" s="16"/>
      <c r="I19" s="25"/>
      <c r="J19" s="16"/>
    </row>
    <row r="20" spans="1:10" ht="12.75" hidden="1">
      <c r="A20" s="57">
        <f>EOMONTH(A19,1)</f>
        <v>33785</v>
      </c>
      <c r="B20" s="29"/>
      <c r="C20" s="1">
        <v>69.1</v>
      </c>
      <c r="D20" s="1">
        <v>15.8</v>
      </c>
      <c r="E20" s="59">
        <v>85.10016694490822</v>
      </c>
      <c r="F20" s="16"/>
      <c r="G20" s="16"/>
      <c r="H20" s="16"/>
      <c r="I20" s="25"/>
      <c r="J20" s="16"/>
    </row>
    <row r="21" spans="1:10" ht="12.75" hidden="1">
      <c r="A21" s="57">
        <f>EOMONTH(A20,1)</f>
        <v>33816</v>
      </c>
      <c r="B21" s="29"/>
      <c r="C21" s="1">
        <v>25.9</v>
      </c>
      <c r="D21" s="1">
        <v>23.4</v>
      </c>
      <c r="E21" s="59">
        <v>85.16277128547584</v>
      </c>
      <c r="F21" s="16"/>
      <c r="G21" s="16"/>
      <c r="H21" s="16"/>
      <c r="I21" s="25"/>
      <c r="J21" s="16"/>
    </row>
    <row r="22" spans="1:10" ht="12.75" hidden="1">
      <c r="A22" s="57">
        <f>EOMONTH(A21,1)</f>
        <v>33847</v>
      </c>
      <c r="B22" s="29"/>
      <c r="C22" s="1">
        <v>40.1</v>
      </c>
      <c r="D22" s="1">
        <v>20.5</v>
      </c>
      <c r="E22" s="59">
        <v>85.22537562604346</v>
      </c>
      <c r="F22" s="16"/>
      <c r="G22" s="16"/>
      <c r="H22" s="16"/>
      <c r="I22" s="25"/>
      <c r="J22" s="16"/>
    </row>
    <row r="23" spans="1:10" ht="12.75" hidden="1">
      <c r="A23" s="57">
        <f>EOMONTH(A22,1)</f>
        <v>33877</v>
      </c>
      <c r="B23" s="29"/>
      <c r="C23" s="1">
        <v>113.3</v>
      </c>
      <c r="D23" s="1">
        <v>13</v>
      </c>
      <c r="E23" s="59">
        <v>85.28797996661108</v>
      </c>
      <c r="F23" s="16"/>
      <c r="G23" s="16"/>
      <c r="H23" s="16"/>
      <c r="I23" s="25"/>
      <c r="J23" s="16"/>
    </row>
    <row r="24" spans="1:10" ht="12.75" hidden="1">
      <c r="A24" s="57">
        <f>EOMONTH(A23,1)</f>
        <v>33908</v>
      </c>
      <c r="B24" s="29"/>
      <c r="C24" s="1">
        <v>339.1</v>
      </c>
      <c r="D24" s="1">
        <v>0</v>
      </c>
      <c r="E24" s="59">
        <v>85.35058430717869</v>
      </c>
      <c r="F24" s="16"/>
      <c r="G24" s="16"/>
      <c r="H24" s="16"/>
      <c r="I24" s="25"/>
      <c r="J24" s="16"/>
    </row>
    <row r="25" spans="1:10" ht="12.75" hidden="1">
      <c r="A25" s="57">
        <f>EOMONTH(A24,1)</f>
        <v>33938</v>
      </c>
      <c r="B25" s="29"/>
      <c r="C25" s="1">
        <v>455.2</v>
      </c>
      <c r="D25" s="1">
        <v>0</v>
      </c>
      <c r="E25" s="59">
        <v>85.41318864774631</v>
      </c>
      <c r="F25" s="16"/>
      <c r="G25" s="16"/>
      <c r="H25" s="16"/>
      <c r="I25" s="25"/>
      <c r="J25" s="16"/>
    </row>
    <row r="26" spans="1:10" ht="12.75" hidden="1">
      <c r="A26" s="57">
        <f>EOMONTH(A25,1)</f>
        <v>33969</v>
      </c>
      <c r="B26" s="29"/>
      <c r="C26" s="1">
        <v>627.7</v>
      </c>
      <c r="D26" s="1">
        <v>0</v>
      </c>
      <c r="E26" s="60">
        <v>85.47579298831387</v>
      </c>
      <c r="F26" s="16"/>
      <c r="G26" s="16"/>
      <c r="H26" s="16"/>
      <c r="I26" s="25"/>
      <c r="J26" s="16"/>
    </row>
    <row r="27" spans="1:10" ht="12.75" hidden="1">
      <c r="A27" s="57">
        <f>EOMONTH(A26,1)</f>
        <v>34000</v>
      </c>
      <c r="B27" s="29"/>
      <c r="C27" s="1">
        <v>687.2</v>
      </c>
      <c r="D27" s="1">
        <v>0</v>
      </c>
      <c r="E27" s="59">
        <v>85.54535336672232</v>
      </c>
      <c r="F27" s="16"/>
      <c r="G27" s="16"/>
      <c r="H27" s="16"/>
      <c r="I27" s="25"/>
      <c r="J27" s="16"/>
    </row>
    <row r="28" spans="1:10" ht="12.75" hidden="1">
      <c r="A28" s="57">
        <f>EOMONTH(A27,1)</f>
        <v>34028</v>
      </c>
      <c r="B28" s="29"/>
      <c r="C28" s="1">
        <v>738.1</v>
      </c>
      <c r="D28" s="1">
        <v>0</v>
      </c>
      <c r="E28" s="59">
        <v>85.61491374513078</v>
      </c>
      <c r="F28" s="16"/>
      <c r="G28" s="16"/>
      <c r="H28" s="16"/>
      <c r="I28" s="25"/>
      <c r="J28" s="16"/>
    </row>
    <row r="29" spans="1:10" ht="12.75" hidden="1">
      <c r="A29" s="57">
        <f>EOMONTH(A28,1)</f>
        <v>34059</v>
      </c>
      <c r="B29" s="29"/>
      <c r="C29" s="1">
        <v>632</v>
      </c>
      <c r="D29" s="1">
        <v>0</v>
      </c>
      <c r="E29" s="59">
        <v>85.68447412353923</v>
      </c>
      <c r="F29" s="16"/>
      <c r="G29" s="16"/>
      <c r="H29" s="16"/>
      <c r="I29" s="25"/>
      <c r="J29" s="16"/>
    </row>
    <row r="30" spans="1:10" ht="12.75" hidden="1">
      <c r="A30" s="57">
        <f>EOMONTH(A29,1)</f>
        <v>34089</v>
      </c>
      <c r="B30" s="29"/>
      <c r="C30" s="1">
        <v>343.4</v>
      </c>
      <c r="D30" s="1">
        <v>0</v>
      </c>
      <c r="E30" s="59">
        <v>85.75403450194769</v>
      </c>
      <c r="F30" s="16"/>
      <c r="G30" s="16"/>
      <c r="H30" s="16"/>
      <c r="I30" s="25"/>
      <c r="J30" s="16"/>
    </row>
    <row r="31" spans="1:10" ht="12.75" hidden="1">
      <c r="A31" s="57">
        <f>EOMONTH(A30,1)</f>
        <v>34120</v>
      </c>
      <c r="B31" s="29"/>
      <c r="C31" s="1">
        <v>176.6</v>
      </c>
      <c r="D31" s="1">
        <v>1.5</v>
      </c>
      <c r="E31" s="59">
        <v>85.82359488035614</v>
      </c>
      <c r="F31" s="16"/>
      <c r="G31" s="16"/>
      <c r="H31" s="16"/>
      <c r="I31" s="25"/>
      <c r="J31" s="16"/>
    </row>
    <row r="32" spans="1:10" ht="12.75" hidden="1">
      <c r="A32" s="57">
        <f>EOMONTH(A31,1)</f>
        <v>34150</v>
      </c>
      <c r="B32" s="29"/>
      <c r="C32" s="1">
        <v>47.3</v>
      </c>
      <c r="D32" s="1">
        <v>26.2</v>
      </c>
      <c r="E32" s="59">
        <v>85.8931552587646</v>
      </c>
      <c r="F32" s="16"/>
      <c r="G32" s="16"/>
      <c r="H32" s="16"/>
      <c r="I32" s="25"/>
      <c r="J32" s="16"/>
    </row>
    <row r="33" spans="1:10" ht="12.75" hidden="1">
      <c r="A33" s="57">
        <f>EOMONTH(A32,1)</f>
        <v>34181</v>
      </c>
      <c r="B33" s="29"/>
      <c r="C33" s="1">
        <v>2.9</v>
      </c>
      <c r="D33" s="1">
        <v>97.1</v>
      </c>
      <c r="E33" s="59">
        <v>85.96271563717305</v>
      </c>
      <c r="F33" s="16"/>
      <c r="G33" s="16"/>
      <c r="H33" s="16"/>
      <c r="I33" s="25"/>
      <c r="J33" s="16"/>
    </row>
    <row r="34" spans="1:10" ht="12.75" hidden="1">
      <c r="A34" s="57">
        <f>EOMONTH(A33,1)</f>
        <v>34212</v>
      </c>
      <c r="B34" s="29"/>
      <c r="C34" s="1">
        <v>7.5</v>
      </c>
      <c r="D34" s="1">
        <v>93.8</v>
      </c>
      <c r="E34" s="59">
        <v>86.0322760155815</v>
      </c>
      <c r="F34" s="16"/>
      <c r="G34" s="16"/>
      <c r="H34" s="16"/>
      <c r="I34" s="25"/>
      <c r="J34" s="16"/>
    </row>
    <row r="35" spans="1:10" ht="12.75" hidden="1">
      <c r="A35" s="57">
        <f>EOMONTH(A34,1)</f>
        <v>34242</v>
      </c>
      <c r="B35" s="29"/>
      <c r="C35" s="1">
        <v>156.4</v>
      </c>
      <c r="D35" s="1">
        <v>4</v>
      </c>
      <c r="E35" s="59">
        <v>86.10183639398996</v>
      </c>
      <c r="F35" s="16"/>
      <c r="G35" s="16"/>
      <c r="H35" s="16"/>
      <c r="I35" s="25"/>
      <c r="J35" s="16"/>
    </row>
    <row r="36" spans="1:10" ht="12.75" hidden="1">
      <c r="A36" s="57">
        <f>EOMONTH(A35,1)</f>
        <v>34273</v>
      </c>
      <c r="B36" s="29"/>
      <c r="C36" s="1">
        <v>335.9</v>
      </c>
      <c r="D36" s="1">
        <v>1</v>
      </c>
      <c r="E36" s="59">
        <v>86.17139677239841</v>
      </c>
      <c r="F36" s="16"/>
      <c r="G36" s="16"/>
      <c r="H36" s="16"/>
      <c r="I36" s="25"/>
      <c r="J36" s="16"/>
    </row>
    <row r="37" spans="1:10" ht="12.75" hidden="1">
      <c r="A37" s="57">
        <f>EOMONTH(A36,1)</f>
        <v>34303</v>
      </c>
      <c r="B37" s="29"/>
      <c r="C37" s="1">
        <v>463.5</v>
      </c>
      <c r="D37" s="1">
        <v>0</v>
      </c>
      <c r="E37" s="59">
        <v>86.24095715080686</v>
      </c>
      <c r="F37" s="16"/>
      <c r="G37" s="16"/>
      <c r="H37" s="16"/>
      <c r="I37" s="25"/>
      <c r="J37" s="16"/>
    </row>
    <row r="38" spans="1:10" ht="12.75" hidden="1">
      <c r="A38" s="57">
        <f>EOMONTH(A37,1)</f>
        <v>34334</v>
      </c>
      <c r="B38" s="29"/>
      <c r="C38" s="1">
        <v>649.6</v>
      </c>
      <c r="D38" s="1">
        <v>0</v>
      </c>
      <c r="E38" s="60">
        <v>86.31051752921536</v>
      </c>
      <c r="F38" s="16"/>
      <c r="G38" s="16"/>
      <c r="H38" s="16"/>
      <c r="I38" s="25"/>
      <c r="J38" s="16"/>
    </row>
    <row r="39" spans="1:10" ht="12.75" hidden="1">
      <c r="A39" s="57">
        <f>EOMONTH(A38,1)</f>
        <v>34365</v>
      </c>
      <c r="B39" s="29"/>
      <c r="C39" s="1">
        <v>0</v>
      </c>
      <c r="D39" s="1">
        <v>0</v>
      </c>
      <c r="E39" s="59">
        <v>86.73483583750696</v>
      </c>
      <c r="F39" s="16"/>
      <c r="G39" s="16"/>
      <c r="H39" s="16"/>
      <c r="I39" s="25"/>
      <c r="J39" s="16"/>
    </row>
    <row r="40" spans="1:10" ht="12.75" hidden="1">
      <c r="A40" s="57">
        <f>EOMONTH(A39,1)</f>
        <v>34393</v>
      </c>
      <c r="B40" s="29"/>
      <c r="C40" s="1">
        <v>619.1</v>
      </c>
      <c r="D40" s="1">
        <v>0</v>
      </c>
      <c r="E40" s="59">
        <v>87.15915414579857</v>
      </c>
      <c r="F40" s="16"/>
      <c r="G40" s="16"/>
      <c r="H40" s="16"/>
      <c r="I40" s="25"/>
      <c r="J40" s="16"/>
    </row>
    <row r="41" spans="1:10" ht="12.75" hidden="1">
      <c r="A41" s="57">
        <f>EOMONTH(A40,1)</f>
        <v>34424</v>
      </c>
      <c r="B41" s="29"/>
      <c r="C41" s="1">
        <v>0</v>
      </c>
      <c r="D41" s="1">
        <v>0</v>
      </c>
      <c r="E41" s="59">
        <v>87.58347245409017</v>
      </c>
      <c r="F41" s="16"/>
      <c r="G41" s="16"/>
      <c r="H41" s="16"/>
      <c r="I41" s="25"/>
      <c r="J41" s="16"/>
    </row>
    <row r="42" spans="1:10" ht="12.75" hidden="1">
      <c r="A42" s="57">
        <f>EOMONTH(A41,1)</f>
        <v>34454</v>
      </c>
      <c r="B42" s="29"/>
      <c r="C42" s="1">
        <v>0</v>
      </c>
      <c r="D42" s="1">
        <v>0</v>
      </c>
      <c r="E42" s="59">
        <v>88.00779076238177</v>
      </c>
      <c r="F42" s="16"/>
      <c r="G42" s="16"/>
      <c r="H42" s="16"/>
      <c r="I42" s="25"/>
      <c r="J42" s="16"/>
    </row>
    <row r="43" spans="1:10" ht="12.75" hidden="1">
      <c r="A43" s="57">
        <f>EOMONTH(A42,1)</f>
        <v>34485</v>
      </c>
      <c r="B43" s="29"/>
      <c r="C43" s="1">
        <v>0</v>
      </c>
      <c r="D43" s="1">
        <v>0</v>
      </c>
      <c r="E43" s="59">
        <v>88.43210907067338</v>
      </c>
      <c r="F43" s="16"/>
      <c r="G43" s="16"/>
      <c r="H43" s="16"/>
      <c r="I43" s="25"/>
      <c r="J43" s="16"/>
    </row>
    <row r="44" spans="1:10" ht="12.75" hidden="1">
      <c r="A44" s="57">
        <f>EOMONTH(A43,1)</f>
        <v>34515</v>
      </c>
      <c r="B44" s="29"/>
      <c r="C44" s="1">
        <v>0</v>
      </c>
      <c r="D44" s="1">
        <v>0</v>
      </c>
      <c r="E44" s="59">
        <v>88.85642737896498</v>
      </c>
      <c r="F44" s="16"/>
      <c r="G44" s="16"/>
      <c r="H44" s="16"/>
      <c r="I44" s="25"/>
      <c r="J44" s="16"/>
    </row>
    <row r="45" spans="1:10" ht="12.75" hidden="1">
      <c r="A45" s="57">
        <f>EOMONTH(A44,1)</f>
        <v>34546</v>
      </c>
      <c r="B45" s="29"/>
      <c r="C45" s="1">
        <v>0</v>
      </c>
      <c r="D45" s="1">
        <v>0</v>
      </c>
      <c r="E45" s="59">
        <v>89.28074568725658</v>
      </c>
      <c r="F45" s="16"/>
      <c r="G45" s="16"/>
      <c r="H45" s="16"/>
      <c r="I45" s="25"/>
      <c r="J45" s="16"/>
    </row>
    <row r="46" spans="1:10" ht="12.75" hidden="1">
      <c r="A46" s="57">
        <f>EOMONTH(A45,1)</f>
        <v>34577</v>
      </c>
      <c r="B46" s="29"/>
      <c r="C46" s="1">
        <v>0</v>
      </c>
      <c r="D46" s="1">
        <v>0</v>
      </c>
      <c r="E46" s="59">
        <v>89.70506399554819</v>
      </c>
      <c r="F46" s="16"/>
      <c r="G46" s="16"/>
      <c r="H46" s="16"/>
      <c r="I46" s="25"/>
      <c r="J46" s="16"/>
    </row>
    <row r="47" spans="1:10" ht="12.75" hidden="1">
      <c r="A47" s="57">
        <f>EOMONTH(A46,1)</f>
        <v>34607</v>
      </c>
      <c r="B47" s="29"/>
      <c r="C47" s="1">
        <v>0</v>
      </c>
      <c r="D47" s="1">
        <v>0</v>
      </c>
      <c r="E47" s="59">
        <v>90.12938230383979</v>
      </c>
      <c r="F47" s="16"/>
      <c r="G47" s="16"/>
      <c r="H47" s="16"/>
      <c r="I47" s="25"/>
      <c r="J47" s="16"/>
    </row>
    <row r="48" spans="1:10" ht="12.75" hidden="1">
      <c r="A48" s="57">
        <f>EOMONTH(A47,1)</f>
        <v>34638</v>
      </c>
      <c r="B48" s="29"/>
      <c r="C48" s="1">
        <v>0</v>
      </c>
      <c r="D48" s="1">
        <v>0</v>
      </c>
      <c r="E48" s="59">
        <v>90.5537006121314</v>
      </c>
      <c r="F48" s="16"/>
      <c r="G48" s="16"/>
      <c r="H48" s="16"/>
      <c r="I48" s="25"/>
      <c r="J48" s="16"/>
    </row>
    <row r="49" spans="1:10" ht="12.75" hidden="1">
      <c r="A49" s="57">
        <f>EOMONTH(A48,1)</f>
        <v>34668</v>
      </c>
      <c r="B49" s="29"/>
      <c r="C49" s="1">
        <v>0</v>
      </c>
      <c r="D49" s="1">
        <v>0</v>
      </c>
      <c r="E49" s="59">
        <v>90.978018920423</v>
      </c>
      <c r="F49" s="16"/>
      <c r="G49" s="16"/>
      <c r="H49" s="16"/>
      <c r="I49" s="25"/>
      <c r="J49" s="16"/>
    </row>
    <row r="50" spans="1:10" ht="12.75" hidden="1">
      <c r="A50" s="57">
        <f>EOMONTH(A49,1)</f>
        <v>34699</v>
      </c>
      <c r="B50" s="29"/>
      <c r="C50" s="1">
        <v>0</v>
      </c>
      <c r="D50" s="1">
        <v>0</v>
      </c>
      <c r="E50" s="60">
        <v>91.40233722871453</v>
      </c>
      <c r="F50" s="16"/>
      <c r="G50" s="16"/>
      <c r="H50" s="16"/>
      <c r="I50" s="25"/>
      <c r="J50" s="16"/>
    </row>
    <row r="51" spans="1:10" ht="12.75" hidden="1">
      <c r="A51" s="57">
        <f>EOMONTH(A50,1)</f>
        <v>34730</v>
      </c>
      <c r="B51" s="29"/>
      <c r="C51" s="1">
        <v>667.5</v>
      </c>
      <c r="D51" s="1">
        <v>0</v>
      </c>
      <c r="E51" s="59">
        <v>91.67130402522724</v>
      </c>
      <c r="F51" s="16"/>
      <c r="G51" s="16"/>
      <c r="H51" s="16"/>
      <c r="I51" s="25"/>
      <c r="J51" s="16"/>
    </row>
    <row r="52" spans="1:10" ht="12.75" hidden="1">
      <c r="A52" s="57">
        <f>EOMONTH(A51,1)</f>
        <v>34758</v>
      </c>
      <c r="B52" s="29"/>
      <c r="C52" s="1">
        <v>735.3</v>
      </c>
      <c r="D52" s="1">
        <v>0</v>
      </c>
      <c r="E52" s="59">
        <v>91.94027082173994</v>
      </c>
      <c r="F52" s="16"/>
      <c r="G52" s="16"/>
      <c r="H52" s="16"/>
      <c r="I52" s="25"/>
      <c r="J52" s="16"/>
    </row>
    <row r="53" spans="1:10" ht="12.75" hidden="1">
      <c r="A53" s="57">
        <f>EOMONTH(A52,1)</f>
        <v>34789</v>
      </c>
      <c r="B53" s="29"/>
      <c r="C53" s="1">
        <v>523.7</v>
      </c>
      <c r="D53" s="1">
        <v>0</v>
      </c>
      <c r="E53" s="59">
        <v>92.20923761825264</v>
      </c>
      <c r="F53" s="16"/>
      <c r="G53" s="16"/>
      <c r="H53" s="16"/>
      <c r="I53" s="25"/>
      <c r="J53" s="16"/>
    </row>
    <row r="54" spans="1:10" ht="12.75" hidden="1">
      <c r="A54" s="57">
        <f>EOMONTH(A53,1)</f>
        <v>34819</v>
      </c>
      <c r="B54" s="29"/>
      <c r="C54" s="1">
        <v>434.4</v>
      </c>
      <c r="D54" s="1">
        <v>0</v>
      </c>
      <c r="E54" s="59">
        <v>92.47820441476534</v>
      </c>
      <c r="F54" s="16"/>
      <c r="G54" s="16"/>
      <c r="H54" s="16"/>
      <c r="I54" s="25"/>
      <c r="J54" s="16"/>
    </row>
    <row r="55" spans="1:10" ht="12.75" hidden="1">
      <c r="A55" s="57">
        <f>EOMONTH(A54,1)</f>
        <v>34850</v>
      </c>
      <c r="B55" s="29"/>
      <c r="C55" s="1">
        <v>171.9</v>
      </c>
      <c r="D55" s="1">
        <v>1.7</v>
      </c>
      <c r="E55" s="59">
        <v>92.74717121127804</v>
      </c>
      <c r="F55" s="16"/>
      <c r="G55" s="16"/>
      <c r="H55" s="16"/>
      <c r="I55" s="25"/>
      <c r="J55" s="16"/>
    </row>
    <row r="56" spans="1:10" ht="12.75" hidden="1">
      <c r="A56" s="57">
        <f>EOMONTH(A55,1)</f>
        <v>34880</v>
      </c>
      <c r="B56" s="29"/>
      <c r="C56" s="1">
        <v>25.9</v>
      </c>
      <c r="D56" s="1">
        <v>70.8</v>
      </c>
      <c r="E56" s="59">
        <v>93.01613800779074</v>
      </c>
      <c r="F56" s="16"/>
      <c r="G56" s="16"/>
      <c r="H56" s="16"/>
      <c r="I56" s="25"/>
      <c r="J56" s="16"/>
    </row>
    <row r="57" spans="1:10" ht="12.75" hidden="1">
      <c r="A57" s="57">
        <f>EOMONTH(A56,1)</f>
        <v>34911</v>
      </c>
      <c r="B57" s="29"/>
      <c r="C57" s="1">
        <v>17.3</v>
      </c>
      <c r="D57" s="1">
        <v>105.9</v>
      </c>
      <c r="E57" s="59">
        <v>93.28510480430344</v>
      </c>
      <c r="F57" s="16"/>
      <c r="G57" s="16"/>
      <c r="H57" s="16"/>
      <c r="I57" s="25"/>
      <c r="J57" s="16"/>
    </row>
    <row r="58" spans="1:10" ht="12.75" hidden="1">
      <c r="A58" s="57">
        <f>EOMONTH(A57,1)</f>
        <v>34942</v>
      </c>
      <c r="B58" s="29"/>
      <c r="C58" s="1">
        <v>4.3</v>
      </c>
      <c r="D58" s="1">
        <v>101.9</v>
      </c>
      <c r="E58" s="59">
        <v>93.55407160081614</v>
      </c>
      <c r="F58" s="16"/>
      <c r="G58" s="16"/>
      <c r="H58" s="16"/>
      <c r="I58" s="25"/>
      <c r="J58" s="16"/>
    </row>
    <row r="59" spans="1:10" ht="12.75" hidden="1">
      <c r="A59" s="57">
        <f>EOMONTH(A58,1)</f>
        <v>34972</v>
      </c>
      <c r="B59" s="29"/>
      <c r="C59" s="1">
        <v>143.6</v>
      </c>
      <c r="D59" s="1">
        <v>10.8</v>
      </c>
      <c r="E59" s="59">
        <v>93.82303839732884</v>
      </c>
      <c r="F59" s="16"/>
      <c r="G59" s="16"/>
      <c r="H59" s="16"/>
      <c r="I59" s="25"/>
      <c r="J59" s="16"/>
    </row>
    <row r="60" spans="1:10" ht="12.75" hidden="1">
      <c r="A60" s="57">
        <f>EOMONTH(A59,1)</f>
        <v>35003</v>
      </c>
      <c r="B60" s="29"/>
      <c r="C60" s="1">
        <v>245.5</v>
      </c>
      <c r="D60" s="1">
        <v>0</v>
      </c>
      <c r="E60" s="59">
        <v>94.09200519384154</v>
      </c>
      <c r="F60" s="16"/>
      <c r="G60" s="16"/>
      <c r="H60" s="16"/>
      <c r="I60" s="25"/>
      <c r="J60" s="16"/>
    </row>
    <row r="61" spans="1:10" ht="12.75" hidden="1">
      <c r="A61" s="57">
        <f>EOMONTH(A60,1)</f>
        <v>35033</v>
      </c>
      <c r="B61" s="29"/>
      <c r="C61" s="1">
        <v>539.2</v>
      </c>
      <c r="D61" s="1">
        <v>0</v>
      </c>
      <c r="E61" s="59">
        <v>94.36097199035424</v>
      </c>
      <c r="F61" s="16"/>
      <c r="G61" s="16"/>
      <c r="H61" s="16"/>
      <c r="I61" s="25"/>
      <c r="J61" s="16"/>
    </row>
    <row r="62" spans="1:10" ht="12.75" hidden="1">
      <c r="A62" s="57">
        <f>EOMONTH(A61,1)</f>
        <v>35064</v>
      </c>
      <c r="B62" s="29"/>
      <c r="C62" s="1">
        <v>741.3</v>
      </c>
      <c r="D62" s="1">
        <v>0</v>
      </c>
      <c r="E62" s="60">
        <v>94.62993878686702</v>
      </c>
      <c r="F62" s="16"/>
      <c r="G62" s="16"/>
      <c r="H62" s="16"/>
      <c r="I62" s="25"/>
      <c r="J62" s="16"/>
    </row>
    <row r="63" spans="1:13" ht="12.75">
      <c r="A63" s="57">
        <f>EOMONTH(A62,1)</f>
        <v>35095</v>
      </c>
      <c r="B63" s="10">
        <v>105408735</v>
      </c>
      <c r="C63" s="1">
        <v>789.4</v>
      </c>
      <c r="D63" s="1">
        <v>0</v>
      </c>
      <c r="E63" s="59">
        <v>94.71530509166693</v>
      </c>
      <c r="F63" s="10">
        <v>31</v>
      </c>
      <c r="G63" s="10">
        <v>0</v>
      </c>
      <c r="H63" s="10">
        <f>'[3]Summary'!J29</f>
        <v>107063</v>
      </c>
      <c r="I63" s="16">
        <v>182</v>
      </c>
      <c r="J63" s="10">
        <v>0</v>
      </c>
      <c r="K63" s="10">
        <f>$O$125+C63*$O$126+D63*$O$127+E63*$O$128+F63*$O$129+G63*$O$130+H63*$O$131+I63*$O$132+J63*$O$133</f>
        <v>103506921.71852034</v>
      </c>
      <c r="L63" s="10">
        <f>B63-K63</f>
        <v>1901813.2814796567</v>
      </c>
      <c r="M63" s="13">
        <f>B63/K63-1</f>
        <v>0.018373778776374916</v>
      </c>
    </row>
    <row r="64" spans="1:13" ht="12.75">
      <c r="A64" s="57">
        <f>EOMONTH(A63,1)</f>
        <v>35124</v>
      </c>
      <c r="B64" s="10">
        <v>97941163</v>
      </c>
      <c r="C64" s="1">
        <v>712.6</v>
      </c>
      <c r="D64" s="1">
        <v>0</v>
      </c>
      <c r="E64" s="59">
        <v>94.80074840598508</v>
      </c>
      <c r="F64" s="10">
        <v>29</v>
      </c>
      <c r="G64" s="10">
        <v>0</v>
      </c>
      <c r="H64" s="10">
        <f>'[3]Summary'!J30</f>
        <v>107278</v>
      </c>
      <c r="I64" s="16">
        <v>188</v>
      </c>
      <c r="J64" s="10">
        <v>0</v>
      </c>
      <c r="K64" s="10">
        <f aca="true" t="shared" si="0" ref="K64:K127">$O$125+C64*$O$126+D64*$O$127+E64*$O$128+F64*$O$129+G64*$O$130+H64*$O$131+I64*$O$132+J64*$O$133</f>
        <v>98440812.90545198</v>
      </c>
      <c r="L64" s="10">
        <f aca="true" t="shared" si="1" ref="L64:L127">B64-K64</f>
        <v>-499649.9054519832</v>
      </c>
      <c r="M64" s="13">
        <f aca="true" t="shared" si="2" ref="M64:M127">B64/K64-1</f>
        <v>-0.00507563774317743</v>
      </c>
    </row>
    <row r="65" spans="1:13" ht="12.75">
      <c r="A65" s="57">
        <f>EOMONTH(A64,1)</f>
        <v>35155</v>
      </c>
      <c r="B65" s="10">
        <v>98345544</v>
      </c>
      <c r="C65" s="1">
        <v>670.4</v>
      </c>
      <c r="D65" s="1">
        <v>0</v>
      </c>
      <c r="E65" s="59">
        <v>94.88626879929224</v>
      </c>
      <c r="F65" s="10">
        <v>31</v>
      </c>
      <c r="G65" s="10">
        <v>1</v>
      </c>
      <c r="H65" s="10">
        <f>'[3]Summary'!J31</f>
        <v>107493</v>
      </c>
      <c r="I65" s="16">
        <v>173</v>
      </c>
      <c r="J65" s="10">
        <v>0</v>
      </c>
      <c r="K65" s="10">
        <f t="shared" si="0"/>
        <v>100024242.39010307</v>
      </c>
      <c r="L65" s="10">
        <f t="shared" si="1"/>
        <v>-1678698.390103072</v>
      </c>
      <c r="M65" s="13">
        <f t="shared" si="2"/>
        <v>-0.016782915321227887</v>
      </c>
    </row>
    <row r="66" spans="1:15" ht="12.75">
      <c r="A66" s="57">
        <f>EOMONTH(A65,1)</f>
        <v>35185</v>
      </c>
      <c r="B66" s="10">
        <v>88677350</v>
      </c>
      <c r="C66" s="1">
        <v>421.9</v>
      </c>
      <c r="D66" s="1">
        <v>0</v>
      </c>
      <c r="E66" s="59">
        <v>94.9718663411219</v>
      </c>
      <c r="F66" s="10">
        <v>30</v>
      </c>
      <c r="G66" s="10">
        <v>1</v>
      </c>
      <c r="H66" s="10">
        <f>'[3]Summary'!J32</f>
        <v>107708</v>
      </c>
      <c r="I66" s="16">
        <v>167</v>
      </c>
      <c r="J66" s="10">
        <v>0</v>
      </c>
      <c r="K66" s="10">
        <f t="shared" si="0"/>
        <v>92010506.2721037</v>
      </c>
      <c r="L66" s="10">
        <f t="shared" si="1"/>
        <v>-3333156.272103697</v>
      </c>
      <c r="M66" s="13">
        <f t="shared" si="2"/>
        <v>-0.03622582254081419</v>
      </c>
      <c r="O66" s="98"/>
    </row>
    <row r="67" spans="1:13" ht="12.75">
      <c r="A67" s="57">
        <f>EOMONTH(A66,1)</f>
        <v>35216</v>
      </c>
      <c r="B67" s="10">
        <v>86110774</v>
      </c>
      <c r="C67" s="1">
        <v>216.1</v>
      </c>
      <c r="D67" s="1">
        <v>10</v>
      </c>
      <c r="E67" s="59">
        <v>95.05754110107026</v>
      </c>
      <c r="F67" s="10">
        <v>31</v>
      </c>
      <c r="G67" s="10">
        <v>1</v>
      </c>
      <c r="H67" s="10">
        <f>'[3]Summary'!J33</f>
        <v>107923</v>
      </c>
      <c r="I67" s="16">
        <v>154</v>
      </c>
      <c r="J67" s="10">
        <v>0</v>
      </c>
      <c r="K67" s="10">
        <f t="shared" si="0"/>
        <v>89291081.18129551</v>
      </c>
      <c r="L67" s="10">
        <f t="shared" si="1"/>
        <v>-3180307.181295514</v>
      </c>
      <c r="M67" s="13">
        <f t="shared" si="2"/>
        <v>-0.03561729950204384</v>
      </c>
    </row>
    <row r="68" spans="1:13" ht="12.75">
      <c r="A68" s="57">
        <f>EOMONTH(A67,1)</f>
        <v>35246</v>
      </c>
      <c r="B68" s="10">
        <v>87353968</v>
      </c>
      <c r="C68" s="1">
        <v>29.4</v>
      </c>
      <c r="D68" s="1">
        <v>38.6</v>
      </c>
      <c r="E68" s="59">
        <v>95.1432931487963</v>
      </c>
      <c r="F68" s="10">
        <v>30</v>
      </c>
      <c r="G68" s="10">
        <v>0</v>
      </c>
      <c r="H68" s="10">
        <f>'[3]Summary'!J34</f>
        <v>108138</v>
      </c>
      <c r="I68" s="16">
        <v>171</v>
      </c>
      <c r="J68" s="10">
        <v>0</v>
      </c>
      <c r="K68" s="10">
        <f t="shared" si="0"/>
        <v>88990459.36600678</v>
      </c>
      <c r="L68" s="10">
        <f t="shared" si="1"/>
        <v>-1636491.3660067767</v>
      </c>
      <c r="M68" s="13">
        <f t="shared" si="2"/>
        <v>-0.018389514759959757</v>
      </c>
    </row>
    <row r="69" spans="1:13" ht="12.75">
      <c r="A69" s="57">
        <f>EOMONTH(A68,1)</f>
        <v>35277</v>
      </c>
      <c r="B69" s="10">
        <v>89453162</v>
      </c>
      <c r="C69" s="1">
        <v>18.9</v>
      </c>
      <c r="D69" s="1">
        <v>41.9</v>
      </c>
      <c r="E69" s="59">
        <v>95.22912255402187</v>
      </c>
      <c r="F69" s="10">
        <v>31</v>
      </c>
      <c r="G69" s="10">
        <v>0</v>
      </c>
      <c r="H69" s="10">
        <f>'[3]Summary'!J35</f>
        <v>108353</v>
      </c>
      <c r="I69" s="16">
        <v>182</v>
      </c>
      <c r="J69" s="10">
        <v>0</v>
      </c>
      <c r="K69" s="10">
        <f t="shared" si="0"/>
        <v>93501924.1179191</v>
      </c>
      <c r="L69" s="10">
        <f t="shared" si="1"/>
        <v>-4048762.1179191023</v>
      </c>
      <c r="M69" s="13">
        <f t="shared" si="2"/>
        <v>-0.04330137755040253</v>
      </c>
    </row>
    <row r="70" spans="1:13" ht="12.75">
      <c r="A70" s="57">
        <f>EOMONTH(A69,1)</f>
        <v>35308</v>
      </c>
      <c r="B70" s="10">
        <v>95522933</v>
      </c>
      <c r="C70" s="1">
        <v>6.2</v>
      </c>
      <c r="D70" s="1">
        <v>55.2</v>
      </c>
      <c r="E70" s="59">
        <v>95.31502938653166</v>
      </c>
      <c r="F70" s="10">
        <v>31</v>
      </c>
      <c r="G70" s="10">
        <v>0</v>
      </c>
      <c r="H70" s="10">
        <f>'[3]Summary'!J36</f>
        <v>108568</v>
      </c>
      <c r="I70" s="16">
        <v>199</v>
      </c>
      <c r="J70" s="10">
        <v>0</v>
      </c>
      <c r="K70" s="10">
        <f t="shared" si="0"/>
        <v>97555013.48077694</v>
      </c>
      <c r="L70" s="10">
        <f t="shared" si="1"/>
        <v>-2032080.4807769358</v>
      </c>
      <c r="M70" s="13">
        <f t="shared" si="2"/>
        <v>-0.020830097893199007</v>
      </c>
    </row>
    <row r="71" spans="1:13" ht="12.75">
      <c r="A71" s="57">
        <f>EOMONTH(A70,1)</f>
        <v>35338</v>
      </c>
      <c r="B71" s="10">
        <v>88605608</v>
      </c>
      <c r="C71" s="1">
        <v>102.2</v>
      </c>
      <c r="D71" s="1">
        <v>12.6</v>
      </c>
      <c r="E71" s="59">
        <v>95.40101371617337</v>
      </c>
      <c r="F71" s="10">
        <v>30</v>
      </c>
      <c r="G71" s="10">
        <v>1</v>
      </c>
      <c r="H71" s="10">
        <f>'[3]Summary'!J37</f>
        <v>108783</v>
      </c>
      <c r="I71" s="16">
        <v>182</v>
      </c>
      <c r="J71" s="10">
        <v>0</v>
      </c>
      <c r="K71" s="10">
        <f t="shared" si="0"/>
        <v>90307231.51798004</v>
      </c>
      <c r="L71" s="10">
        <f t="shared" si="1"/>
        <v>-1701623.5179800391</v>
      </c>
      <c r="M71" s="13">
        <f t="shared" si="2"/>
        <v>-0.018842605286169656</v>
      </c>
    </row>
    <row r="72" spans="1:13" ht="12.75">
      <c r="A72" s="57">
        <f>EOMONTH(A71,1)</f>
        <v>35369</v>
      </c>
      <c r="B72" s="10">
        <v>91849048</v>
      </c>
      <c r="C72" s="1">
        <v>301.4</v>
      </c>
      <c r="D72" s="1">
        <v>0</v>
      </c>
      <c r="E72" s="59">
        <v>95.48707561285765</v>
      </c>
      <c r="F72" s="10">
        <v>31</v>
      </c>
      <c r="G72" s="10">
        <v>1</v>
      </c>
      <c r="H72" s="10">
        <f>'[3]Summary'!J38</f>
        <v>108998</v>
      </c>
      <c r="I72" s="16">
        <v>163</v>
      </c>
      <c r="J72" s="10">
        <v>0</v>
      </c>
      <c r="K72" s="10">
        <f t="shared" si="0"/>
        <v>92130921.97474217</v>
      </c>
      <c r="L72" s="10">
        <f t="shared" si="1"/>
        <v>-281873.97474217415</v>
      </c>
      <c r="M72" s="13">
        <f t="shared" si="2"/>
        <v>-0.0030594936933274752</v>
      </c>
    </row>
    <row r="73" spans="1:13" ht="12.75">
      <c r="A73" s="57">
        <f>EOMONTH(A72,1)</f>
        <v>35399</v>
      </c>
      <c r="B73" s="10">
        <v>97824062</v>
      </c>
      <c r="C73" s="1">
        <v>548.1</v>
      </c>
      <c r="D73" s="1">
        <v>0</v>
      </c>
      <c r="E73" s="59">
        <v>95.57321514655828</v>
      </c>
      <c r="F73" s="10">
        <v>30</v>
      </c>
      <c r="G73" s="10">
        <v>1</v>
      </c>
      <c r="H73" s="10">
        <f>'[3]Summary'!J39</f>
        <v>109213</v>
      </c>
      <c r="I73" s="16">
        <v>180</v>
      </c>
      <c r="J73" s="10">
        <v>0</v>
      </c>
      <c r="K73" s="10">
        <f t="shared" si="0"/>
        <v>97484449.10330656</v>
      </c>
      <c r="L73" s="10">
        <f t="shared" si="1"/>
        <v>339612.8966934383</v>
      </c>
      <c r="M73" s="13">
        <f t="shared" si="2"/>
        <v>0.0034837648447245684</v>
      </c>
    </row>
    <row r="74" spans="1:13" ht="12.75">
      <c r="A74" s="57">
        <f>EOMONTH(A73,1)</f>
        <v>35430</v>
      </c>
      <c r="B74" s="10">
        <v>99686246</v>
      </c>
      <c r="C74" s="1">
        <v>596.5</v>
      </c>
      <c r="D74" s="1">
        <v>0</v>
      </c>
      <c r="E74" s="60">
        <v>95.65943238731221</v>
      </c>
      <c r="F74" s="10">
        <v>31</v>
      </c>
      <c r="G74" s="10">
        <v>0</v>
      </c>
      <c r="H74" s="10">
        <f>'[3]Summary'!J40</f>
        <v>109428</v>
      </c>
      <c r="I74" s="16">
        <v>184</v>
      </c>
      <c r="J74" s="10">
        <v>0</v>
      </c>
      <c r="K74" s="10">
        <f t="shared" si="0"/>
        <v>101503678.51187909</v>
      </c>
      <c r="L74" s="10">
        <f t="shared" si="1"/>
        <v>-1817432.5118790865</v>
      </c>
      <c r="M74" s="13">
        <f t="shared" si="2"/>
        <v>-0.01790509012603314</v>
      </c>
    </row>
    <row r="75" spans="1:13" ht="12.75">
      <c r="A75" s="57">
        <f>EOMONTH(A74,1)</f>
        <v>35461</v>
      </c>
      <c r="B75" s="10">
        <v>108687484</v>
      </c>
      <c r="C75" s="1">
        <v>777.9</v>
      </c>
      <c r="D75" s="1">
        <v>0</v>
      </c>
      <c r="E75" s="59">
        <v>96.01383490748557</v>
      </c>
      <c r="F75" s="10">
        <v>31</v>
      </c>
      <c r="G75" s="10">
        <v>0</v>
      </c>
      <c r="H75" s="10">
        <f>'[3]Summary'!J41</f>
        <v>109495</v>
      </c>
      <c r="I75" s="16">
        <f>'[4]Monthly Peak'!B4</f>
        <v>197.5</v>
      </c>
      <c r="J75" s="10">
        <v>0</v>
      </c>
      <c r="K75" s="10">
        <f t="shared" si="0"/>
        <v>107459810.55148125</v>
      </c>
      <c r="L75" s="10">
        <f t="shared" si="1"/>
        <v>1227673.448518753</v>
      </c>
      <c r="M75" s="13">
        <f t="shared" si="2"/>
        <v>0.011424489232005453</v>
      </c>
    </row>
    <row r="76" spans="1:13" ht="12.75">
      <c r="A76" s="57">
        <f>EOMONTH(A75,1)</f>
        <v>35489</v>
      </c>
      <c r="B76" s="10">
        <v>96889088</v>
      </c>
      <c r="C76" s="1">
        <v>615</v>
      </c>
      <c r="D76" s="1">
        <v>0</v>
      </c>
      <c r="E76" s="59">
        <v>96.36955043091614</v>
      </c>
      <c r="F76" s="10">
        <v>29</v>
      </c>
      <c r="G76" s="10">
        <v>0</v>
      </c>
      <c r="H76" s="10">
        <f>'[3]Summary'!J42</f>
        <v>109562</v>
      </c>
      <c r="I76" s="16">
        <f>'[4]Monthly Peak'!B5</f>
        <v>193.4</v>
      </c>
      <c r="J76" s="10">
        <v>0</v>
      </c>
      <c r="K76" s="10">
        <f t="shared" si="0"/>
        <v>99078530.04749519</v>
      </c>
      <c r="L76" s="10">
        <f t="shared" si="1"/>
        <v>-2189442.0474951863</v>
      </c>
      <c r="M76" s="13">
        <f t="shared" si="2"/>
        <v>-0.02209804734129217</v>
      </c>
    </row>
    <row r="77" spans="1:13" ht="12.75">
      <c r="A77" s="57">
        <f>EOMONTH(A76,1)</f>
        <v>35520</v>
      </c>
      <c r="B77" s="10">
        <v>101948722</v>
      </c>
      <c r="C77" s="1">
        <v>619.1</v>
      </c>
      <c r="D77" s="1">
        <v>0</v>
      </c>
      <c r="E77" s="59">
        <v>96.72658382206578</v>
      </c>
      <c r="F77" s="10">
        <v>31</v>
      </c>
      <c r="G77" s="10">
        <v>1</v>
      </c>
      <c r="H77" s="10">
        <f>'[3]Summary'!J43</f>
        <v>109629</v>
      </c>
      <c r="I77" s="16">
        <f>'[4]Monthly Peak'!B6</f>
        <v>186.7</v>
      </c>
      <c r="J77" s="10">
        <v>0</v>
      </c>
      <c r="K77" s="10">
        <f t="shared" si="0"/>
        <v>103039488.74761257</v>
      </c>
      <c r="L77" s="10">
        <f t="shared" si="1"/>
        <v>-1090766.7476125658</v>
      </c>
      <c r="M77" s="13">
        <f t="shared" si="2"/>
        <v>-0.010585909934824222</v>
      </c>
    </row>
    <row r="78" spans="1:13" ht="12.75">
      <c r="A78" s="57">
        <f>EOMONTH(A77,1)</f>
        <v>35550</v>
      </c>
      <c r="B78" s="10">
        <v>95686072</v>
      </c>
      <c r="C78" s="1">
        <v>391.9</v>
      </c>
      <c r="D78" s="1">
        <v>0</v>
      </c>
      <c r="E78" s="59">
        <v>97.08493996341842</v>
      </c>
      <c r="F78" s="10">
        <v>30</v>
      </c>
      <c r="G78" s="10">
        <v>1</v>
      </c>
      <c r="H78" s="10">
        <f>'[3]Summary'!J44</f>
        <v>109696</v>
      </c>
      <c r="I78" s="16">
        <f>'[4]Monthly Peak'!B7</f>
        <v>184.3</v>
      </c>
      <c r="J78" s="10">
        <v>0</v>
      </c>
      <c r="K78" s="10">
        <f t="shared" si="0"/>
        <v>96117097.86499196</v>
      </c>
      <c r="L78" s="10">
        <f t="shared" si="1"/>
        <v>-431025.8649919629</v>
      </c>
      <c r="M78" s="13">
        <f t="shared" si="2"/>
        <v>-0.004484382847236956</v>
      </c>
    </row>
    <row r="79" spans="1:13" ht="12.75">
      <c r="A79" s="57">
        <f>EOMONTH(A78,1)</f>
        <v>35581</v>
      </c>
      <c r="B79" s="10">
        <v>93811439</v>
      </c>
      <c r="C79" s="1">
        <v>289</v>
      </c>
      <c r="D79" s="1">
        <v>0</v>
      </c>
      <c r="E79" s="59">
        <v>97.44462375554679</v>
      </c>
      <c r="F79" s="10">
        <v>31</v>
      </c>
      <c r="G79" s="10">
        <v>1</v>
      </c>
      <c r="H79" s="10">
        <f>'[3]Summary'!J45</f>
        <v>109763</v>
      </c>
      <c r="I79" s="16">
        <f>'[4]Monthly Peak'!B8</f>
        <v>175.5</v>
      </c>
      <c r="J79" s="10">
        <v>0</v>
      </c>
      <c r="K79" s="10">
        <f t="shared" si="0"/>
        <v>95211748.54648447</v>
      </c>
      <c r="L79" s="10">
        <f t="shared" si="1"/>
        <v>-1400309.5464844704</v>
      </c>
      <c r="M79" s="13">
        <f t="shared" si="2"/>
        <v>-0.014707318874632502</v>
      </c>
    </row>
    <row r="80" spans="1:13" ht="12.75">
      <c r="A80" s="57">
        <f>EOMONTH(A79,1)</f>
        <v>35611</v>
      </c>
      <c r="B80" s="10">
        <v>99097140</v>
      </c>
      <c r="C80" s="1">
        <v>30.4</v>
      </c>
      <c r="D80" s="1">
        <v>50.4</v>
      </c>
      <c r="E80" s="59">
        <v>97.80564011717944</v>
      </c>
      <c r="F80" s="10">
        <v>30</v>
      </c>
      <c r="G80" s="10">
        <v>0</v>
      </c>
      <c r="H80" s="10">
        <f>'[3]Summary'!J46</f>
        <v>109830</v>
      </c>
      <c r="I80" s="16">
        <f>'[4]Monthly Peak'!B9</f>
        <v>229.5</v>
      </c>
      <c r="J80" s="10">
        <v>0</v>
      </c>
      <c r="K80" s="10">
        <f t="shared" si="0"/>
        <v>102036491.30985823</v>
      </c>
      <c r="L80" s="10">
        <f t="shared" si="1"/>
        <v>-2939351.3098582327</v>
      </c>
      <c r="M80" s="13">
        <f t="shared" si="2"/>
        <v>-0.028806863820240447</v>
      </c>
    </row>
    <row r="81" spans="1:13" ht="12.75">
      <c r="A81" s="57">
        <f>EOMONTH(A80,1)</f>
        <v>35642</v>
      </c>
      <c r="B81" s="10">
        <v>102898353</v>
      </c>
      <c r="C81" s="1">
        <v>22.1</v>
      </c>
      <c r="D81" s="1">
        <v>59.8</v>
      </c>
      <c r="E81" s="59">
        <v>98.167993985268</v>
      </c>
      <c r="F81" s="10">
        <v>31</v>
      </c>
      <c r="G81" s="10">
        <v>0</v>
      </c>
      <c r="H81" s="10">
        <f>'[3]Summary'!J47</f>
        <v>109897</v>
      </c>
      <c r="I81" s="16">
        <f>'[4]Monthly Peak'!B10</f>
        <v>230.3</v>
      </c>
      <c r="J81" s="10">
        <v>0</v>
      </c>
      <c r="K81" s="10">
        <f t="shared" si="0"/>
        <v>105459241.02908239</v>
      </c>
      <c r="L81" s="10">
        <f t="shared" si="1"/>
        <v>-2560888.0290823877</v>
      </c>
      <c r="M81" s="13">
        <f t="shared" si="2"/>
        <v>-0.024283201776278407</v>
      </c>
    </row>
    <row r="82" spans="1:13" ht="12.75">
      <c r="A82" s="57">
        <f>EOMONTH(A81,1)</f>
        <v>35673</v>
      </c>
      <c r="B82" s="10">
        <v>97826498</v>
      </c>
      <c r="C82" s="1">
        <v>49.4</v>
      </c>
      <c r="D82" s="1">
        <v>21.9</v>
      </c>
      <c r="E82" s="59">
        <v>98.53169031505469</v>
      </c>
      <c r="F82" s="10">
        <v>31</v>
      </c>
      <c r="G82" s="10">
        <v>0</v>
      </c>
      <c r="H82" s="10">
        <f>'[3]Summary'!J48</f>
        <v>109964</v>
      </c>
      <c r="I82" s="16">
        <f>'[4]Monthly Peak'!B11</f>
        <v>192.4</v>
      </c>
      <c r="J82" s="10">
        <v>0</v>
      </c>
      <c r="K82" s="10">
        <f t="shared" si="0"/>
        <v>96089330.02135485</v>
      </c>
      <c r="L82" s="10">
        <f t="shared" si="1"/>
        <v>1737167.978645146</v>
      </c>
      <c r="M82" s="13">
        <f t="shared" si="2"/>
        <v>0.018078677187769676</v>
      </c>
    </row>
    <row r="83" spans="1:13" ht="12.75">
      <c r="A83" s="57">
        <f>EOMONTH(A82,1)</f>
        <v>35703</v>
      </c>
      <c r="B83" s="10">
        <v>95349179</v>
      </c>
      <c r="C83" s="1">
        <v>115.2</v>
      </c>
      <c r="D83" s="1">
        <v>5.4</v>
      </c>
      <c r="E83" s="59">
        <v>98.89673408014009</v>
      </c>
      <c r="F83" s="10">
        <v>30</v>
      </c>
      <c r="G83" s="10">
        <v>1</v>
      </c>
      <c r="H83" s="10">
        <f>'[3]Summary'!J49</f>
        <v>110031</v>
      </c>
      <c r="I83" s="16">
        <f>'[4]Monthly Peak'!B12</f>
        <v>189.4</v>
      </c>
      <c r="J83" s="10">
        <v>0</v>
      </c>
      <c r="K83" s="10">
        <f t="shared" si="0"/>
        <v>93181788.32980448</v>
      </c>
      <c r="L83" s="10">
        <f t="shared" si="1"/>
        <v>2167390.67019552</v>
      </c>
      <c r="M83" s="13">
        <f t="shared" si="2"/>
        <v>0.023259809765877604</v>
      </c>
    </row>
    <row r="84" spans="1:13" ht="12.75">
      <c r="A84" s="57">
        <f>EOMONTH(A83,1)</f>
        <v>35734</v>
      </c>
      <c r="B84" s="10">
        <v>100614082</v>
      </c>
      <c r="C84" s="1">
        <v>288.9</v>
      </c>
      <c r="D84" s="1">
        <v>1.6</v>
      </c>
      <c r="E84" s="59">
        <v>99.26313027255118</v>
      </c>
      <c r="F84" s="10">
        <v>31</v>
      </c>
      <c r="G84" s="10">
        <v>1</v>
      </c>
      <c r="H84" s="10">
        <f>'[3]Summary'!J50</f>
        <v>110098</v>
      </c>
      <c r="I84" s="16">
        <f>'[4]Monthly Peak'!B13</f>
        <v>189</v>
      </c>
      <c r="J84" s="10">
        <v>0</v>
      </c>
      <c r="K84" s="10">
        <f t="shared" si="0"/>
        <v>98623825.80463895</v>
      </c>
      <c r="L84" s="10">
        <f t="shared" si="1"/>
        <v>1990256.195361048</v>
      </c>
      <c r="M84" s="13">
        <f t="shared" si="2"/>
        <v>0.020180277728258922</v>
      </c>
    </row>
    <row r="85" spans="1:13" ht="12.75">
      <c r="A85" s="57">
        <f>EOMONTH(A84,1)</f>
        <v>35764</v>
      </c>
      <c r="B85" s="10">
        <v>103052415</v>
      </c>
      <c r="C85" s="1">
        <v>471.4</v>
      </c>
      <c r="D85" s="1">
        <v>0</v>
      </c>
      <c r="E85" s="59">
        <v>99.63088390280956</v>
      </c>
      <c r="F85" s="10">
        <v>30</v>
      </c>
      <c r="G85" s="10">
        <v>1</v>
      </c>
      <c r="H85" s="10">
        <f>'[3]Summary'!J51</f>
        <v>110165</v>
      </c>
      <c r="I85" s="16">
        <f>'[4]Monthly Peak'!B14</f>
        <v>203.4</v>
      </c>
      <c r="J85" s="10">
        <v>0</v>
      </c>
      <c r="K85" s="10">
        <f t="shared" si="0"/>
        <v>102230682.30398905</v>
      </c>
      <c r="L85" s="10">
        <f t="shared" si="1"/>
        <v>821732.6960109472</v>
      </c>
      <c r="M85" s="13">
        <f t="shared" si="2"/>
        <v>0.008038024177198455</v>
      </c>
    </row>
    <row r="86" spans="1:13" ht="12.75">
      <c r="A86" s="57">
        <f>EOMONTH(A85,1)</f>
        <v>35795</v>
      </c>
      <c r="B86" s="10">
        <v>106961772</v>
      </c>
      <c r="C86" s="1">
        <v>630.7</v>
      </c>
      <c r="D86" s="1">
        <v>0</v>
      </c>
      <c r="E86" s="60">
        <v>100</v>
      </c>
      <c r="F86" s="10">
        <v>31</v>
      </c>
      <c r="G86" s="10">
        <v>0</v>
      </c>
      <c r="H86" s="10">
        <f>'[3]Summary'!J52</f>
        <v>110232</v>
      </c>
      <c r="I86" s="16">
        <f>'[4]Monthly Peak'!B15</f>
        <v>203.5</v>
      </c>
      <c r="J86" s="10">
        <v>0</v>
      </c>
      <c r="K86" s="10">
        <f t="shared" si="0"/>
        <v>107747926.44815615</v>
      </c>
      <c r="L86" s="10">
        <f t="shared" si="1"/>
        <v>-786154.4481561482</v>
      </c>
      <c r="M86" s="13">
        <f t="shared" si="2"/>
        <v>-0.007296237376172687</v>
      </c>
    </row>
    <row r="87" spans="1:13" ht="12.75">
      <c r="A87" s="57">
        <f>EOMONTH(A86,1)</f>
        <v>35826</v>
      </c>
      <c r="B87" s="10">
        <v>110966443</v>
      </c>
      <c r="C87" s="1">
        <v>652.8</v>
      </c>
      <c r="D87" s="1">
        <v>0</v>
      </c>
      <c r="E87" s="59">
        <v>100.39254461560812</v>
      </c>
      <c r="F87" s="10">
        <v>31</v>
      </c>
      <c r="G87" s="10">
        <v>0</v>
      </c>
      <c r="H87" s="10">
        <f>'[3]Summary'!J53</f>
        <v>110327</v>
      </c>
      <c r="I87" s="16">
        <f>'[4]Monthly Peak'!B16</f>
        <v>207.8</v>
      </c>
      <c r="J87" s="10">
        <v>0</v>
      </c>
      <c r="K87" s="10">
        <f t="shared" si="0"/>
        <v>109120031.74582821</v>
      </c>
      <c r="L87" s="10">
        <f t="shared" si="1"/>
        <v>1846411.2541717887</v>
      </c>
      <c r="M87" s="13">
        <f t="shared" si="2"/>
        <v>0.016920919327375383</v>
      </c>
    </row>
    <row r="88" spans="1:13" ht="12.75">
      <c r="A88" s="57">
        <f>EOMONTH(A87,1)</f>
        <v>35854</v>
      </c>
      <c r="B88" s="10">
        <v>100001015</v>
      </c>
      <c r="C88" s="1">
        <v>547.1</v>
      </c>
      <c r="D88" s="1">
        <v>0</v>
      </c>
      <c r="E88" s="59">
        <v>100.78663014396867</v>
      </c>
      <c r="F88" s="10">
        <v>28</v>
      </c>
      <c r="G88" s="10">
        <v>0</v>
      </c>
      <c r="H88" s="10">
        <f>'[3]Summary'!J54</f>
        <v>110422</v>
      </c>
      <c r="I88" s="16">
        <f>'[4]Monthly Peak'!B17</f>
        <v>204</v>
      </c>
      <c r="J88" s="10">
        <v>0</v>
      </c>
      <c r="K88" s="10">
        <f t="shared" si="0"/>
        <v>99519750.11009513</v>
      </c>
      <c r="L88" s="10">
        <f t="shared" si="1"/>
        <v>481264.8899048716</v>
      </c>
      <c r="M88" s="13">
        <f t="shared" si="2"/>
        <v>0.004835873174645844</v>
      </c>
    </row>
    <row r="89" spans="1:13" ht="12.75">
      <c r="A89" s="57">
        <f>EOMONTH(A88,1)</f>
        <v>35885</v>
      </c>
      <c r="B89" s="10">
        <v>109738133</v>
      </c>
      <c r="C89" s="1">
        <v>505.1</v>
      </c>
      <c r="D89" s="1">
        <v>0</v>
      </c>
      <c r="E89" s="59">
        <v>101.18226263385168</v>
      </c>
      <c r="F89" s="10">
        <v>31</v>
      </c>
      <c r="G89" s="10">
        <v>1</v>
      </c>
      <c r="H89" s="10">
        <f>'[3]Summary'!J55</f>
        <v>110517</v>
      </c>
      <c r="I89" s="16">
        <f>'[4]Monthly Peak'!B18</f>
        <v>200.3</v>
      </c>
      <c r="J89" s="10">
        <v>0</v>
      </c>
      <c r="K89" s="10">
        <f t="shared" si="0"/>
        <v>105535956.7089468</v>
      </c>
      <c r="L89" s="10">
        <f t="shared" si="1"/>
        <v>4202176.291053206</v>
      </c>
      <c r="M89" s="13">
        <f t="shared" si="2"/>
        <v>0.03981748422144138</v>
      </c>
    </row>
    <row r="90" spans="1:13" ht="12.75">
      <c r="A90" s="57">
        <f>EOMONTH(A89,1)</f>
        <v>35915</v>
      </c>
      <c r="B90" s="10">
        <v>96753486</v>
      </c>
      <c r="C90" s="1">
        <v>312</v>
      </c>
      <c r="D90" s="1">
        <v>0</v>
      </c>
      <c r="E90" s="59">
        <v>101.57944815777132</v>
      </c>
      <c r="F90" s="10">
        <v>30</v>
      </c>
      <c r="G90" s="10">
        <v>1</v>
      </c>
      <c r="H90" s="10">
        <f>'[3]Summary'!J56</f>
        <v>110612</v>
      </c>
      <c r="I90" s="16">
        <f>'[4]Monthly Peak'!B19</f>
        <v>186.5</v>
      </c>
      <c r="J90" s="10">
        <v>0</v>
      </c>
      <c r="K90" s="10">
        <f t="shared" si="0"/>
        <v>97316726.9506199</v>
      </c>
      <c r="L90" s="10">
        <f t="shared" si="1"/>
        <v>-563240.9506199062</v>
      </c>
      <c r="M90" s="13">
        <f t="shared" si="2"/>
        <v>-0.00578770955691621</v>
      </c>
    </row>
    <row r="91" spans="1:13" ht="12.75">
      <c r="A91" s="57">
        <f>EOMONTH(A90,1)</f>
        <v>35946</v>
      </c>
      <c r="B91" s="10">
        <v>101025669</v>
      </c>
      <c r="C91" s="1">
        <v>77.1</v>
      </c>
      <c r="D91" s="1">
        <v>16.8</v>
      </c>
      <c r="E91" s="59">
        <v>101.97819281207909</v>
      </c>
      <c r="F91" s="10">
        <v>31</v>
      </c>
      <c r="G91" s="10">
        <v>1</v>
      </c>
      <c r="H91" s="10">
        <f>'[3]Summary'!J57</f>
        <v>110707</v>
      </c>
      <c r="I91" s="16">
        <f>'[4]Monthly Peak'!B20</f>
        <v>205.1</v>
      </c>
      <c r="J91" s="10">
        <v>0</v>
      </c>
      <c r="K91" s="10">
        <f t="shared" si="0"/>
        <v>100234484.05717969</v>
      </c>
      <c r="L91" s="10">
        <f t="shared" si="1"/>
        <v>791184.9428203106</v>
      </c>
      <c r="M91" s="13">
        <f t="shared" si="2"/>
        <v>0.007893340802442417</v>
      </c>
    </row>
    <row r="92" spans="1:13" ht="12.75">
      <c r="A92" s="57">
        <f>EOMONTH(A91,1)</f>
        <v>35976</v>
      </c>
      <c r="B92" s="10">
        <v>107622236</v>
      </c>
      <c r="C92" s="1">
        <v>66.7</v>
      </c>
      <c r="D92" s="1">
        <v>63.7</v>
      </c>
      <c r="E92" s="59">
        <v>102.37850271705736</v>
      </c>
      <c r="F92" s="10">
        <v>30</v>
      </c>
      <c r="G92" s="10">
        <v>0</v>
      </c>
      <c r="H92" s="10">
        <f>'[3]Summary'!J58</f>
        <v>110802</v>
      </c>
      <c r="I92" s="16">
        <f>'[4]Monthly Peak'!B21</f>
        <v>232.5</v>
      </c>
      <c r="J92" s="10">
        <v>0</v>
      </c>
      <c r="K92" s="10">
        <f t="shared" si="0"/>
        <v>106869045.14042157</v>
      </c>
      <c r="L92" s="10">
        <f t="shared" si="1"/>
        <v>753190.8595784307</v>
      </c>
      <c r="M92" s="13">
        <f t="shared" si="2"/>
        <v>0.007047792544499387</v>
      </c>
    </row>
    <row r="93" spans="1:13" ht="12.75">
      <c r="A93" s="57">
        <f>EOMONTH(A92,1)</f>
        <v>36007</v>
      </c>
      <c r="B93" s="10">
        <v>111259024</v>
      </c>
      <c r="C93" s="1">
        <v>6.9</v>
      </c>
      <c r="D93" s="1">
        <v>64.8</v>
      </c>
      <c r="E93" s="59">
        <v>102.78038401701338</v>
      </c>
      <c r="F93" s="10">
        <v>31</v>
      </c>
      <c r="G93" s="10">
        <v>0</v>
      </c>
      <c r="H93" s="10">
        <f>'[3]Summary'!J59</f>
        <v>110897</v>
      </c>
      <c r="I93" s="16">
        <f>'[4]Monthly Peak'!B22</f>
        <v>231.7</v>
      </c>
      <c r="J93" s="10">
        <v>0</v>
      </c>
      <c r="K93" s="10">
        <f t="shared" si="0"/>
        <v>108295653.28441252</v>
      </c>
      <c r="L93" s="10">
        <f t="shared" si="1"/>
        <v>2963370.715587482</v>
      </c>
      <c r="M93" s="13">
        <f t="shared" si="2"/>
        <v>0.02736370875204841</v>
      </c>
    </row>
    <row r="94" spans="1:13" ht="12.75">
      <c r="A94" s="57">
        <f>EOMONTH(A93,1)</f>
        <v>36038</v>
      </c>
      <c r="B94" s="10">
        <v>110638583</v>
      </c>
      <c r="C94" s="1">
        <v>12.1</v>
      </c>
      <c r="D94" s="1">
        <v>83.1</v>
      </c>
      <c r="E94" s="59">
        <v>103.1838428803735</v>
      </c>
      <c r="F94" s="10">
        <v>31</v>
      </c>
      <c r="G94" s="10">
        <v>0</v>
      </c>
      <c r="H94" s="10">
        <f>'[3]Summary'!J60</f>
        <v>110992</v>
      </c>
      <c r="I94" s="16">
        <f>'[4]Monthly Peak'!B23</f>
        <v>234.8</v>
      </c>
      <c r="J94" s="10">
        <v>0</v>
      </c>
      <c r="K94" s="10">
        <f t="shared" si="0"/>
        <v>110844492.96195751</v>
      </c>
      <c r="L94" s="10">
        <f t="shared" si="1"/>
        <v>-205909.9619575143</v>
      </c>
      <c r="M94" s="13">
        <f t="shared" si="2"/>
        <v>-0.0018576471997412414</v>
      </c>
    </row>
    <row r="95" spans="1:13" ht="12.75">
      <c r="A95" s="57">
        <f>EOMONTH(A94,1)</f>
        <v>36068</v>
      </c>
      <c r="B95" s="10">
        <v>103118005</v>
      </c>
      <c r="C95" s="1">
        <v>63</v>
      </c>
      <c r="D95" s="1">
        <v>26</v>
      </c>
      <c r="E95" s="59">
        <v>103.58888549977794</v>
      </c>
      <c r="F95" s="10">
        <v>30</v>
      </c>
      <c r="G95" s="10">
        <v>1</v>
      </c>
      <c r="H95" s="10">
        <f>'[3]Summary'!J61</f>
        <v>111087</v>
      </c>
      <c r="I95" s="16">
        <f>'[4]Monthly Peak'!B24</f>
        <v>213.8</v>
      </c>
      <c r="J95" s="10">
        <v>0</v>
      </c>
      <c r="K95" s="10">
        <f t="shared" si="0"/>
        <v>100799002.82269496</v>
      </c>
      <c r="L95" s="10">
        <f t="shared" si="1"/>
        <v>2319002.1773050427</v>
      </c>
      <c r="M95" s="13">
        <f t="shared" si="2"/>
        <v>0.023006201573086527</v>
      </c>
    </row>
    <row r="96" spans="1:13" ht="12.75">
      <c r="A96" s="57">
        <f>EOMONTH(A95,1)</f>
        <v>36099</v>
      </c>
      <c r="B96" s="10">
        <v>102878594</v>
      </c>
      <c r="C96" s="1">
        <v>257.6</v>
      </c>
      <c r="D96" s="1">
        <v>0</v>
      </c>
      <c r="E96" s="59">
        <v>103.99551809217577</v>
      </c>
      <c r="F96" s="10">
        <v>31</v>
      </c>
      <c r="G96" s="10">
        <v>1</v>
      </c>
      <c r="H96" s="10">
        <f>'[3]Summary'!J62</f>
        <v>111182</v>
      </c>
      <c r="I96" s="16">
        <f>'[4]Monthly Peak'!B25</f>
        <v>190</v>
      </c>
      <c r="J96" s="10">
        <v>0</v>
      </c>
      <c r="K96" s="10">
        <f t="shared" si="0"/>
        <v>100557471.7725941</v>
      </c>
      <c r="L96" s="10">
        <f t="shared" si="1"/>
        <v>2321122.2274059057</v>
      </c>
      <c r="M96" s="13">
        <f t="shared" si="2"/>
        <v>0.023082543609041828</v>
      </c>
    </row>
    <row r="97" spans="1:13" ht="12.75">
      <c r="A97" s="57">
        <f>EOMONTH(A96,1)</f>
        <v>36129</v>
      </c>
      <c r="B97" s="10">
        <v>107345949</v>
      </c>
      <c r="C97" s="1">
        <v>440.1</v>
      </c>
      <c r="D97" s="1">
        <v>0</v>
      </c>
      <c r="E97" s="59">
        <v>104.40374689892037</v>
      </c>
      <c r="F97" s="10">
        <v>30</v>
      </c>
      <c r="G97" s="10">
        <v>1</v>
      </c>
      <c r="H97" s="10">
        <f>'[3]Summary'!J63</f>
        <v>111277</v>
      </c>
      <c r="I97" s="16">
        <f>'[4]Monthly Peak'!B26</f>
        <v>201.7</v>
      </c>
      <c r="J97" s="10">
        <v>0</v>
      </c>
      <c r="K97" s="10">
        <f t="shared" si="0"/>
        <v>103874552.19528373</v>
      </c>
      <c r="L97" s="10">
        <f t="shared" si="1"/>
        <v>3471396.804716274</v>
      </c>
      <c r="M97" s="13">
        <f t="shared" si="2"/>
        <v>0.03341912654593271</v>
      </c>
    </row>
    <row r="98" spans="1:13" ht="12.75">
      <c r="A98" s="57">
        <f>EOMONTH(A97,1)</f>
        <v>36160</v>
      </c>
      <c r="B98" s="10">
        <v>111204020</v>
      </c>
      <c r="C98" s="1">
        <v>572.1</v>
      </c>
      <c r="D98" s="1">
        <v>0</v>
      </c>
      <c r="E98" s="60">
        <v>104.81357818586534</v>
      </c>
      <c r="F98" s="10">
        <v>31</v>
      </c>
      <c r="G98" s="10">
        <v>0</v>
      </c>
      <c r="H98" s="10">
        <f>'[3]Summary'!J64</f>
        <v>111372</v>
      </c>
      <c r="I98" s="16">
        <f>'[4]Monthly Peak'!B27</f>
        <v>222.3</v>
      </c>
      <c r="J98" s="10">
        <v>0</v>
      </c>
      <c r="K98" s="10">
        <f t="shared" si="0"/>
        <v>112447366.85284118</v>
      </c>
      <c r="L98" s="10">
        <f t="shared" si="1"/>
        <v>-1243346.8528411835</v>
      </c>
      <c r="M98" s="13">
        <f t="shared" si="2"/>
        <v>-0.011057145112773892</v>
      </c>
    </row>
    <row r="99" spans="1:13" ht="12.75">
      <c r="A99" s="57">
        <f>EOMONTH(A98,1)</f>
        <v>36191</v>
      </c>
      <c r="B99" s="10">
        <v>120632212.69999999</v>
      </c>
      <c r="C99" s="1">
        <v>789.6</v>
      </c>
      <c r="D99" s="1">
        <v>0</v>
      </c>
      <c r="E99" s="59">
        <v>105.44819844915847</v>
      </c>
      <c r="F99" s="10">
        <v>31</v>
      </c>
      <c r="G99" s="10">
        <v>0</v>
      </c>
      <c r="H99" s="10">
        <f>'[3]Summary'!J65</f>
        <v>111593</v>
      </c>
      <c r="I99" s="16">
        <f>'[4]Monthly Peak'!B28</f>
        <v>226.6</v>
      </c>
      <c r="J99" s="10">
        <v>0</v>
      </c>
      <c r="K99" s="10">
        <f t="shared" si="0"/>
        <v>117679288.8459597</v>
      </c>
      <c r="L99" s="10">
        <f t="shared" si="1"/>
        <v>2952923.854040295</v>
      </c>
      <c r="M99" s="13">
        <f t="shared" si="2"/>
        <v>0.025092978407658784</v>
      </c>
    </row>
    <row r="100" spans="1:13" ht="12.75">
      <c r="A100" s="57">
        <f>EOMONTH(A99,1)</f>
        <v>36219</v>
      </c>
      <c r="B100" s="10">
        <v>107060675.1</v>
      </c>
      <c r="C100" s="1">
        <v>578.4</v>
      </c>
      <c r="D100" s="1">
        <v>0</v>
      </c>
      <c r="E100" s="59">
        <v>106.08666118100913</v>
      </c>
      <c r="F100" s="10">
        <v>28</v>
      </c>
      <c r="G100" s="10">
        <v>0</v>
      </c>
      <c r="H100" s="10">
        <f>'[3]Summary'!J66</f>
        <v>111814</v>
      </c>
      <c r="I100" s="16">
        <f>'[4]Monthly Peak'!B29</f>
        <v>213.6</v>
      </c>
      <c r="J100" s="10">
        <v>0</v>
      </c>
      <c r="K100" s="10">
        <f t="shared" si="0"/>
        <v>104643340.95607358</v>
      </c>
      <c r="L100" s="10">
        <f t="shared" si="1"/>
        <v>2417334.143926412</v>
      </c>
      <c r="M100" s="13">
        <f t="shared" si="2"/>
        <v>0.023100697300377115</v>
      </c>
    </row>
    <row r="101" spans="1:13" ht="12.75">
      <c r="A101" s="57">
        <f>EOMONTH(A100,1)</f>
        <v>36250</v>
      </c>
      <c r="B101" s="10">
        <v>116079398.9</v>
      </c>
      <c r="C101" s="1">
        <v>592.5</v>
      </c>
      <c r="D101" s="1">
        <v>0</v>
      </c>
      <c r="E101" s="59">
        <v>106.72898964661303</v>
      </c>
      <c r="F101" s="10">
        <v>31</v>
      </c>
      <c r="G101" s="10">
        <v>1</v>
      </c>
      <c r="H101" s="10">
        <f>'[3]Summary'!J67</f>
        <v>112035</v>
      </c>
      <c r="I101" s="16">
        <f>'[4]Monthly Peak'!B30</f>
        <v>212.1</v>
      </c>
      <c r="J101" s="10">
        <v>0</v>
      </c>
      <c r="K101" s="10">
        <f t="shared" si="0"/>
        <v>112260379.93965924</v>
      </c>
      <c r="L101" s="10">
        <f t="shared" si="1"/>
        <v>3819018.960340768</v>
      </c>
      <c r="M101" s="13">
        <f t="shared" si="2"/>
        <v>0.034019294807246414</v>
      </c>
    </row>
    <row r="102" spans="1:13" ht="12.75">
      <c r="A102" s="57">
        <f>EOMONTH(A101,1)</f>
        <v>36280</v>
      </c>
      <c r="B102" s="10">
        <v>102563424.80000001</v>
      </c>
      <c r="C102" s="1">
        <v>332.6</v>
      </c>
      <c r="D102" s="1">
        <v>0</v>
      </c>
      <c r="E102" s="59">
        <v>107.37520725203085</v>
      </c>
      <c r="F102" s="10">
        <v>30</v>
      </c>
      <c r="G102" s="10">
        <v>1</v>
      </c>
      <c r="H102" s="10">
        <f>'[3]Summary'!J68</f>
        <v>112256</v>
      </c>
      <c r="I102" s="16">
        <f>'[4]Monthly Peak'!B31</f>
        <v>195.7</v>
      </c>
      <c r="J102" s="10">
        <v>0</v>
      </c>
      <c r="K102" s="10">
        <f t="shared" si="0"/>
        <v>102482591.86753441</v>
      </c>
      <c r="L102" s="10">
        <f t="shared" si="1"/>
        <v>80832.93246559799</v>
      </c>
      <c r="M102" s="13">
        <f t="shared" si="2"/>
        <v>0.0007887479326251778</v>
      </c>
    </row>
    <row r="103" spans="1:13" ht="12.75">
      <c r="A103" s="57">
        <f>EOMONTH(A102,1)</f>
        <v>36311</v>
      </c>
      <c r="B103" s="10">
        <v>104198219</v>
      </c>
      <c r="C103" s="1">
        <v>126.7</v>
      </c>
      <c r="D103" s="1">
        <v>10.5</v>
      </c>
      <c r="E103" s="59">
        <v>108.02533754504118</v>
      </c>
      <c r="F103" s="10">
        <v>31</v>
      </c>
      <c r="G103" s="10">
        <v>1</v>
      </c>
      <c r="H103" s="10">
        <f>'[3]Summary'!J69</f>
        <v>112477</v>
      </c>
      <c r="I103" s="16">
        <f>'[4]Monthly Peak'!B32</f>
        <v>210.4</v>
      </c>
      <c r="J103" s="10">
        <v>0</v>
      </c>
      <c r="K103" s="10">
        <f t="shared" si="0"/>
        <v>104849429.15150528</v>
      </c>
      <c r="L103" s="10">
        <f t="shared" si="1"/>
        <v>-651210.1515052766</v>
      </c>
      <c r="M103" s="13">
        <f t="shared" si="2"/>
        <v>-0.00621090793507606</v>
      </c>
    </row>
    <row r="104" spans="1:13" ht="12.75">
      <c r="A104" s="57">
        <f>EOMONTH(A103,1)</f>
        <v>36341</v>
      </c>
      <c r="B104" s="10">
        <v>116697000.7</v>
      </c>
      <c r="C104" s="1">
        <v>44.4</v>
      </c>
      <c r="D104" s="1">
        <v>76.5</v>
      </c>
      <c r="E104" s="59">
        <v>108.6794042159986</v>
      </c>
      <c r="F104" s="10">
        <v>30</v>
      </c>
      <c r="G104" s="10">
        <v>0</v>
      </c>
      <c r="H104" s="10">
        <f>'[3]Summary'!J70</f>
        <v>112698</v>
      </c>
      <c r="I104" s="16">
        <f>'[4]Monthly Peak'!B33</f>
        <v>248.7</v>
      </c>
      <c r="J104" s="10">
        <v>0</v>
      </c>
      <c r="K104" s="10">
        <f t="shared" si="0"/>
        <v>113939279.48894843</v>
      </c>
      <c r="L104" s="10">
        <f t="shared" si="1"/>
        <v>2757721.2110515684</v>
      </c>
      <c r="M104" s="13">
        <f t="shared" si="2"/>
        <v>0.02420342855791935</v>
      </c>
    </row>
    <row r="105" spans="1:13" ht="12.75">
      <c r="A105" s="57">
        <f>EOMONTH(A104,1)</f>
        <v>36372</v>
      </c>
      <c r="B105" s="10">
        <v>119845846.3</v>
      </c>
      <c r="C105" s="1">
        <v>3.2</v>
      </c>
      <c r="D105" s="1">
        <v>138.9</v>
      </c>
      <c r="E105" s="59">
        <v>109.33743109869688</v>
      </c>
      <c r="F105" s="10">
        <v>31</v>
      </c>
      <c r="G105" s="10">
        <v>0</v>
      </c>
      <c r="H105" s="10">
        <f>'[3]Summary'!J71</f>
        <v>112919</v>
      </c>
      <c r="I105" s="16">
        <f>'[4]Monthly Peak'!B34</f>
        <v>255.9</v>
      </c>
      <c r="J105" s="10">
        <v>0</v>
      </c>
      <c r="K105" s="10">
        <f t="shared" si="0"/>
        <v>122956761.43478128</v>
      </c>
      <c r="L105" s="10">
        <f t="shared" si="1"/>
        <v>-3110915.134781286</v>
      </c>
      <c r="M105" s="13">
        <f t="shared" si="2"/>
        <v>-0.025300887063712807</v>
      </c>
    </row>
    <row r="106" spans="1:13" ht="12.75">
      <c r="A106" s="57">
        <f>EOMONTH(A105,1)</f>
        <v>36403</v>
      </c>
      <c r="B106" s="10">
        <v>114278129.30000001</v>
      </c>
      <c r="C106" s="1">
        <v>28.8</v>
      </c>
      <c r="D106" s="1">
        <v>30.9</v>
      </c>
      <c r="E106" s="59">
        <v>109.99944217123755</v>
      </c>
      <c r="F106" s="10">
        <v>31</v>
      </c>
      <c r="G106" s="10">
        <v>0</v>
      </c>
      <c r="H106" s="10">
        <f>'[3]Summary'!J72</f>
        <v>113140</v>
      </c>
      <c r="I106" s="16">
        <f>'[4]Monthly Peak'!B35</f>
        <v>230.5</v>
      </c>
      <c r="J106" s="10">
        <v>0</v>
      </c>
      <c r="K106" s="10">
        <f t="shared" si="0"/>
        <v>109394566.09335873</v>
      </c>
      <c r="L106" s="10">
        <f t="shared" si="1"/>
        <v>4883563.206641287</v>
      </c>
      <c r="M106" s="13">
        <f t="shared" si="2"/>
        <v>0.04464173478665834</v>
      </c>
    </row>
    <row r="107" spans="1:13" ht="12.75">
      <c r="A107" s="57">
        <f>EOMONTH(A106,1)</f>
        <v>36433</v>
      </c>
      <c r="B107" s="10">
        <v>109787767.1</v>
      </c>
      <c r="C107" s="1">
        <v>88.9</v>
      </c>
      <c r="D107" s="1">
        <v>27.7</v>
      </c>
      <c r="E107" s="59">
        <v>110.66546155690358</v>
      </c>
      <c r="F107" s="10">
        <v>30</v>
      </c>
      <c r="G107" s="10">
        <v>1</v>
      </c>
      <c r="H107" s="10">
        <f>'[3]Summary'!J73</f>
        <v>113361</v>
      </c>
      <c r="I107" s="16">
        <f>'[4]Monthly Peak'!B36</f>
        <v>228.6</v>
      </c>
      <c r="J107" s="10">
        <v>0</v>
      </c>
      <c r="K107" s="10">
        <f t="shared" si="0"/>
        <v>107995778.70676646</v>
      </c>
      <c r="L107" s="10">
        <f t="shared" si="1"/>
        <v>1791988.3932335377</v>
      </c>
      <c r="M107" s="13">
        <f t="shared" si="2"/>
        <v>0.01659313368255999</v>
      </c>
    </row>
    <row r="108" spans="1:13" ht="12.75">
      <c r="A108" s="57">
        <f>EOMONTH(A107,1)</f>
        <v>36464</v>
      </c>
      <c r="B108" s="10">
        <v>108457636.1</v>
      </c>
      <c r="C108" s="1">
        <v>319</v>
      </c>
      <c r="D108" s="1">
        <v>0</v>
      </c>
      <c r="E108" s="59">
        <v>111.33551352503846</v>
      </c>
      <c r="F108" s="10">
        <v>31</v>
      </c>
      <c r="G108" s="10">
        <v>1</v>
      </c>
      <c r="H108" s="10">
        <f>'[3]Summary'!J74</f>
        <v>113582</v>
      </c>
      <c r="I108" s="16">
        <f>'[4]Monthly Peak'!B37</f>
        <v>197.7</v>
      </c>
      <c r="J108" s="10">
        <v>0</v>
      </c>
      <c r="K108" s="10">
        <f t="shared" si="0"/>
        <v>107205880.36301708</v>
      </c>
      <c r="L108" s="10">
        <f t="shared" si="1"/>
        <v>1251755.7369829118</v>
      </c>
      <c r="M108" s="13">
        <f t="shared" si="2"/>
        <v>0.011676185417667906</v>
      </c>
    </row>
    <row r="109" spans="1:14" ht="12.75">
      <c r="A109" s="57">
        <f>EOMONTH(A108,1)</f>
        <v>36494</v>
      </c>
      <c r="B109" s="10">
        <v>113412855.9</v>
      </c>
      <c r="C109" s="1">
        <v>405.1</v>
      </c>
      <c r="D109" s="1">
        <v>0</v>
      </c>
      <c r="E109" s="59">
        <v>112.00962249193054</v>
      </c>
      <c r="F109" s="10">
        <v>30</v>
      </c>
      <c r="G109" s="10">
        <v>1</v>
      </c>
      <c r="H109" s="10">
        <f>'[3]Summary'!J75</f>
        <v>113803</v>
      </c>
      <c r="I109" s="16">
        <f>'[4]Monthly Peak'!B38</f>
        <v>218.7</v>
      </c>
      <c r="J109" s="10">
        <v>0</v>
      </c>
      <c r="K109" s="10">
        <f t="shared" si="0"/>
        <v>110468216.59165323</v>
      </c>
      <c r="L109" s="10">
        <f t="shared" si="1"/>
        <v>2944639.308346778</v>
      </c>
      <c r="M109" s="13">
        <f t="shared" si="2"/>
        <v>0.026655986664758657</v>
      </c>
      <c r="N109" t="s">
        <v>29</v>
      </c>
    </row>
    <row r="110" spans="1:13" ht="13.5" thickBot="1">
      <c r="A110" s="57">
        <f>EOMONTH(A109,1)</f>
        <v>36525</v>
      </c>
      <c r="B110" s="10">
        <v>117802224.19999999</v>
      </c>
      <c r="C110" s="1">
        <v>623.7</v>
      </c>
      <c r="D110" s="1">
        <v>0</v>
      </c>
      <c r="E110" s="60">
        <v>112.68781302170287</v>
      </c>
      <c r="F110" s="10">
        <v>31</v>
      </c>
      <c r="G110" s="10">
        <v>0</v>
      </c>
      <c r="H110" s="10">
        <f>'[3]Summary'!J76</f>
        <v>114024</v>
      </c>
      <c r="I110" s="16">
        <f>'[4]Monthly Peak'!B39</f>
        <v>230.4</v>
      </c>
      <c r="J110" s="10">
        <v>0</v>
      </c>
      <c r="K110" s="10">
        <f t="shared" si="0"/>
        <v>119310489.09331772</v>
      </c>
      <c r="L110" s="10">
        <f t="shared" si="1"/>
        <v>-1508264.8933177292</v>
      </c>
      <c r="M110" s="13">
        <f t="shared" si="2"/>
        <v>-0.012641511276833772</v>
      </c>
    </row>
    <row r="111" spans="1:15" ht="12.75">
      <c r="A111" s="57">
        <f>EOMONTH(A110,1)</f>
        <v>36556</v>
      </c>
      <c r="B111" s="10">
        <v>124909563.80000001</v>
      </c>
      <c r="C111" s="1">
        <v>773</v>
      </c>
      <c r="D111" s="1">
        <v>0</v>
      </c>
      <c r="E111" s="59">
        <v>113.20550742744629</v>
      </c>
      <c r="F111" s="10">
        <v>31</v>
      </c>
      <c r="G111" s="10">
        <v>0</v>
      </c>
      <c r="H111" s="10">
        <f>'[3]Summary'!J77</f>
        <v>114285</v>
      </c>
      <c r="I111" s="16">
        <f>'[4]Monthly Peak'!B40</f>
        <v>231.9</v>
      </c>
      <c r="J111" s="10">
        <v>0</v>
      </c>
      <c r="K111" s="10">
        <f t="shared" si="0"/>
        <v>122728356.2867549</v>
      </c>
      <c r="L111" s="10">
        <f t="shared" si="1"/>
        <v>2181207.5132451057</v>
      </c>
      <c r="M111" s="13">
        <f t="shared" si="2"/>
        <v>0.017772645045035063</v>
      </c>
      <c r="N111" s="39" t="s">
        <v>30</v>
      </c>
      <c r="O111" s="39"/>
    </row>
    <row r="112" spans="1:15" ht="12.75">
      <c r="A112" s="57">
        <f>EOMONTH(A111,1)</f>
        <v>36585</v>
      </c>
      <c r="B112" s="10">
        <v>116693943</v>
      </c>
      <c r="C112" s="1">
        <v>643.8</v>
      </c>
      <c r="D112" s="1">
        <v>0</v>
      </c>
      <c r="E112" s="59">
        <v>113.72558015157706</v>
      </c>
      <c r="F112" s="10">
        <v>28</v>
      </c>
      <c r="G112" s="10">
        <v>0</v>
      </c>
      <c r="H112" s="10">
        <f>'[3]Summary'!J78</f>
        <v>114546</v>
      </c>
      <c r="I112" s="16">
        <f>'[4]Monthly Peak'!B41</f>
        <v>222.2</v>
      </c>
      <c r="J112" s="10">
        <v>0</v>
      </c>
      <c r="K112" s="10">
        <f t="shared" si="0"/>
        <v>111780581.96212088</v>
      </c>
      <c r="L112" s="10">
        <f t="shared" si="1"/>
        <v>4913361.037879124</v>
      </c>
      <c r="M112" s="13">
        <f t="shared" si="2"/>
        <v>0.04395540756393723</v>
      </c>
      <c r="N112" s="36" t="s">
        <v>31</v>
      </c>
      <c r="O112" s="36">
        <v>0.9781821764540304</v>
      </c>
    </row>
    <row r="113" spans="1:15" ht="12.75">
      <c r="A113" s="57">
        <f>EOMONTH(A112,1)</f>
        <v>36616</v>
      </c>
      <c r="B113" s="10">
        <v>116756801</v>
      </c>
      <c r="C113" s="1">
        <v>446.9</v>
      </c>
      <c r="D113" s="1">
        <v>0</v>
      </c>
      <c r="E113" s="59">
        <v>114.24804212022897</v>
      </c>
      <c r="F113" s="10">
        <v>31</v>
      </c>
      <c r="G113" s="10">
        <v>1</v>
      </c>
      <c r="H113" s="10">
        <f>'[3]Summary'!J79</f>
        <v>114807</v>
      </c>
      <c r="I113" s="16">
        <f>'[4]Monthly Peak'!B42</f>
        <v>211.1</v>
      </c>
      <c r="J113" s="10">
        <v>0</v>
      </c>
      <c r="K113" s="10">
        <f t="shared" si="0"/>
        <v>113698670.90315992</v>
      </c>
      <c r="L113" s="10">
        <f t="shared" si="1"/>
        <v>3058130.0968400836</v>
      </c>
      <c r="M113" s="13">
        <f t="shared" si="2"/>
        <v>0.026896797232087044</v>
      </c>
      <c r="N113" s="36" t="s">
        <v>32</v>
      </c>
      <c r="O113" s="36">
        <v>0.9568403703323439</v>
      </c>
    </row>
    <row r="114" spans="1:15" ht="12.75">
      <c r="A114" s="57">
        <f>EOMONTH(A113,1)</f>
        <v>36646</v>
      </c>
      <c r="B114" s="10">
        <v>106597677</v>
      </c>
      <c r="C114" s="1">
        <v>358.3</v>
      </c>
      <c r="D114" s="1">
        <v>0</v>
      </c>
      <c r="E114" s="59">
        <v>114.77290430973115</v>
      </c>
      <c r="F114" s="10">
        <v>30</v>
      </c>
      <c r="G114" s="10">
        <v>1</v>
      </c>
      <c r="H114" s="10">
        <f>'[3]Summary'!J80</f>
        <v>115068</v>
      </c>
      <c r="I114" s="16">
        <f>'[4]Monthly Peak'!B43</f>
        <v>212.1</v>
      </c>
      <c r="J114" s="10">
        <v>0</v>
      </c>
      <c r="K114" s="10">
        <f t="shared" si="0"/>
        <v>110139109.05617669</v>
      </c>
      <c r="L114" s="10">
        <f t="shared" si="1"/>
        <v>-3541432.0561766922</v>
      </c>
      <c r="M114" s="13">
        <f t="shared" si="2"/>
        <v>-0.032154173812776854</v>
      </c>
      <c r="N114" s="36" t="s">
        <v>33</v>
      </c>
      <c r="O114" s="36">
        <v>0.95449154694907</v>
      </c>
    </row>
    <row r="115" spans="1:15" ht="12.75">
      <c r="A115" s="57">
        <f>EOMONTH(A114,1)</f>
        <v>36677</v>
      </c>
      <c r="B115" s="10">
        <v>111500528</v>
      </c>
      <c r="C115" s="1">
        <v>152.4</v>
      </c>
      <c r="D115" s="1">
        <v>18.7</v>
      </c>
      <c r="E115" s="59">
        <v>115.30017774683859</v>
      </c>
      <c r="F115" s="10">
        <v>31</v>
      </c>
      <c r="G115" s="10">
        <v>1</v>
      </c>
      <c r="H115" s="10">
        <f>'[3]Summary'!J81</f>
        <v>115329</v>
      </c>
      <c r="I115" s="16">
        <f>'[4]Monthly Peak'!B44</f>
        <v>222.8</v>
      </c>
      <c r="J115" s="10">
        <v>0</v>
      </c>
      <c r="K115" s="10">
        <f t="shared" si="0"/>
        <v>112536679.73278683</v>
      </c>
      <c r="L115" s="10">
        <f t="shared" si="1"/>
        <v>-1036151.7327868342</v>
      </c>
      <c r="M115" s="13">
        <f t="shared" si="2"/>
        <v>-0.00920723567859949</v>
      </c>
      <c r="N115" s="36" t="s">
        <v>34</v>
      </c>
      <c r="O115" s="36">
        <v>3115038.6994524635</v>
      </c>
    </row>
    <row r="116" spans="1:15" ht="13.5" thickBot="1">
      <c r="A116" s="57">
        <f>EOMONTH(A115,1)</f>
        <v>36707</v>
      </c>
      <c r="B116" s="10">
        <v>115580544</v>
      </c>
      <c r="C116" s="1">
        <v>41.1</v>
      </c>
      <c r="D116" s="1">
        <v>35.4</v>
      </c>
      <c r="E116" s="59">
        <v>115.82987350896386</v>
      </c>
      <c r="F116" s="10">
        <v>30</v>
      </c>
      <c r="G116" s="10">
        <v>0</v>
      </c>
      <c r="H116" s="10">
        <f>'[3]Summary'!J82</f>
        <v>115590</v>
      </c>
      <c r="I116" s="16">
        <f>'[4]Monthly Peak'!B45</f>
        <v>246.9</v>
      </c>
      <c r="J116" s="10">
        <v>0</v>
      </c>
      <c r="K116" s="10">
        <f t="shared" si="0"/>
        <v>114001917.31364222</v>
      </c>
      <c r="L116" s="10">
        <f t="shared" si="1"/>
        <v>1578626.6863577813</v>
      </c>
      <c r="M116" s="13">
        <f t="shared" si="2"/>
        <v>0.013847369619360617</v>
      </c>
      <c r="N116" s="37" t="s">
        <v>35</v>
      </c>
      <c r="O116" s="37">
        <v>156</v>
      </c>
    </row>
    <row r="117" spans="1:13" ht="12.75">
      <c r="A117" s="57">
        <f>EOMONTH(A116,1)</f>
        <v>36738</v>
      </c>
      <c r="B117" s="10">
        <v>113052205</v>
      </c>
      <c r="C117" s="1">
        <v>18.6</v>
      </c>
      <c r="D117" s="1">
        <v>44.8</v>
      </c>
      <c r="E117" s="59">
        <v>116.36200272440982</v>
      </c>
      <c r="F117" s="10">
        <v>31</v>
      </c>
      <c r="G117" s="10">
        <v>0</v>
      </c>
      <c r="H117" s="10">
        <f>'[3]Summary'!J83</f>
        <v>115851</v>
      </c>
      <c r="I117" s="16">
        <f>'[4]Monthly Peak'!B46</f>
        <v>227.8</v>
      </c>
      <c r="J117" s="10">
        <v>0</v>
      </c>
      <c r="K117" s="10">
        <f t="shared" si="0"/>
        <v>113862699.95142066</v>
      </c>
      <c r="L117" s="10">
        <f t="shared" si="1"/>
        <v>-810494.9514206648</v>
      </c>
      <c r="M117" s="13">
        <f t="shared" si="2"/>
        <v>-0.007118177873583376</v>
      </c>
    </row>
    <row r="118" spans="1:14" ht="13.5" thickBot="1">
      <c r="A118" s="57">
        <f>EOMONTH(A117,1)</f>
        <v>36769</v>
      </c>
      <c r="B118" s="10">
        <v>120498144</v>
      </c>
      <c r="C118" s="1">
        <v>29.7</v>
      </c>
      <c r="D118" s="1">
        <v>46.3</v>
      </c>
      <c r="E118" s="59">
        <v>116.89657657260338</v>
      </c>
      <c r="F118" s="10">
        <v>31</v>
      </c>
      <c r="G118" s="10">
        <v>0</v>
      </c>
      <c r="H118" s="10">
        <f>'[3]Summary'!J84</f>
        <v>116112</v>
      </c>
      <c r="I118" s="16">
        <f>'[4]Monthly Peak'!B47</f>
        <v>252.1</v>
      </c>
      <c r="J118" s="10">
        <v>0</v>
      </c>
      <c r="K118" s="10">
        <f t="shared" si="0"/>
        <v>118749161.27121061</v>
      </c>
      <c r="L118" s="10">
        <f t="shared" si="1"/>
        <v>1748982.7287893891</v>
      </c>
      <c r="M118" s="13">
        <f t="shared" si="2"/>
        <v>0.014728379637098277</v>
      </c>
      <c r="N118" t="s">
        <v>36</v>
      </c>
    </row>
    <row r="119" spans="1:19" ht="12.75">
      <c r="A119" s="57">
        <f>EOMONTH(A118,1)</f>
        <v>36799</v>
      </c>
      <c r="B119" s="10">
        <v>111937721</v>
      </c>
      <c r="C119" s="1">
        <v>134</v>
      </c>
      <c r="D119" s="1">
        <v>23.8</v>
      </c>
      <c r="E119" s="59">
        <v>117.43360628433041</v>
      </c>
      <c r="F119" s="10">
        <v>30</v>
      </c>
      <c r="G119" s="10">
        <v>1</v>
      </c>
      <c r="H119" s="10">
        <f>'[3]Summary'!J85</f>
        <v>116373</v>
      </c>
      <c r="I119" s="16">
        <f>'[4]Monthly Peak'!B48</f>
        <v>252.8</v>
      </c>
      <c r="J119" s="10">
        <v>0</v>
      </c>
      <c r="K119" s="10">
        <f t="shared" si="0"/>
        <v>116803301.7333771</v>
      </c>
      <c r="L119" s="10">
        <f t="shared" si="1"/>
        <v>-4865580.733377099</v>
      </c>
      <c r="M119" s="13">
        <f t="shared" si="2"/>
        <v>-0.0416561917443361</v>
      </c>
      <c r="N119" s="38"/>
      <c r="O119" s="38" t="s">
        <v>40</v>
      </c>
      <c r="P119" s="38" t="s">
        <v>41</v>
      </c>
      <c r="Q119" s="38" t="s">
        <v>42</v>
      </c>
      <c r="R119" s="38" t="s">
        <v>43</v>
      </c>
      <c r="S119" s="38" t="s">
        <v>44</v>
      </c>
    </row>
    <row r="120" spans="1:19" ht="12.75">
      <c r="A120" s="57">
        <f>EOMONTH(A119,1)</f>
        <v>36830</v>
      </c>
      <c r="B120" s="10">
        <v>112766680</v>
      </c>
      <c r="C120" s="1">
        <v>251.6</v>
      </c>
      <c r="D120" s="1">
        <v>0</v>
      </c>
      <c r="E120" s="59">
        <v>117.97310314197166</v>
      </c>
      <c r="F120" s="10">
        <v>31</v>
      </c>
      <c r="G120" s="10">
        <v>1</v>
      </c>
      <c r="H120" s="10">
        <f>'[3]Summary'!J86</f>
        <v>116634</v>
      </c>
      <c r="I120" s="16">
        <f>'[4]Monthly Peak'!B49</f>
        <v>207.4</v>
      </c>
      <c r="J120" s="10">
        <v>0</v>
      </c>
      <c r="K120" s="10">
        <f t="shared" si="0"/>
        <v>111692500.25073224</v>
      </c>
      <c r="L120" s="10">
        <f t="shared" si="1"/>
        <v>1074179.749267757</v>
      </c>
      <c r="M120" s="13">
        <f t="shared" si="2"/>
        <v>0.009617295224445543</v>
      </c>
      <c r="N120" s="36" t="s">
        <v>37</v>
      </c>
      <c r="O120" s="36">
        <v>8</v>
      </c>
      <c r="P120" s="36">
        <v>31623214114349476</v>
      </c>
      <c r="Q120" s="36">
        <v>3952901764293684.5</v>
      </c>
      <c r="R120" s="36">
        <v>407.37008033302857</v>
      </c>
      <c r="S120" s="36">
        <v>3.000078343675979E-96</v>
      </c>
    </row>
    <row r="121" spans="1:19" ht="12.75">
      <c r="A121" s="57">
        <f>EOMONTH(A120,1)</f>
        <v>36860</v>
      </c>
      <c r="B121" s="10">
        <v>117889023</v>
      </c>
      <c r="C121" s="1">
        <v>470.9</v>
      </c>
      <c r="D121" s="1">
        <v>0</v>
      </c>
      <c r="E121" s="59">
        <v>118.51507847973981</v>
      </c>
      <c r="F121" s="10">
        <v>30</v>
      </c>
      <c r="G121" s="10">
        <v>1</v>
      </c>
      <c r="H121" s="10">
        <f>'[3]Summary'!J87</f>
        <v>116895</v>
      </c>
      <c r="I121" s="16">
        <f>'[4]Monthly Peak'!B50</f>
        <v>235.8</v>
      </c>
      <c r="J121" s="10">
        <v>0</v>
      </c>
      <c r="K121" s="10">
        <f t="shared" si="0"/>
        <v>118716725.33549052</v>
      </c>
      <c r="L121" s="10">
        <f t="shared" si="1"/>
        <v>-827702.3354905248</v>
      </c>
      <c r="M121" s="13">
        <f t="shared" si="2"/>
        <v>-0.006972078560552042</v>
      </c>
      <c r="N121" s="36" t="s">
        <v>38</v>
      </c>
      <c r="O121" s="36">
        <v>147</v>
      </c>
      <c r="P121" s="36">
        <v>1426409516565714.5</v>
      </c>
      <c r="Q121" s="36">
        <v>9703466099086.494</v>
      </c>
      <c r="R121" s="36"/>
      <c r="S121" s="36"/>
    </row>
    <row r="122" spans="1:19" ht="13.5" thickBot="1">
      <c r="A122" s="57">
        <f>EOMONTH(A121,1)</f>
        <v>36891</v>
      </c>
      <c r="B122" s="10">
        <v>123990762</v>
      </c>
      <c r="C122" s="1">
        <v>826.5</v>
      </c>
      <c r="D122" s="1">
        <v>0</v>
      </c>
      <c r="E122" s="60">
        <v>119.05954368391765</v>
      </c>
      <c r="F122" s="10">
        <v>31</v>
      </c>
      <c r="G122" s="10">
        <v>0</v>
      </c>
      <c r="H122" s="10">
        <f>'[3]Summary'!J88</f>
        <v>117156</v>
      </c>
      <c r="I122" s="16">
        <f>'[4]Monthly Peak'!B51</f>
        <v>242.3</v>
      </c>
      <c r="J122" s="10">
        <v>0</v>
      </c>
      <c r="K122" s="10">
        <f t="shared" si="0"/>
        <v>129213562.99745986</v>
      </c>
      <c r="L122" s="10">
        <f t="shared" si="1"/>
        <v>-5222800.997459859</v>
      </c>
      <c r="M122" s="13">
        <f t="shared" si="2"/>
        <v>-0.04041991317554283</v>
      </c>
      <c r="N122" s="37" t="s">
        <v>12</v>
      </c>
      <c r="O122" s="37">
        <v>155</v>
      </c>
      <c r="P122" s="37">
        <v>33049623630915190</v>
      </c>
      <c r="Q122" s="37"/>
      <c r="R122" s="37"/>
      <c r="S122" s="37"/>
    </row>
    <row r="123" spans="1:13" ht="13.5" thickBot="1">
      <c r="A123" s="57">
        <f>EOMONTH(A122,1)</f>
        <v>36922</v>
      </c>
      <c r="B123" s="10">
        <v>127737949</v>
      </c>
      <c r="C123" s="1">
        <v>715</v>
      </c>
      <c r="D123" s="1">
        <v>0</v>
      </c>
      <c r="E123" s="59">
        <v>119.23206305749976</v>
      </c>
      <c r="F123" s="10">
        <v>31</v>
      </c>
      <c r="G123" s="10">
        <v>0</v>
      </c>
      <c r="H123" s="10">
        <f>'[3]Summary'!J89</f>
        <v>117347</v>
      </c>
      <c r="I123" s="16">
        <f>'[4]Monthly Peak'!B52</f>
        <v>236.8</v>
      </c>
      <c r="J123" s="10">
        <v>0</v>
      </c>
      <c r="K123" s="10">
        <f t="shared" si="0"/>
        <v>126296574.25385903</v>
      </c>
      <c r="L123" s="10">
        <f t="shared" si="1"/>
        <v>1441374.7461409718</v>
      </c>
      <c r="M123" s="13">
        <f t="shared" si="2"/>
        <v>0.011412619500223098</v>
      </c>
    </row>
    <row r="124" spans="1:22" ht="12.75">
      <c r="A124" s="57">
        <f>EOMONTH(A123,1)</f>
        <v>36950</v>
      </c>
      <c r="B124" s="10">
        <v>114030713</v>
      </c>
      <c r="C124" s="1">
        <v>620.2</v>
      </c>
      <c r="D124" s="1">
        <v>0</v>
      </c>
      <c r="E124" s="59">
        <v>119.40483241468957</v>
      </c>
      <c r="F124" s="10">
        <v>29</v>
      </c>
      <c r="G124" s="10">
        <v>0</v>
      </c>
      <c r="H124" s="10">
        <f>'[3]Summary'!J90</f>
        <v>117538</v>
      </c>
      <c r="I124" s="16">
        <f>'[4]Monthly Peak'!B53</f>
        <v>228.1</v>
      </c>
      <c r="J124" s="10">
        <v>0</v>
      </c>
      <c r="K124" s="10">
        <f t="shared" si="0"/>
        <v>118376967.5780378</v>
      </c>
      <c r="L124" s="10">
        <f t="shared" si="1"/>
        <v>-4346254.578037798</v>
      </c>
      <c r="M124" s="13">
        <f t="shared" si="2"/>
        <v>-0.03671537349672871</v>
      </c>
      <c r="N124" s="38"/>
      <c r="O124" s="38" t="s">
        <v>45</v>
      </c>
      <c r="P124" s="38" t="s">
        <v>34</v>
      </c>
      <c r="Q124" s="38" t="s">
        <v>46</v>
      </c>
      <c r="R124" s="38" t="s">
        <v>47</v>
      </c>
      <c r="S124" s="38" t="s">
        <v>48</v>
      </c>
      <c r="T124" s="38" t="s">
        <v>49</v>
      </c>
      <c r="U124" s="38" t="s">
        <v>50</v>
      </c>
      <c r="V124" s="38" t="s">
        <v>51</v>
      </c>
    </row>
    <row r="125" spans="1:22" ht="12.75">
      <c r="A125" s="57">
        <f>EOMONTH(A124,1)</f>
        <v>36981</v>
      </c>
      <c r="B125" s="10">
        <v>122670396</v>
      </c>
      <c r="C125" s="1">
        <v>618.7</v>
      </c>
      <c r="D125" s="1">
        <v>0</v>
      </c>
      <c r="E125" s="59">
        <v>119.57785211771773</v>
      </c>
      <c r="F125" s="10">
        <v>31</v>
      </c>
      <c r="G125" s="10">
        <v>1</v>
      </c>
      <c r="H125" s="10">
        <f>'[3]Summary'!J91</f>
        <v>117729</v>
      </c>
      <c r="I125" s="16">
        <f>'[4]Monthly Peak'!B54</f>
        <v>224.2</v>
      </c>
      <c r="J125" s="10">
        <v>0</v>
      </c>
      <c r="K125" s="10">
        <f t="shared" si="0"/>
        <v>122681153.89923266</v>
      </c>
      <c r="L125" s="10">
        <f t="shared" si="1"/>
        <v>-10757.899232655764</v>
      </c>
      <c r="M125" s="13">
        <f t="shared" si="2"/>
        <v>-8.768990909147067E-05</v>
      </c>
      <c r="N125" s="36" t="s">
        <v>39</v>
      </c>
      <c r="O125" s="36">
        <v>-99056218.0853214</v>
      </c>
      <c r="P125" s="36">
        <v>14363427.645354861</v>
      </c>
      <c r="Q125" s="36">
        <v>-6.896419192626087</v>
      </c>
      <c r="R125" s="36">
        <v>1.4694233480453127E-10</v>
      </c>
      <c r="S125" s="36">
        <v>-127441701.76323429</v>
      </c>
      <c r="T125" s="36">
        <v>-70670734.4074085</v>
      </c>
      <c r="U125" s="36">
        <v>-127441701.76323429</v>
      </c>
      <c r="V125" s="36">
        <v>-70670734.4074085</v>
      </c>
    </row>
    <row r="126" spans="1:22" ht="12.75">
      <c r="A126" s="57">
        <f>EOMONTH(A125,1)</f>
        <v>37011</v>
      </c>
      <c r="B126" s="10">
        <v>108161574</v>
      </c>
      <c r="C126" s="1">
        <v>324.6</v>
      </c>
      <c r="D126" s="1">
        <v>0</v>
      </c>
      <c r="E126" s="59">
        <v>119.75112252933975</v>
      </c>
      <c r="F126" s="10">
        <v>30</v>
      </c>
      <c r="G126" s="10">
        <v>1</v>
      </c>
      <c r="H126" s="10">
        <f>'[3]Summary'!J92</f>
        <v>117920</v>
      </c>
      <c r="I126" s="16">
        <f>'[4]Monthly Peak'!B55</f>
        <v>210.2</v>
      </c>
      <c r="J126" s="10">
        <v>0</v>
      </c>
      <c r="K126" s="10">
        <f t="shared" si="0"/>
        <v>112449219.07800731</v>
      </c>
      <c r="L126" s="10">
        <f t="shared" si="1"/>
        <v>-4287645.078007311</v>
      </c>
      <c r="M126" s="13">
        <f t="shared" si="2"/>
        <v>-0.03812961186536046</v>
      </c>
      <c r="N126" s="36" t="s">
        <v>4</v>
      </c>
      <c r="O126" s="36">
        <v>18962.18893314614</v>
      </c>
      <c r="P126" s="36">
        <v>1468.5021317288342</v>
      </c>
      <c r="Q126" s="36">
        <v>12.912605656773806</v>
      </c>
      <c r="R126" s="36">
        <v>5.658273192035515E-26</v>
      </c>
      <c r="S126" s="36">
        <v>16060.086153754914</v>
      </c>
      <c r="T126" s="36">
        <v>21864.291712537364</v>
      </c>
      <c r="U126" s="36">
        <v>16060.086153754914</v>
      </c>
      <c r="V126" s="36">
        <v>21864.291712537364</v>
      </c>
    </row>
    <row r="127" spans="1:22" ht="12.75">
      <c r="A127" s="57">
        <f>EOMONTH(A126,1)</f>
        <v>37042</v>
      </c>
      <c r="B127" s="10">
        <v>110929304</v>
      </c>
      <c r="C127" s="1">
        <v>140.3</v>
      </c>
      <c r="D127" s="1">
        <v>7.7</v>
      </c>
      <c r="E127" s="59">
        <v>119.92464401283681</v>
      </c>
      <c r="F127" s="10">
        <v>31</v>
      </c>
      <c r="G127" s="10">
        <v>1</v>
      </c>
      <c r="H127" s="10">
        <f>'[3]Summary'!J93</f>
        <v>118111</v>
      </c>
      <c r="I127" s="16">
        <f>'[4]Monthly Peak'!B56</f>
        <v>224.7</v>
      </c>
      <c r="J127" s="10">
        <v>0</v>
      </c>
      <c r="K127" s="10">
        <f t="shared" si="0"/>
        <v>114708723.65608045</v>
      </c>
      <c r="L127" s="10">
        <f t="shared" si="1"/>
        <v>-3779419.6560804546</v>
      </c>
      <c r="M127" s="13">
        <f t="shared" si="2"/>
        <v>-0.03294797061304511</v>
      </c>
      <c r="N127" s="36" t="s">
        <v>5</v>
      </c>
      <c r="O127" s="36">
        <v>92888.39716789323</v>
      </c>
      <c r="P127" s="36">
        <v>16174.161319481227</v>
      </c>
      <c r="Q127" s="36">
        <v>5.743011667381623</v>
      </c>
      <c r="R127" s="36">
        <v>5.156123278336078E-08</v>
      </c>
      <c r="S127" s="36">
        <v>60924.48134822179</v>
      </c>
      <c r="T127" s="36">
        <v>124852.31298756467</v>
      </c>
      <c r="U127" s="36">
        <v>60924.48134822179</v>
      </c>
      <c r="V127" s="36">
        <v>124852.31298756467</v>
      </c>
    </row>
    <row r="128" spans="1:22" ht="12.75">
      <c r="A128" s="57">
        <f>EOMONTH(A127,1)</f>
        <v>37072</v>
      </c>
      <c r="B128" s="10">
        <v>120266540</v>
      </c>
      <c r="C128" s="1">
        <v>47</v>
      </c>
      <c r="D128" s="1">
        <v>62.4</v>
      </c>
      <c r="E128" s="59">
        <v>120.09841693201646</v>
      </c>
      <c r="F128" s="10">
        <v>30</v>
      </c>
      <c r="G128" s="10">
        <v>0</v>
      </c>
      <c r="H128" s="10">
        <f>'[3]Summary'!J94</f>
        <v>118302</v>
      </c>
      <c r="I128" s="16">
        <f>'[4]Monthly Peak'!B57</f>
        <v>267.8</v>
      </c>
      <c r="J128" s="10">
        <v>0</v>
      </c>
      <c r="K128" s="10">
        <f aca="true" t="shared" si="3" ref="K128:K191">$O$125+C128*$O$126+D128*$O$127+E128*$O$128+F128*$O$129+G128*$O$130+H128*$O$131+I128*$O$132+J128*$O$133</f>
        <v>123146445.39155552</v>
      </c>
      <c r="L128" s="10">
        <f aca="true" t="shared" si="4" ref="L128:L191">B128-K128</f>
        <v>-2879905.391555518</v>
      </c>
      <c r="M128" s="13">
        <f aca="true" t="shared" si="5" ref="M128:M191">B128/K128-1</f>
        <v>-0.02338602127246625</v>
      </c>
      <c r="N128" s="36" t="s">
        <v>8</v>
      </c>
      <c r="O128" s="36">
        <v>442596.9392647382</v>
      </c>
      <c r="P128" s="36">
        <v>108612.89901700502</v>
      </c>
      <c r="Q128" s="36">
        <v>4.074994252712496</v>
      </c>
      <c r="R128" s="36">
        <v>7.501844018580048E-05</v>
      </c>
      <c r="S128" s="36">
        <v>227952.51396594464</v>
      </c>
      <c r="T128" s="36">
        <v>657241.3645635317</v>
      </c>
      <c r="U128" s="36">
        <v>227952.51396594464</v>
      </c>
      <c r="V128" s="36">
        <v>657241.3645635317</v>
      </c>
    </row>
    <row r="129" spans="1:22" ht="12.75">
      <c r="A129" s="57">
        <f>EOMONTH(A128,1)</f>
        <v>37103</v>
      </c>
      <c r="B129" s="10">
        <v>119101349</v>
      </c>
      <c r="C129" s="1">
        <v>22.3</v>
      </c>
      <c r="D129" s="1">
        <v>65.7</v>
      </c>
      <c r="E129" s="59">
        <v>120.27244165121344</v>
      </c>
      <c r="F129" s="10">
        <v>31</v>
      </c>
      <c r="G129" s="10">
        <v>0</v>
      </c>
      <c r="H129" s="10">
        <f>'[3]Summary'!J95</f>
        <v>118493</v>
      </c>
      <c r="I129" s="16">
        <f>'[4]Monthly Peak'!B58</f>
        <v>264</v>
      </c>
      <c r="J129" s="10">
        <v>0</v>
      </c>
      <c r="K129" s="10">
        <f t="shared" si="3"/>
        <v>124859562.25972417</v>
      </c>
      <c r="L129" s="10">
        <f t="shared" si="4"/>
        <v>-5758213.25972417</v>
      </c>
      <c r="M129" s="13">
        <f t="shared" si="5"/>
        <v>-0.0461175191992611</v>
      </c>
      <c r="N129" s="36" t="s">
        <v>6</v>
      </c>
      <c r="O129" s="36">
        <v>2383041.3540534102</v>
      </c>
      <c r="P129" s="36">
        <v>318825.9917737179</v>
      </c>
      <c r="Q129" s="36">
        <v>7.474426224775108</v>
      </c>
      <c r="R129" s="36">
        <v>6.426693020522423E-12</v>
      </c>
      <c r="S129" s="36">
        <v>1752966.819684586</v>
      </c>
      <c r="T129" s="36">
        <v>3013115.8884222344</v>
      </c>
      <c r="U129" s="36">
        <v>1752966.819684586</v>
      </c>
      <c r="V129" s="36">
        <v>3013115.8884222344</v>
      </c>
    </row>
    <row r="130" spans="1:22" ht="12.75">
      <c r="A130" s="57">
        <f>EOMONTH(A129,1)</f>
        <v>37134</v>
      </c>
      <c r="B130" s="10">
        <v>132583402</v>
      </c>
      <c r="C130" s="1">
        <v>2.3</v>
      </c>
      <c r="D130" s="1">
        <v>94.2</v>
      </c>
      <c r="E130" s="59">
        <v>120.4467185352904</v>
      </c>
      <c r="F130" s="10">
        <v>31</v>
      </c>
      <c r="G130" s="10">
        <v>0</v>
      </c>
      <c r="H130" s="10">
        <f>'[3]Summary'!J96</f>
        <v>118684</v>
      </c>
      <c r="I130" s="16">
        <f>'[4]Monthly Peak'!B59</f>
        <v>286.5</v>
      </c>
      <c r="J130" s="10">
        <v>0</v>
      </c>
      <c r="K130" s="10">
        <f t="shared" si="3"/>
        <v>131167212.17772844</v>
      </c>
      <c r="L130" s="10">
        <f t="shared" si="4"/>
        <v>1416189.8222715557</v>
      </c>
      <c r="M130" s="13">
        <f t="shared" si="5"/>
        <v>0.010796827947769927</v>
      </c>
      <c r="N130" s="36" t="s">
        <v>28</v>
      </c>
      <c r="O130" s="36">
        <v>92372.91912296708</v>
      </c>
      <c r="P130" s="36">
        <v>705628.4536849199</v>
      </c>
      <c r="Q130" s="36">
        <v>0.1309087220626931</v>
      </c>
      <c r="R130" s="36">
        <v>0.8960264981947673</v>
      </c>
      <c r="S130" s="36">
        <v>-1302113.511922048</v>
      </c>
      <c r="T130" s="36">
        <v>1486859.3501679823</v>
      </c>
      <c r="U130" s="36">
        <v>-1302113.511922048</v>
      </c>
      <c r="V130" s="36">
        <v>1486859.3501679823</v>
      </c>
    </row>
    <row r="131" spans="1:22" ht="12.75">
      <c r="A131" s="57">
        <f>EOMONTH(A130,1)</f>
        <v>37164</v>
      </c>
      <c r="B131" s="10">
        <v>113406955</v>
      </c>
      <c r="C131" s="1">
        <v>118.8</v>
      </c>
      <c r="D131" s="1">
        <v>19.2</v>
      </c>
      <c r="E131" s="59">
        <v>120.62124794963869</v>
      </c>
      <c r="F131" s="10">
        <v>30</v>
      </c>
      <c r="G131" s="10">
        <v>1</v>
      </c>
      <c r="H131" s="10">
        <f>'[3]Summary'!J97</f>
        <v>118875</v>
      </c>
      <c r="I131" s="16">
        <f>'[4]Monthly Peak'!B60</f>
        <v>232.7</v>
      </c>
      <c r="J131" s="10">
        <v>0</v>
      </c>
      <c r="K131" s="10">
        <f t="shared" si="3"/>
        <v>114965604.38010752</v>
      </c>
      <c r="L131" s="10">
        <f t="shared" si="4"/>
        <v>-1558649.380107522</v>
      </c>
      <c r="M131" s="13">
        <f t="shared" si="5"/>
        <v>-0.013557527823314874</v>
      </c>
      <c r="N131" s="36" t="s">
        <v>87</v>
      </c>
      <c r="O131" s="36">
        <v>376.6907712201974</v>
      </c>
      <c r="P131" s="36">
        <v>187.0646162428429</v>
      </c>
      <c r="Q131" s="36">
        <v>2.013693336484257</v>
      </c>
      <c r="R131" s="36">
        <v>0.04586652536909154</v>
      </c>
      <c r="S131" s="36">
        <v>7.007451738062059</v>
      </c>
      <c r="T131" s="36">
        <v>746.3740907023328</v>
      </c>
      <c r="U131" s="36">
        <v>7.007451738062059</v>
      </c>
      <c r="V131" s="36">
        <v>746.3740907023328</v>
      </c>
    </row>
    <row r="132" spans="1:22" ht="12.75">
      <c r="A132" s="57">
        <f>EOMONTH(A131,1)</f>
        <v>37195</v>
      </c>
      <c r="B132" s="10">
        <v>118039640</v>
      </c>
      <c r="C132" s="1">
        <v>276.7</v>
      </c>
      <c r="D132" s="1">
        <v>0</v>
      </c>
      <c r="E132" s="59">
        <v>120.79603026017911</v>
      </c>
      <c r="F132" s="10">
        <v>31</v>
      </c>
      <c r="G132" s="10">
        <v>1</v>
      </c>
      <c r="H132" s="10">
        <f>'[3]Summary'!J98</f>
        <v>119066</v>
      </c>
      <c r="I132" s="16">
        <f>'[4]Monthly Peak'!B61</f>
        <v>211</v>
      </c>
      <c r="J132" s="10">
        <v>0</v>
      </c>
      <c r="K132" s="10">
        <f t="shared" si="3"/>
        <v>114956460.77478412</v>
      </c>
      <c r="L132" s="10">
        <f t="shared" si="4"/>
        <v>3083179.225215882</v>
      </c>
      <c r="M132" s="13">
        <f t="shared" si="5"/>
        <v>0.026820408391454054</v>
      </c>
      <c r="N132" s="36" t="s">
        <v>7</v>
      </c>
      <c r="O132" s="36">
        <v>172910.75664898247</v>
      </c>
      <c r="P132" s="36">
        <v>19699.023716314423</v>
      </c>
      <c r="Q132" s="36">
        <v>8.77763076683747</v>
      </c>
      <c r="R132" s="36">
        <v>3.907195273294753E-15</v>
      </c>
      <c r="S132" s="36">
        <v>133980.89046546764</v>
      </c>
      <c r="T132" s="36">
        <v>211840.6228324973</v>
      </c>
      <c r="U132" s="36">
        <v>133980.89046546764</v>
      </c>
      <c r="V132" s="36">
        <v>211840.6228324973</v>
      </c>
    </row>
    <row r="133" spans="1:22" ht="13.5" thickBot="1">
      <c r="A133" s="57">
        <f>EOMONTH(A132,1)</f>
        <v>37225</v>
      </c>
      <c r="B133" s="10">
        <v>117162207</v>
      </c>
      <c r="C133" s="1">
        <v>370.8</v>
      </c>
      <c r="D133" s="1">
        <v>0</v>
      </c>
      <c r="E133" s="59">
        <v>120.9710658333627</v>
      </c>
      <c r="F133" s="10">
        <v>30</v>
      </c>
      <c r="G133" s="10">
        <v>1</v>
      </c>
      <c r="H133" s="10">
        <f>'[3]Summary'!J99</f>
        <v>119257</v>
      </c>
      <c r="I133" s="16">
        <f>'[4]Monthly Peak'!B62</f>
        <v>223.5</v>
      </c>
      <c r="J133" s="10">
        <v>0</v>
      </c>
      <c r="K133" s="10">
        <f t="shared" si="3"/>
        <v>116668564.00370862</v>
      </c>
      <c r="L133" s="10">
        <f t="shared" si="4"/>
        <v>493642.9962913841</v>
      </c>
      <c r="M133" s="13">
        <f t="shared" si="5"/>
        <v>0.004231156871663311</v>
      </c>
      <c r="N133" s="37" t="s">
        <v>151</v>
      </c>
      <c r="O133" s="37">
        <v>-292802.87564610556</v>
      </c>
      <c r="P133" s="37">
        <v>42878.63758065092</v>
      </c>
      <c r="Q133" s="37">
        <v>-6.828642236950027</v>
      </c>
      <c r="R133" s="37">
        <v>2.1048374790799872E-10</v>
      </c>
      <c r="S133" s="37">
        <v>-377541.0660856508</v>
      </c>
      <c r="T133" s="37">
        <v>-208064.68520656033</v>
      </c>
      <c r="U133" s="37">
        <v>-377541.0660856508</v>
      </c>
      <c r="V133" s="37">
        <v>-208064.68520656033</v>
      </c>
    </row>
    <row r="134" spans="1:13" ht="12.75">
      <c r="A134" s="57">
        <f>EOMONTH(A133,1)</f>
        <v>37256</v>
      </c>
      <c r="B134" s="10">
        <v>116887701</v>
      </c>
      <c r="C134" s="1">
        <v>563.3</v>
      </c>
      <c r="D134" s="1">
        <v>0</v>
      </c>
      <c r="E134" s="60">
        <v>121.1463550361714</v>
      </c>
      <c r="F134" s="10">
        <v>31</v>
      </c>
      <c r="G134" s="10">
        <v>0</v>
      </c>
      <c r="H134" s="10">
        <f>'[3]Summary'!J100</f>
        <v>119448</v>
      </c>
      <c r="I134" s="16">
        <f>'[4]Monthly Peak'!B63</f>
        <v>227.8</v>
      </c>
      <c r="J134" s="10">
        <v>0</v>
      </c>
      <c r="K134" s="10">
        <f t="shared" si="3"/>
        <v>123502500.46381265</v>
      </c>
      <c r="L134" s="10">
        <f t="shared" si="4"/>
        <v>-6614799.463812649</v>
      </c>
      <c r="M134" s="13">
        <f t="shared" si="5"/>
        <v>-0.0535600448490583</v>
      </c>
    </row>
    <row r="135" spans="1:34" s="14" customFormat="1" ht="12.75">
      <c r="A135" s="57">
        <f>EOMONTH(A134,1)</f>
        <v>37287</v>
      </c>
      <c r="B135" s="10">
        <v>128380096</v>
      </c>
      <c r="C135" s="1">
        <v>625.7</v>
      </c>
      <c r="D135" s="1">
        <v>0</v>
      </c>
      <c r="E135" s="59">
        <v>121.50450639216388</v>
      </c>
      <c r="F135" s="10">
        <v>31</v>
      </c>
      <c r="G135" s="10">
        <v>0</v>
      </c>
      <c r="H135" s="10">
        <f>'[3]Summary'!J101</f>
        <v>119682</v>
      </c>
      <c r="I135" s="16">
        <f>'[4]Monthly Peak'!B64</f>
        <v>229.1</v>
      </c>
      <c r="J135" s="10">
        <v>0</v>
      </c>
      <c r="K135" s="10">
        <f t="shared" si="3"/>
        <v>125157187.37130597</v>
      </c>
      <c r="L135" s="10">
        <f t="shared" si="4"/>
        <v>3222908.6286940277</v>
      </c>
      <c r="M135" s="13">
        <f t="shared" si="5"/>
        <v>0.025750887315265203</v>
      </c>
      <c r="N135"/>
      <c r="O135"/>
      <c r="P135"/>
      <c r="Q135"/>
      <c r="R135"/>
      <c r="S135"/>
      <c r="T135"/>
      <c r="U135"/>
      <c r="V135"/>
      <c r="W135"/>
      <c r="X135"/>
      <c r="Y135"/>
      <c r="Z135" s="6"/>
      <c r="AA135" s="11"/>
      <c r="AB135" s="11"/>
      <c r="AC135" s="11"/>
      <c r="AD135" s="11"/>
      <c r="AE135" s="11"/>
      <c r="AF135" s="11"/>
      <c r="AG135" s="11"/>
      <c r="AH135" s="11"/>
    </row>
    <row r="136" spans="1:13" ht="12.75">
      <c r="A136" s="57">
        <f>EOMONTH(A135,1)</f>
        <v>37315</v>
      </c>
      <c r="B136" s="10">
        <v>117791339</v>
      </c>
      <c r="C136" s="1">
        <v>592</v>
      </c>
      <c r="D136" s="1">
        <v>0</v>
      </c>
      <c r="E136" s="59">
        <v>121.86371656989111</v>
      </c>
      <c r="F136" s="10">
        <v>28</v>
      </c>
      <c r="G136" s="10">
        <v>0</v>
      </c>
      <c r="H136" s="10">
        <f>'[3]Summary'!J102</f>
        <v>119916</v>
      </c>
      <c r="I136" s="16">
        <f>'[4]Monthly Peak'!B65</f>
        <v>238.1</v>
      </c>
      <c r="J136" s="10">
        <v>0</v>
      </c>
      <c r="K136" s="10">
        <f t="shared" si="3"/>
        <v>119172365.31761989</v>
      </c>
      <c r="L136" s="10">
        <f t="shared" si="4"/>
        <v>-1381026.31761989</v>
      </c>
      <c r="M136" s="13">
        <f t="shared" si="5"/>
        <v>-0.011588477865142277</v>
      </c>
    </row>
    <row r="137" spans="1:13" ht="12.75">
      <c r="A137" s="57">
        <f>EOMONTH(A136,1)</f>
        <v>37346</v>
      </c>
      <c r="B137" s="10">
        <v>125657099</v>
      </c>
      <c r="C137" s="1">
        <v>581.2</v>
      </c>
      <c r="D137" s="1">
        <v>0</v>
      </c>
      <c r="E137" s="59">
        <v>122.22398869960362</v>
      </c>
      <c r="F137" s="10">
        <v>31</v>
      </c>
      <c r="G137" s="10">
        <v>1</v>
      </c>
      <c r="H137" s="10">
        <f>'[3]Summary'!J103</f>
        <v>120150</v>
      </c>
      <c r="I137" s="16">
        <f>'[4]Monthly Peak'!B66</f>
        <v>232.9</v>
      </c>
      <c r="J137" s="10">
        <v>0</v>
      </c>
      <c r="K137" s="10">
        <f t="shared" si="3"/>
        <v>125557535.70622906</v>
      </c>
      <c r="L137" s="10">
        <f t="shared" si="4"/>
        <v>99563.29377093911</v>
      </c>
      <c r="M137" s="13">
        <f t="shared" si="5"/>
        <v>0.00079296947977614</v>
      </c>
    </row>
    <row r="138" spans="1:13" ht="12.75">
      <c r="A138" s="57">
        <f>EOMONTH(A137,1)</f>
        <v>37376</v>
      </c>
      <c r="B138" s="10">
        <v>119793772</v>
      </c>
      <c r="C138" s="1">
        <v>356.2</v>
      </c>
      <c r="D138" s="1">
        <v>6.6</v>
      </c>
      <c r="E138" s="59">
        <v>122.58532592080604</v>
      </c>
      <c r="F138" s="10">
        <v>30</v>
      </c>
      <c r="G138" s="10">
        <v>1</v>
      </c>
      <c r="H138" s="10">
        <f>'[3]Summary'!J104</f>
        <v>120384</v>
      </c>
      <c r="I138" s="16">
        <f>'[4]Monthly Peak'!B67</f>
        <v>226.5</v>
      </c>
      <c r="J138" s="10">
        <v>0</v>
      </c>
      <c r="K138" s="10">
        <f t="shared" si="3"/>
        <v>118662508.80958453</v>
      </c>
      <c r="L138" s="10">
        <f t="shared" si="4"/>
        <v>1131263.1904154718</v>
      </c>
      <c r="M138" s="13">
        <f t="shared" si="5"/>
        <v>0.009533450807371668</v>
      </c>
    </row>
    <row r="139" spans="1:13" ht="12.75">
      <c r="A139" s="57">
        <f>EOMONTH(A138,1)</f>
        <v>37407</v>
      </c>
      <c r="B139" s="10">
        <v>120443399.99999999</v>
      </c>
      <c r="C139" s="1">
        <v>266.8</v>
      </c>
      <c r="D139" s="1">
        <v>5.3</v>
      </c>
      <c r="E139" s="59">
        <v>122.9477313822845</v>
      </c>
      <c r="F139" s="10">
        <v>31</v>
      </c>
      <c r="G139" s="10">
        <v>1</v>
      </c>
      <c r="H139" s="10">
        <f>'[3]Summary'!J105</f>
        <v>120618</v>
      </c>
      <c r="I139" s="16">
        <f>'[4]Monthly Peak'!B68</f>
        <v>236.2</v>
      </c>
      <c r="J139" s="10">
        <v>0</v>
      </c>
      <c r="K139" s="10">
        <f t="shared" si="3"/>
        <v>121155355.08468026</v>
      </c>
      <c r="L139" s="10">
        <f t="shared" si="4"/>
        <v>-711955.0846802741</v>
      </c>
      <c r="M139" s="13">
        <f t="shared" si="5"/>
        <v>-0.005876381478826631</v>
      </c>
    </row>
    <row r="140" spans="1:13" ht="12.75">
      <c r="A140" s="57">
        <f>EOMONTH(A139,1)</f>
        <v>37437</v>
      </c>
      <c r="B140" s="10">
        <v>125484770</v>
      </c>
      <c r="C140" s="1">
        <v>53.1</v>
      </c>
      <c r="D140" s="1">
        <v>54.5</v>
      </c>
      <c r="E140" s="59">
        <v>123.31120824213403</v>
      </c>
      <c r="F140" s="10">
        <v>30</v>
      </c>
      <c r="G140" s="10">
        <v>0</v>
      </c>
      <c r="H140" s="10">
        <f>'[3]Summary'!J106</f>
        <v>120852</v>
      </c>
      <c r="I140" s="16">
        <f>'[4]Monthly Peak'!B69</f>
        <v>277.2</v>
      </c>
      <c r="J140" s="10">
        <v>0</v>
      </c>
      <c r="K140" s="10">
        <f t="shared" si="3"/>
        <v>126536190.58588767</v>
      </c>
      <c r="L140" s="10">
        <f t="shared" si="4"/>
        <v>-1051420.5858876705</v>
      </c>
      <c r="M140" s="13">
        <f t="shared" si="5"/>
        <v>-0.008309247978933065</v>
      </c>
    </row>
    <row r="141" spans="1:13" ht="12.75">
      <c r="A141" s="57">
        <f>EOMONTH(A140,1)</f>
        <v>37468</v>
      </c>
      <c r="B141" s="10">
        <v>140900710</v>
      </c>
      <c r="C141" s="1">
        <v>4.7</v>
      </c>
      <c r="D141" s="1">
        <v>129</v>
      </c>
      <c r="E141" s="59">
        <v>123.67575966778612</v>
      </c>
      <c r="F141" s="10">
        <v>31</v>
      </c>
      <c r="G141" s="10">
        <v>0</v>
      </c>
      <c r="H141" s="10">
        <f>'[3]Summary'!J107</f>
        <v>121086</v>
      </c>
      <c r="I141" s="16">
        <f>'[4]Monthly Peak'!B70</f>
        <v>287.9</v>
      </c>
      <c r="J141" s="10">
        <v>0</v>
      </c>
      <c r="K141" s="10">
        <f t="shared" si="3"/>
        <v>137021287.66639268</v>
      </c>
      <c r="L141" s="10">
        <f t="shared" si="4"/>
        <v>3879422.333607316</v>
      </c>
      <c r="M141" s="13">
        <f t="shared" si="5"/>
        <v>0.028312552010550274</v>
      </c>
    </row>
    <row r="142" spans="1:13" ht="12.75">
      <c r="A142" s="57">
        <f>EOMONTH(A141,1)</f>
        <v>37499</v>
      </c>
      <c r="B142" s="10">
        <v>136973540</v>
      </c>
      <c r="C142" s="1">
        <v>11</v>
      </c>
      <c r="D142" s="1">
        <v>72.3</v>
      </c>
      <c r="E142" s="59">
        <v>124.04138883603632</v>
      </c>
      <c r="F142" s="10">
        <v>31</v>
      </c>
      <c r="G142" s="10">
        <v>0</v>
      </c>
      <c r="H142" s="10">
        <f>'[3]Summary'!J108</f>
        <v>121320</v>
      </c>
      <c r="I142" s="16">
        <f>'[4]Monthly Peak'!B71</f>
        <v>288.3</v>
      </c>
      <c r="J142" s="10">
        <v>0</v>
      </c>
      <c r="K142" s="10">
        <f t="shared" si="3"/>
        <v>132193113.63115054</v>
      </c>
      <c r="L142" s="10">
        <f t="shared" si="4"/>
        <v>4780426.368849456</v>
      </c>
      <c r="M142" s="13">
        <f t="shared" si="5"/>
        <v>0.036162446269235815</v>
      </c>
    </row>
    <row r="143" spans="1:13" ht="12.75">
      <c r="A143" s="57">
        <f>EOMONTH(A142,1)</f>
        <v>37529</v>
      </c>
      <c r="B143" s="10">
        <v>126481700</v>
      </c>
      <c r="C143" s="1">
        <v>50.2</v>
      </c>
      <c r="D143" s="1">
        <v>47</v>
      </c>
      <c r="E143" s="59">
        <v>124.40809893307186</v>
      </c>
      <c r="F143" s="10">
        <v>30</v>
      </c>
      <c r="G143" s="10">
        <v>1</v>
      </c>
      <c r="H143" s="10">
        <f>'[3]Summary'!J109</f>
        <v>121554</v>
      </c>
      <c r="I143" s="16">
        <f>'[4]Monthly Peak'!B72</f>
        <v>285.6</v>
      </c>
      <c r="J143" s="10">
        <v>0</v>
      </c>
      <c r="K143" s="10">
        <f t="shared" si="3"/>
        <v>128079277.9181104</v>
      </c>
      <c r="L143" s="10">
        <f t="shared" si="4"/>
        <v>-1597577.9181104004</v>
      </c>
      <c r="M143" s="13">
        <f t="shared" si="5"/>
        <v>-0.012473352005715088</v>
      </c>
    </row>
    <row r="144" spans="1:13" ht="12.75">
      <c r="A144" s="57">
        <f>EOMONTH(A143,1)</f>
        <v>37560</v>
      </c>
      <c r="B144" s="10">
        <v>124987330</v>
      </c>
      <c r="C144" s="1">
        <v>345.6</v>
      </c>
      <c r="D144" s="1">
        <v>6.3</v>
      </c>
      <c r="E144" s="59">
        <v>124.7758931544995</v>
      </c>
      <c r="F144" s="10">
        <v>31</v>
      </c>
      <c r="G144" s="10">
        <v>1</v>
      </c>
      <c r="H144" s="10">
        <f>'[3]Summary'!J110</f>
        <v>121788</v>
      </c>
      <c r="I144" s="16">
        <f>'[4]Monthly Peak'!B73</f>
        <v>238.7</v>
      </c>
      <c r="J144" s="10">
        <v>0</v>
      </c>
      <c r="K144" s="10">
        <f t="shared" si="3"/>
        <v>124424607.8685933</v>
      </c>
      <c r="L144" s="10">
        <f t="shared" si="4"/>
        <v>562722.1314066947</v>
      </c>
      <c r="M144" s="13">
        <f t="shared" si="5"/>
        <v>0.004522595176679189</v>
      </c>
    </row>
    <row r="145" spans="1:13" ht="12.75">
      <c r="A145" s="57">
        <f>EOMONTH(A144,1)</f>
        <v>37590</v>
      </c>
      <c r="B145" s="10">
        <v>124898770</v>
      </c>
      <c r="C145" s="1">
        <v>486.4</v>
      </c>
      <c r="D145" s="1">
        <v>0</v>
      </c>
      <c r="E145" s="59">
        <v>125.14477470537335</v>
      </c>
      <c r="F145" s="10">
        <v>30</v>
      </c>
      <c r="G145" s="10">
        <v>1</v>
      </c>
      <c r="H145" s="10">
        <f>'[3]Summary'!J111</f>
        <v>122022</v>
      </c>
      <c r="I145" s="16">
        <f>'[4]Monthly Peak'!B74</f>
        <v>238</v>
      </c>
      <c r="J145" s="10">
        <v>0</v>
      </c>
      <c r="K145" s="10">
        <f t="shared" si="3"/>
        <v>124256619.77034838</v>
      </c>
      <c r="L145" s="10">
        <f t="shared" si="4"/>
        <v>642150.229651615</v>
      </c>
      <c r="M145" s="13">
        <f t="shared" si="5"/>
        <v>0.005167935767433907</v>
      </c>
    </row>
    <row r="146" spans="1:34" s="34" customFormat="1" ht="12.75">
      <c r="A146" s="57">
        <f>EOMONTH(A145,1)</f>
        <v>37621</v>
      </c>
      <c r="B146" s="10">
        <v>127352230</v>
      </c>
      <c r="C146" s="1">
        <v>675.6</v>
      </c>
      <c r="D146" s="1">
        <v>0</v>
      </c>
      <c r="E146" s="60">
        <v>125.51474680022261</v>
      </c>
      <c r="F146" s="10">
        <v>31</v>
      </c>
      <c r="G146" s="10">
        <v>0</v>
      </c>
      <c r="H146" s="10">
        <f>'[3]Summary'!J112</f>
        <v>122256</v>
      </c>
      <c r="I146" s="16">
        <f>'[4]Monthly Peak'!B75</f>
        <v>246.6</v>
      </c>
      <c r="J146" s="10">
        <v>0</v>
      </c>
      <c r="K146" s="10">
        <f t="shared" si="3"/>
        <v>131873861.01587048</v>
      </c>
      <c r="L146" s="10">
        <f t="shared" si="4"/>
        <v>-4521631.015870482</v>
      </c>
      <c r="M146" s="13">
        <f t="shared" si="5"/>
        <v>-0.03428754554571145</v>
      </c>
      <c r="N146"/>
      <c r="O146"/>
      <c r="P146"/>
      <c r="Q146"/>
      <c r="R146"/>
      <c r="S146"/>
      <c r="T146"/>
      <c r="U146"/>
      <c r="V146"/>
      <c r="W146"/>
      <c r="X146"/>
      <c r="Y146"/>
      <c r="Z146" s="6"/>
      <c r="AA146" s="29"/>
      <c r="AB146" s="29"/>
      <c r="AC146" s="29"/>
      <c r="AD146" s="29"/>
      <c r="AE146" s="29"/>
      <c r="AF146" s="29"/>
      <c r="AG146" s="29"/>
      <c r="AH146" s="29"/>
    </row>
    <row r="147" spans="1:28" ht="12.75">
      <c r="A147" s="57">
        <f>EOMONTH(A146,1)</f>
        <v>37652</v>
      </c>
      <c r="B147" s="10">
        <v>136012740</v>
      </c>
      <c r="C147" s="1">
        <v>868.4</v>
      </c>
      <c r="D147" s="1">
        <v>0</v>
      </c>
      <c r="E147" s="59">
        <v>125.66024937363977</v>
      </c>
      <c r="F147" s="10">
        <v>31</v>
      </c>
      <c r="G147" s="10">
        <v>0</v>
      </c>
      <c r="H147" s="10">
        <f>'[3]Summary'!J113</f>
        <v>122425</v>
      </c>
      <c r="I147" s="16">
        <f>'[4]Monthly Peak'!B76</f>
        <v>247.2</v>
      </c>
      <c r="J147" s="10">
        <v>0</v>
      </c>
      <c r="K147" s="10">
        <f t="shared" si="3"/>
        <v>135761577.23015624</v>
      </c>
      <c r="L147" s="10">
        <f t="shared" si="4"/>
        <v>251162.76984375715</v>
      </c>
      <c r="M147" s="13">
        <f t="shared" si="5"/>
        <v>0.0018500283730349398</v>
      </c>
      <c r="AA147" s="11"/>
      <c r="AB147" s="11"/>
    </row>
    <row r="148" spans="1:13" ht="12.75">
      <c r="A148" s="57">
        <f>EOMONTH(A147,1)</f>
        <v>37680</v>
      </c>
      <c r="B148" s="10">
        <v>124189300</v>
      </c>
      <c r="C148" s="1">
        <v>755.9</v>
      </c>
      <c r="D148" s="1">
        <v>0</v>
      </c>
      <c r="E148" s="59">
        <v>125.80592062045517</v>
      </c>
      <c r="F148" s="10">
        <v>28</v>
      </c>
      <c r="G148" s="10">
        <v>0</v>
      </c>
      <c r="H148" s="10">
        <f>'[3]Summary'!J114</f>
        <v>122594</v>
      </c>
      <c r="I148" s="16">
        <f>'[4]Monthly Peak'!B77</f>
        <v>242.8</v>
      </c>
      <c r="J148" s="10">
        <v>0</v>
      </c>
      <c r="K148" s="10">
        <f t="shared" si="3"/>
        <v>125846533.97207715</v>
      </c>
      <c r="L148" s="10">
        <f t="shared" si="4"/>
        <v>-1657233.9720771462</v>
      </c>
      <c r="M148" s="13">
        <f t="shared" si="5"/>
        <v>-0.013168689830145408</v>
      </c>
    </row>
    <row r="149" spans="1:13" ht="12.75">
      <c r="A149" s="57">
        <f>EOMONTH(A148,1)</f>
        <v>37711</v>
      </c>
      <c r="B149" s="10">
        <v>130304230</v>
      </c>
      <c r="C149" s="1">
        <v>638.7</v>
      </c>
      <c r="D149" s="1">
        <v>0</v>
      </c>
      <c r="E149" s="59">
        <v>125.9517607362029</v>
      </c>
      <c r="F149" s="10">
        <v>31</v>
      </c>
      <c r="G149" s="10">
        <v>1</v>
      </c>
      <c r="H149" s="10">
        <f>'[3]Summary'!J115</f>
        <v>122763</v>
      </c>
      <c r="I149" s="16">
        <f>'[4]Monthly Peak'!B78</f>
        <v>237.8</v>
      </c>
      <c r="J149" s="10">
        <v>0</v>
      </c>
      <c r="K149" s="10">
        <f t="shared" si="3"/>
        <v>130129317.75633886</v>
      </c>
      <c r="L149" s="10">
        <f t="shared" si="4"/>
        <v>174912.24366113544</v>
      </c>
      <c r="M149" s="13">
        <f t="shared" si="5"/>
        <v>0.0013441417097770358</v>
      </c>
    </row>
    <row r="150" spans="1:13" ht="12.75">
      <c r="A150" s="57">
        <f>EOMONTH(A149,1)</f>
        <v>37741</v>
      </c>
      <c r="B150" s="10">
        <v>119866539.99999999</v>
      </c>
      <c r="C150" s="1">
        <v>397.4</v>
      </c>
      <c r="D150" s="1">
        <v>0.7</v>
      </c>
      <c r="E150" s="59">
        <v>126.09776991664374</v>
      </c>
      <c r="F150" s="10">
        <v>30</v>
      </c>
      <c r="G150" s="10">
        <v>1</v>
      </c>
      <c r="H150" s="10">
        <f>'[3]Summary'!J116</f>
        <v>122932</v>
      </c>
      <c r="I150" s="16">
        <f>'[4]Monthly Peak'!B79</f>
        <v>231.1</v>
      </c>
      <c r="J150" s="10">
        <v>0</v>
      </c>
      <c r="K150" s="10">
        <f t="shared" si="3"/>
        <v>122205503.97789054</v>
      </c>
      <c r="L150" s="10">
        <f t="shared" si="4"/>
        <v>-2338963.977890551</v>
      </c>
      <c r="M150" s="13">
        <f t="shared" si="5"/>
        <v>-0.019139596022726746</v>
      </c>
    </row>
    <row r="151" spans="1:13" ht="12.75">
      <c r="A151" s="57">
        <f>EOMONTH(A150,1)</f>
        <v>37772</v>
      </c>
      <c r="B151" s="10">
        <v>118911520</v>
      </c>
      <c r="C151" s="1">
        <v>217</v>
      </c>
      <c r="D151" s="1">
        <v>0</v>
      </c>
      <c r="E151" s="59">
        <v>126.2439483577654</v>
      </c>
      <c r="F151" s="10">
        <v>31</v>
      </c>
      <c r="G151" s="10">
        <v>1</v>
      </c>
      <c r="H151" s="10">
        <f>'[3]Summary'!J117</f>
        <v>123101</v>
      </c>
      <c r="I151" s="16">
        <f>'[4]Monthly Peak'!B80</f>
        <v>221.2</v>
      </c>
      <c r="J151" s="10">
        <v>0</v>
      </c>
      <c r="K151" s="10">
        <f t="shared" si="3"/>
        <v>119519286.95052508</v>
      </c>
      <c r="L151" s="10">
        <f t="shared" si="4"/>
        <v>-607766.9505250752</v>
      </c>
      <c r="M151" s="13">
        <f t="shared" si="5"/>
        <v>-0.005085095184483968</v>
      </c>
    </row>
    <row r="152" spans="1:13" ht="12.75">
      <c r="A152" s="57">
        <f>EOMONTH(A151,1)</f>
        <v>37802</v>
      </c>
      <c r="B152" s="10">
        <v>123452030</v>
      </c>
      <c r="C152" s="1">
        <v>65.3</v>
      </c>
      <c r="D152" s="1">
        <v>25.5</v>
      </c>
      <c r="E152" s="59">
        <v>126.3902962557828</v>
      </c>
      <c r="F152" s="10">
        <v>30</v>
      </c>
      <c r="G152" s="10">
        <v>0</v>
      </c>
      <c r="H152" s="10">
        <f>'[3]Summary'!J118</f>
        <v>123270</v>
      </c>
      <c r="I152" s="16">
        <f>'[4]Monthly Peak'!B81</f>
        <v>295.1</v>
      </c>
      <c r="J152" s="10">
        <v>0</v>
      </c>
      <c r="K152" s="10">
        <f t="shared" si="3"/>
        <v>129442501.53239807</v>
      </c>
      <c r="L152" s="10">
        <f t="shared" si="4"/>
        <v>-5990471.532398075</v>
      </c>
      <c r="M152" s="13">
        <f t="shared" si="5"/>
        <v>-0.04627901548162472</v>
      </c>
    </row>
    <row r="153" spans="1:13" ht="12.75">
      <c r="A153" s="57">
        <f>EOMONTH(A152,1)</f>
        <v>37833</v>
      </c>
      <c r="B153" s="10">
        <v>133250359.99999999</v>
      </c>
      <c r="C153" s="1">
        <v>12.5</v>
      </c>
      <c r="D153" s="1">
        <v>50.1</v>
      </c>
      <c r="E153" s="59">
        <v>126.5368138071383</v>
      </c>
      <c r="F153" s="10">
        <v>31</v>
      </c>
      <c r="G153" s="10">
        <v>0</v>
      </c>
      <c r="H153" s="10">
        <f>'[3]Summary'!J119</f>
        <v>123439</v>
      </c>
      <c r="I153" s="16">
        <f>'[4]Monthly Peak'!B82</f>
        <v>286</v>
      </c>
      <c r="J153" s="10">
        <v>0</v>
      </c>
      <c r="K153" s="10">
        <f t="shared" si="3"/>
        <v>131664414.9557205</v>
      </c>
      <c r="L153" s="10">
        <f t="shared" si="4"/>
        <v>1585945.044279486</v>
      </c>
      <c r="M153" s="13">
        <f t="shared" si="5"/>
        <v>0.012045358229958003</v>
      </c>
    </row>
    <row r="154" spans="1:13" ht="12.75">
      <c r="A154" s="57">
        <f>EOMONTH(A153,1)</f>
        <v>37864</v>
      </c>
      <c r="B154" s="10">
        <v>130044509.99999999</v>
      </c>
      <c r="C154" s="1">
        <v>18.9</v>
      </c>
      <c r="D154" s="1">
        <v>72.4</v>
      </c>
      <c r="E154" s="59">
        <v>126.683501208502</v>
      </c>
      <c r="F154" s="10">
        <v>31</v>
      </c>
      <c r="G154" s="10">
        <v>0</v>
      </c>
      <c r="H154" s="10">
        <f>'[3]Summary'!J120</f>
        <v>123608</v>
      </c>
      <c r="I154" s="16">
        <f>'[4]Monthly Peak'!B83</f>
        <v>290.2</v>
      </c>
      <c r="J154" s="10">
        <v>0</v>
      </c>
      <c r="K154" s="10">
        <f t="shared" si="3"/>
        <v>134711993.53487086</v>
      </c>
      <c r="L154" s="10">
        <f t="shared" si="4"/>
        <v>-4667483.534870878</v>
      </c>
      <c r="M154" s="13">
        <f t="shared" si="5"/>
        <v>-0.034647869223779826</v>
      </c>
    </row>
    <row r="155" spans="1:13" ht="12.75">
      <c r="A155" s="57">
        <f>EOMONTH(A154,1)</f>
        <v>37894</v>
      </c>
      <c r="B155" s="10">
        <v>123893240</v>
      </c>
      <c r="C155" s="1">
        <v>104.1</v>
      </c>
      <c r="D155" s="1">
        <v>6</v>
      </c>
      <c r="E155" s="59">
        <v>126.83035865677196</v>
      </c>
      <c r="F155" s="10">
        <v>30</v>
      </c>
      <c r="G155" s="10">
        <v>1</v>
      </c>
      <c r="H155" s="10">
        <f>'[3]Summary'!J121</f>
        <v>123777</v>
      </c>
      <c r="I155" s="16">
        <f>'[4]Monthly Peak'!B84</f>
        <v>243.7</v>
      </c>
      <c r="J155" s="10">
        <v>0</v>
      </c>
      <c r="K155" s="10">
        <f t="shared" si="3"/>
        <v>119957423.23836742</v>
      </c>
      <c r="L155" s="10">
        <f t="shared" si="4"/>
        <v>3935816.7616325766</v>
      </c>
      <c r="M155" s="13">
        <f t="shared" si="5"/>
        <v>0.032810114250384714</v>
      </c>
    </row>
    <row r="156" spans="1:13" ht="12.75">
      <c r="A156" s="57">
        <f>EOMONTH(A155,1)</f>
        <v>37925</v>
      </c>
      <c r="B156" s="10">
        <v>127104740</v>
      </c>
      <c r="C156" s="1">
        <v>331.9</v>
      </c>
      <c r="D156" s="1">
        <v>0</v>
      </c>
      <c r="E156" s="59">
        <v>126.97738634907456</v>
      </c>
      <c r="F156" s="10">
        <v>31</v>
      </c>
      <c r="G156" s="10">
        <v>1</v>
      </c>
      <c r="H156" s="10">
        <f>'[3]Summary'!J122</f>
        <v>123946</v>
      </c>
      <c r="I156" s="16">
        <f>'[4]Monthly Peak'!B85</f>
        <v>229.4</v>
      </c>
      <c r="J156" s="10">
        <v>0</v>
      </c>
      <c r="K156" s="10">
        <f t="shared" si="3"/>
        <v>123758831.77524021</v>
      </c>
      <c r="L156" s="10">
        <f t="shared" si="4"/>
        <v>3345908.2247597873</v>
      </c>
      <c r="M156" s="13">
        <f t="shared" si="5"/>
        <v>0.027035712738759043</v>
      </c>
    </row>
    <row r="157" spans="1:13" ht="12.75">
      <c r="A157" s="57">
        <f>EOMONTH(A156,1)</f>
        <v>37955</v>
      </c>
      <c r="B157" s="10">
        <v>126597630</v>
      </c>
      <c r="C157" s="1">
        <v>434.4</v>
      </c>
      <c r="D157" s="1">
        <v>0</v>
      </c>
      <c r="E157" s="59">
        <v>127.12458448276465</v>
      </c>
      <c r="F157" s="10">
        <v>30</v>
      </c>
      <c r="G157" s="10">
        <v>1</v>
      </c>
      <c r="H157" s="10">
        <f>'[3]Summary'!J123</f>
        <v>124115</v>
      </c>
      <c r="I157" s="16">
        <f>'[4]Monthly Peak'!B86</f>
        <v>241.4</v>
      </c>
      <c r="J157" s="10">
        <v>0</v>
      </c>
      <c r="K157" s="10">
        <f t="shared" si="3"/>
        <v>125523154.05039498</v>
      </c>
      <c r="L157" s="10">
        <f t="shared" si="4"/>
        <v>1074475.949605018</v>
      </c>
      <c r="M157" s="13">
        <f t="shared" si="5"/>
        <v>0.008559982082458228</v>
      </c>
    </row>
    <row r="158" spans="1:14" ht="12.75">
      <c r="A158" s="57">
        <f>EOMONTH(A157,1)</f>
        <v>37986</v>
      </c>
      <c r="B158" s="10">
        <v>130090690</v>
      </c>
      <c r="C158" s="1">
        <v>610</v>
      </c>
      <c r="D158" s="1">
        <v>0</v>
      </c>
      <c r="E158" s="60">
        <v>127.27195325542573</v>
      </c>
      <c r="F158" s="16">
        <v>31</v>
      </c>
      <c r="G158" s="16">
        <v>0</v>
      </c>
      <c r="H158" s="10">
        <f>'[3]Summary'!J124</f>
        <v>124284</v>
      </c>
      <c r="I158" s="16">
        <f>'[4]Monthly Peak'!B87</f>
        <v>247.9</v>
      </c>
      <c r="J158" s="10">
        <v>0</v>
      </c>
      <c r="K158" s="10">
        <f t="shared" si="3"/>
        <v>132396388.48826349</v>
      </c>
      <c r="L158" s="10">
        <f t="shared" si="4"/>
        <v>-2305698.488263488</v>
      </c>
      <c r="M158" s="13">
        <f t="shared" si="5"/>
        <v>-0.017415116187008972</v>
      </c>
      <c r="N158" s="69"/>
    </row>
    <row r="159" spans="1:28" ht="12.75">
      <c r="A159" s="57">
        <f>EOMONTH(A158,1)</f>
        <v>38017</v>
      </c>
      <c r="B159" s="10">
        <v>140542520</v>
      </c>
      <c r="C159" s="1">
        <v>879.2</v>
      </c>
      <c r="D159" s="1">
        <v>0</v>
      </c>
      <c r="E159" s="59">
        <v>127.53411264087498</v>
      </c>
      <c r="F159" s="10">
        <v>31</v>
      </c>
      <c r="G159" s="10">
        <v>0</v>
      </c>
      <c r="H159" s="10">
        <f>'[3]Summary'!J125</f>
        <v>124546</v>
      </c>
      <c r="I159" s="16">
        <f>'[4]Monthly Peak'!B88</f>
        <v>254.1</v>
      </c>
      <c r="J159" s="10">
        <v>0</v>
      </c>
      <c r="K159" s="10">
        <f t="shared" si="3"/>
        <v>138787780.36394918</v>
      </c>
      <c r="L159" s="10">
        <f t="shared" si="4"/>
        <v>1754739.6360508204</v>
      </c>
      <c r="M159" s="13">
        <f t="shared" si="5"/>
        <v>0.012643329488008836</v>
      </c>
      <c r="N159" s="69"/>
      <c r="AA159" s="11"/>
      <c r="AB159" s="11"/>
    </row>
    <row r="160" spans="1:14" ht="12.75">
      <c r="A160" s="57">
        <f>EOMONTH(A159,1)</f>
        <v>38046</v>
      </c>
      <c r="B160" s="10">
        <v>129380670</v>
      </c>
      <c r="C160" s="1">
        <v>699.2</v>
      </c>
      <c r="D160" s="1">
        <v>0</v>
      </c>
      <c r="E160" s="59">
        <v>127.79681203173486</v>
      </c>
      <c r="F160" s="10">
        <v>28</v>
      </c>
      <c r="G160" s="10">
        <v>0</v>
      </c>
      <c r="H160" s="10">
        <f>'[3]Summary'!J126</f>
        <v>124808</v>
      </c>
      <c r="I160" s="16">
        <f>'[4]Monthly Peak'!B89</f>
        <v>244.6</v>
      </c>
      <c r="J160" s="10">
        <v>0</v>
      </c>
      <c r="K160" s="10">
        <f t="shared" si="3"/>
        <v>126797773.03405829</v>
      </c>
      <c r="L160" s="10">
        <f t="shared" si="4"/>
        <v>2582896.9659417123</v>
      </c>
      <c r="M160" s="13">
        <f t="shared" si="5"/>
        <v>0.02037020764747921</v>
      </c>
      <c r="N160" s="69"/>
    </row>
    <row r="161" spans="1:13" ht="12.75">
      <c r="A161" s="57">
        <f>EOMONTH(A160,1)</f>
        <v>38077</v>
      </c>
      <c r="B161" s="10">
        <v>134629040</v>
      </c>
      <c r="C161" s="1">
        <v>540.9</v>
      </c>
      <c r="D161" s="1">
        <v>0</v>
      </c>
      <c r="E161" s="59">
        <v>128.06005254032812</v>
      </c>
      <c r="F161" s="10">
        <v>31</v>
      </c>
      <c r="G161" s="10">
        <v>1</v>
      </c>
      <c r="H161" s="10">
        <f>'[3]Summary'!J127</f>
        <v>125070</v>
      </c>
      <c r="I161" s="16">
        <f>'[4]Monthly Peak'!B90</f>
        <v>237</v>
      </c>
      <c r="J161" s="10">
        <v>0</v>
      </c>
      <c r="K161" s="10">
        <f t="shared" si="3"/>
        <v>129938636.18214574</v>
      </c>
      <c r="L161" s="10">
        <f t="shared" si="4"/>
        <v>4690403.817854255</v>
      </c>
      <c r="M161" s="13">
        <f t="shared" si="5"/>
        <v>0.03609706824442371</v>
      </c>
    </row>
    <row r="162" spans="1:13" ht="12.75">
      <c r="A162" s="57">
        <f>EOMONTH(A161,1)</f>
        <v>38107</v>
      </c>
      <c r="B162" s="10">
        <v>121654149.99999999</v>
      </c>
      <c r="C162" s="1">
        <v>354.1</v>
      </c>
      <c r="D162" s="1">
        <v>0</v>
      </c>
      <c r="E162" s="59">
        <v>128.32383528126866</v>
      </c>
      <c r="F162" s="10">
        <v>30</v>
      </c>
      <c r="G162" s="10">
        <v>1</v>
      </c>
      <c r="H162" s="10">
        <f>'[3]Summary'!J128</f>
        <v>125332</v>
      </c>
      <c r="I162" s="16">
        <f>'[4]Monthly Peak'!B91</f>
        <v>230.6</v>
      </c>
      <c r="J162" s="10">
        <v>0</v>
      </c>
      <c r="K162" s="10">
        <f t="shared" si="3"/>
        <v>123122271.50865799</v>
      </c>
      <c r="L162" s="10">
        <f t="shared" si="4"/>
        <v>-1468121.5086580068</v>
      </c>
      <c r="M162" s="13">
        <f t="shared" si="5"/>
        <v>-0.011924093753864606</v>
      </c>
    </row>
    <row r="163" spans="1:13" ht="12.75">
      <c r="A163" s="57">
        <f>EOMONTH(A162,1)</f>
        <v>38138</v>
      </c>
      <c r="B163" s="10">
        <v>123911560</v>
      </c>
      <c r="C163" s="1">
        <v>196.2</v>
      </c>
      <c r="D163" s="1">
        <v>0</v>
      </c>
      <c r="E163" s="59">
        <v>128.58816137146633</v>
      </c>
      <c r="F163" s="10">
        <v>31</v>
      </c>
      <c r="G163" s="10">
        <v>1</v>
      </c>
      <c r="H163" s="10">
        <f>'[3]Summary'!J129</f>
        <v>125594</v>
      </c>
      <c r="I163" s="16">
        <f>'[4]Monthly Peak'!B92</f>
        <v>257.5</v>
      </c>
      <c r="J163" s="10">
        <v>0</v>
      </c>
      <c r="K163" s="10">
        <f t="shared" si="3"/>
        <v>127378165.48457426</v>
      </c>
      <c r="L163" s="10">
        <f t="shared" si="4"/>
        <v>-3466605.4845742583</v>
      </c>
      <c r="M163" s="13">
        <f t="shared" si="5"/>
        <v>-0.027215068386222563</v>
      </c>
    </row>
    <row r="164" spans="1:13" ht="12.75">
      <c r="A164" s="57">
        <f>EOMONTH(A163,1)</f>
        <v>38168</v>
      </c>
      <c r="B164" s="10">
        <v>128521509.99999999</v>
      </c>
      <c r="C164" s="1">
        <v>92.5</v>
      </c>
      <c r="D164" s="1">
        <v>0</v>
      </c>
      <c r="E164" s="59">
        <v>128.85303193013166</v>
      </c>
      <c r="F164" s="10">
        <v>30</v>
      </c>
      <c r="G164" s="10">
        <v>0</v>
      </c>
      <c r="H164" s="10">
        <f>'[3]Summary'!J130</f>
        <v>125856</v>
      </c>
      <c r="I164" s="16">
        <f>'[4]Monthly Peak'!B93</f>
        <v>286.5</v>
      </c>
      <c r="J164" s="10">
        <v>0</v>
      </c>
      <c r="K164" s="10">
        <f t="shared" si="3"/>
        <v>128166708.04247743</v>
      </c>
      <c r="L164" s="10">
        <f t="shared" si="4"/>
        <v>354801.9575225562</v>
      </c>
      <c r="M164" s="13">
        <f t="shared" si="5"/>
        <v>0.0027682848607220034</v>
      </c>
    </row>
    <row r="165" spans="1:13" ht="12.75">
      <c r="A165" s="57">
        <f>EOMONTH(A164,1)</f>
        <v>38199</v>
      </c>
      <c r="B165" s="10">
        <v>130502320</v>
      </c>
      <c r="C165" s="1">
        <v>21.3</v>
      </c>
      <c r="D165" s="1">
        <v>0</v>
      </c>
      <c r="E165" s="59">
        <v>129.11844807878055</v>
      </c>
      <c r="F165" s="10">
        <v>31</v>
      </c>
      <c r="G165" s="10">
        <v>0</v>
      </c>
      <c r="H165" s="10">
        <f>'[3]Summary'!J131</f>
        <v>126118</v>
      </c>
      <c r="I165" s="16">
        <f>'[4]Monthly Peak'!B94</f>
        <v>282.4</v>
      </c>
      <c r="J165" s="10">
        <v>0</v>
      </c>
      <c r="K165" s="10">
        <f t="shared" si="3"/>
        <v>128706872.79931313</v>
      </c>
      <c r="L165" s="10">
        <f t="shared" si="4"/>
        <v>1795447.200686872</v>
      </c>
      <c r="M165" s="13">
        <f t="shared" si="5"/>
        <v>0.013949893751877829</v>
      </c>
    </row>
    <row r="166" spans="1:13" ht="12.75">
      <c r="A166" s="57">
        <f>EOMONTH(A165,1)</f>
        <v>38230</v>
      </c>
      <c r="B166" s="10">
        <v>134736160</v>
      </c>
      <c r="C166" s="1">
        <v>55</v>
      </c>
      <c r="D166" s="1">
        <v>0</v>
      </c>
      <c r="E166" s="59">
        <v>129.38441094123903</v>
      </c>
      <c r="F166" s="10">
        <v>31</v>
      </c>
      <c r="G166" s="10">
        <v>0</v>
      </c>
      <c r="H166" s="10">
        <f>'[3]Summary'!J132</f>
        <v>126380</v>
      </c>
      <c r="I166" s="16">
        <f>'[4]Monthly Peak'!B95</f>
        <v>277.3</v>
      </c>
      <c r="J166" s="10">
        <v>0</v>
      </c>
      <c r="K166" s="10">
        <f t="shared" si="3"/>
        <v>128680461.03839225</v>
      </c>
      <c r="L166" s="10">
        <f t="shared" si="4"/>
        <v>6055698.961607754</v>
      </c>
      <c r="M166" s="13">
        <f t="shared" si="5"/>
        <v>0.04705997252994787</v>
      </c>
    </row>
    <row r="167" spans="1:13" ht="12.75">
      <c r="A167" s="57">
        <f>EOMONTH(A166,1)</f>
        <v>38260</v>
      </c>
      <c r="B167" s="10">
        <v>131178500</v>
      </c>
      <c r="C167" s="1">
        <v>71.3</v>
      </c>
      <c r="D167" s="1">
        <v>0</v>
      </c>
      <c r="E167" s="59">
        <v>129.65092164364802</v>
      </c>
      <c r="F167" s="10">
        <v>30</v>
      </c>
      <c r="G167" s="10">
        <v>1</v>
      </c>
      <c r="H167" s="10">
        <f>'[3]Summary'!J133</f>
        <v>126642</v>
      </c>
      <c r="I167" s="16">
        <f>'[4]Monthly Peak'!B96</f>
        <v>259.4</v>
      </c>
      <c r="J167" s="10">
        <v>0</v>
      </c>
      <c r="K167" s="10">
        <f t="shared" si="3"/>
        <v>123820423.54228249</v>
      </c>
      <c r="L167" s="10">
        <f t="shared" si="4"/>
        <v>7358076.457717508</v>
      </c>
      <c r="M167" s="13">
        <f t="shared" si="5"/>
        <v>0.059425385951816345</v>
      </c>
    </row>
    <row r="168" spans="1:13" ht="12.75">
      <c r="A168" s="57">
        <f>EOMONTH(A167,1)</f>
        <v>38291</v>
      </c>
      <c r="B168" s="10">
        <v>127280000</v>
      </c>
      <c r="C168" s="1">
        <v>287.5</v>
      </c>
      <c r="D168" s="1">
        <v>0</v>
      </c>
      <c r="E168" s="59">
        <v>129.91798131446814</v>
      </c>
      <c r="F168" s="10">
        <v>31</v>
      </c>
      <c r="G168" s="10">
        <v>1</v>
      </c>
      <c r="H168" s="10">
        <f>'[3]Summary'!J134</f>
        <v>126904</v>
      </c>
      <c r="I168" s="16">
        <f>'[4]Monthly Peak'!B97</f>
        <v>232.1</v>
      </c>
      <c r="J168" s="10">
        <v>0</v>
      </c>
      <c r="K168" s="10">
        <f t="shared" si="3"/>
        <v>125799519.26213062</v>
      </c>
      <c r="L168" s="10">
        <f t="shared" si="4"/>
        <v>1480480.737869382</v>
      </c>
      <c r="M168" s="13">
        <f t="shared" si="5"/>
        <v>0.011768572301015467</v>
      </c>
    </row>
    <row r="169" spans="1:13" ht="12.75">
      <c r="A169" s="57">
        <f>EOMONTH(A168,1)</f>
        <v>38321</v>
      </c>
      <c r="B169" s="10">
        <v>131398790</v>
      </c>
      <c r="C169" s="1">
        <v>432.9</v>
      </c>
      <c r="D169" s="1">
        <v>0</v>
      </c>
      <c r="E169" s="59">
        <v>130.18559108448443</v>
      </c>
      <c r="F169" s="10">
        <v>30</v>
      </c>
      <c r="G169" s="10">
        <v>1</v>
      </c>
      <c r="H169" s="10">
        <f>'[3]Summary'!J135</f>
        <v>127166</v>
      </c>
      <c r="I169" s="16">
        <f>'[4]Monthly Peak'!B98</f>
        <v>244.1</v>
      </c>
      <c r="J169" s="10">
        <v>0</v>
      </c>
      <c r="K169" s="10">
        <f t="shared" si="3"/>
        <v>128465645.50593069</v>
      </c>
      <c r="L169" s="10">
        <f t="shared" si="4"/>
        <v>2933144.494069308</v>
      </c>
      <c r="M169" s="13">
        <f t="shared" si="5"/>
        <v>0.02283213136490958</v>
      </c>
    </row>
    <row r="170" spans="1:13" ht="12.75">
      <c r="A170" s="57">
        <f>EOMONTH(A169,1)</f>
        <v>38352</v>
      </c>
      <c r="B170" s="10">
        <v>136670710</v>
      </c>
      <c r="C170" s="1">
        <v>700.1</v>
      </c>
      <c r="D170" s="1">
        <v>0</v>
      </c>
      <c r="E170" s="60">
        <v>130.45375208681136</v>
      </c>
      <c r="F170" s="10">
        <v>31</v>
      </c>
      <c r="G170" s="10">
        <v>0</v>
      </c>
      <c r="H170" s="10">
        <f>'[3]Summary'!J136</f>
        <v>127428</v>
      </c>
      <c r="I170" s="16">
        <f>'[4]Monthly Peak'!B99</f>
        <v>263.5</v>
      </c>
      <c r="J170" s="10">
        <v>0</v>
      </c>
      <c r="K170" s="10">
        <f t="shared" si="3"/>
        <v>139394859.7237078</v>
      </c>
      <c r="L170" s="10">
        <f t="shared" si="4"/>
        <v>-2724149.723707795</v>
      </c>
      <c r="M170" s="13">
        <f t="shared" si="5"/>
        <v>-0.019542684207346617</v>
      </c>
    </row>
    <row r="171" spans="1:28" ht="12.75">
      <c r="A171" s="57">
        <f>EOMONTH(A170,1)</f>
        <v>38383</v>
      </c>
      <c r="B171" s="10">
        <v>145626785</v>
      </c>
      <c r="C171" s="1">
        <v>814.7</v>
      </c>
      <c r="D171" s="1">
        <v>0</v>
      </c>
      <c r="E171" s="59">
        <v>130.7437021568508</v>
      </c>
      <c r="F171" s="10">
        <v>31</v>
      </c>
      <c r="G171" s="10">
        <v>0</v>
      </c>
      <c r="H171" s="10">
        <f>'[3]Summary'!J137</f>
        <v>127590</v>
      </c>
      <c r="I171" s="16">
        <f>'[4]Monthly Peak'!B100</f>
        <v>262.8</v>
      </c>
      <c r="J171" s="10">
        <v>0</v>
      </c>
      <c r="K171" s="10">
        <f t="shared" si="3"/>
        <v>141636243.96426877</v>
      </c>
      <c r="L171" s="10">
        <f t="shared" si="4"/>
        <v>3990541.035731226</v>
      </c>
      <c r="M171" s="13">
        <f t="shared" si="5"/>
        <v>0.028174575405557567</v>
      </c>
      <c r="AA171" s="11"/>
      <c r="AB171" s="11"/>
    </row>
    <row r="172" spans="1:13" ht="12.75">
      <c r="A172" s="57">
        <f>EOMONTH(A171,1)</f>
        <v>38411</v>
      </c>
      <c r="B172" s="10">
        <v>130295706</v>
      </c>
      <c r="C172" s="1">
        <v>683.5</v>
      </c>
      <c r="D172" s="1">
        <v>0</v>
      </c>
      <c r="E172" s="59">
        <v>131.0342966778299</v>
      </c>
      <c r="F172" s="10">
        <v>29</v>
      </c>
      <c r="G172" s="10">
        <v>0</v>
      </c>
      <c r="H172" s="10">
        <f>'[3]Summary'!J138</f>
        <v>127752</v>
      </c>
      <c r="I172" s="16">
        <f>'[4]Monthly Peak'!B101</f>
        <v>249.1</v>
      </c>
      <c r="J172" s="10">
        <v>0</v>
      </c>
      <c r="K172" s="10">
        <f t="shared" si="3"/>
        <v>132203084.85253224</v>
      </c>
      <c r="L172" s="10">
        <f t="shared" si="4"/>
        <v>-1907378.8525322378</v>
      </c>
      <c r="M172" s="13">
        <f t="shared" si="5"/>
        <v>-0.014427642552061859</v>
      </c>
    </row>
    <row r="173" spans="1:13" ht="12.75">
      <c r="A173" s="57">
        <f>EOMONTH(A172,1)</f>
        <v>38442</v>
      </c>
      <c r="B173" s="10">
        <v>139429744</v>
      </c>
      <c r="C173" s="1">
        <v>680.5</v>
      </c>
      <c r="D173" s="1">
        <v>0</v>
      </c>
      <c r="E173" s="59">
        <v>131.32553708212293</v>
      </c>
      <c r="F173" s="10">
        <v>31</v>
      </c>
      <c r="G173" s="10">
        <v>1</v>
      </c>
      <c r="H173" s="10">
        <f>'[3]Summary'!J139</f>
        <v>127914</v>
      </c>
      <c r="I173" s="16">
        <f>'[4]Monthly Peak'!B102</f>
        <v>249.7</v>
      </c>
      <c r="J173" s="10">
        <v>0</v>
      </c>
      <c r="K173" s="10">
        <f t="shared" si="3"/>
        <v>137298326.38342</v>
      </c>
      <c r="L173" s="10">
        <f t="shared" si="4"/>
        <v>2131417.6165800095</v>
      </c>
      <c r="M173" s="13">
        <f t="shared" si="5"/>
        <v>0.015523988330548244</v>
      </c>
    </row>
    <row r="174" spans="1:13" ht="12.75">
      <c r="A174" s="57">
        <f>EOMONTH(A173,1)</f>
        <v>38472</v>
      </c>
      <c r="B174" s="10">
        <v>125505720</v>
      </c>
      <c r="C174" s="1">
        <v>354.6</v>
      </c>
      <c r="D174" s="1">
        <v>0</v>
      </c>
      <c r="E174" s="59">
        <v>131.61742480528775</v>
      </c>
      <c r="F174" s="10">
        <v>30</v>
      </c>
      <c r="G174" s="10">
        <v>1</v>
      </c>
      <c r="H174" s="10">
        <f>'[3]Summary'!J140</f>
        <v>128076</v>
      </c>
      <c r="I174" s="16">
        <f>'[4]Monthly Peak'!B103</f>
        <v>231.1</v>
      </c>
      <c r="J174" s="10">
        <v>0</v>
      </c>
      <c r="K174" s="10">
        <f t="shared" si="3"/>
        <v>125709580.10020255</v>
      </c>
      <c r="L174" s="10">
        <f t="shared" si="4"/>
        <v>-203860.10020254552</v>
      </c>
      <c r="M174" s="13">
        <f t="shared" si="5"/>
        <v>-0.0016216751343854918</v>
      </c>
    </row>
    <row r="175" spans="1:13" ht="12.75">
      <c r="A175" s="57">
        <f>EOMONTH(A174,1)</f>
        <v>38503</v>
      </c>
      <c r="B175" s="10">
        <v>126060714</v>
      </c>
      <c r="C175" s="1">
        <v>244.9</v>
      </c>
      <c r="D175" s="1">
        <v>0</v>
      </c>
      <c r="E175" s="59">
        <v>131.90996128607298</v>
      </c>
      <c r="F175" s="10">
        <v>31</v>
      </c>
      <c r="G175" s="10">
        <v>1</v>
      </c>
      <c r="H175" s="10">
        <f>'[3]Summary'!J141</f>
        <v>128238</v>
      </c>
      <c r="I175" s="16">
        <f>'[4]Monthly Peak'!B104</f>
        <v>234</v>
      </c>
      <c r="J175" s="10">
        <v>0</v>
      </c>
      <c r="K175" s="10">
        <f t="shared" si="3"/>
        <v>126704410.17852837</v>
      </c>
      <c r="L175" s="10">
        <f t="shared" si="4"/>
        <v>-643696.1785283685</v>
      </c>
      <c r="M175" s="13">
        <f t="shared" si="5"/>
        <v>-0.0050802981334382435</v>
      </c>
    </row>
    <row r="176" spans="1:13" ht="12.75">
      <c r="A176" s="57">
        <f>EOMONTH(A175,1)</f>
        <v>38533</v>
      </c>
      <c r="B176" s="10">
        <v>148205860</v>
      </c>
      <c r="C176" s="1">
        <v>27.3</v>
      </c>
      <c r="D176" s="1">
        <v>104.8</v>
      </c>
      <c r="E176" s="59">
        <v>132.203147966425</v>
      </c>
      <c r="F176" s="10">
        <v>30</v>
      </c>
      <c r="G176" s="10">
        <v>0</v>
      </c>
      <c r="H176" s="10">
        <f>'[3]Summary'!J142</f>
        <v>128400</v>
      </c>
      <c r="I176" s="16">
        <f>'[4]Monthly Peak'!B105</f>
        <v>321.6</v>
      </c>
      <c r="J176" s="10">
        <v>0</v>
      </c>
      <c r="K176" s="10">
        <f t="shared" si="3"/>
        <v>145175297.33144015</v>
      </c>
      <c r="L176" s="10">
        <f t="shared" si="4"/>
        <v>3030562.6685598493</v>
      </c>
      <c r="M176" s="13">
        <f t="shared" si="5"/>
        <v>0.020875195189998363</v>
      </c>
    </row>
    <row r="177" spans="1:13" ht="12.75">
      <c r="A177" s="57">
        <f>EOMONTH(A176,1)</f>
        <v>38564</v>
      </c>
      <c r="B177" s="10">
        <v>144470140</v>
      </c>
      <c r="C177" s="1">
        <v>6.8</v>
      </c>
      <c r="D177" s="1">
        <v>105.4</v>
      </c>
      <c r="E177" s="59">
        <v>132.49698629149512</v>
      </c>
      <c r="F177" s="10">
        <v>31</v>
      </c>
      <c r="G177" s="10">
        <v>0</v>
      </c>
      <c r="H177" s="10">
        <f>'[3]Summary'!J143</f>
        <v>128562</v>
      </c>
      <c r="I177" s="16">
        <f>'[4]Monthly Peak'!B106</f>
        <v>318.6</v>
      </c>
      <c r="J177" s="10">
        <v>0</v>
      </c>
      <c r="K177" s="10">
        <f t="shared" si="3"/>
        <v>146897690.42897022</v>
      </c>
      <c r="L177" s="10">
        <f t="shared" si="4"/>
        <v>-2427550.4289702177</v>
      </c>
      <c r="M177" s="13">
        <f t="shared" si="5"/>
        <v>-0.016525449936491743</v>
      </c>
    </row>
    <row r="178" spans="1:13" ht="12.75">
      <c r="A178" s="57">
        <f>EOMONTH(A177,1)</f>
        <v>38595</v>
      </c>
      <c r="B178" s="10">
        <v>149364543</v>
      </c>
      <c r="C178" s="1">
        <v>11.9</v>
      </c>
      <c r="D178" s="1">
        <v>67.9</v>
      </c>
      <c r="E178" s="59">
        <v>132.79147770964664</v>
      </c>
      <c r="F178" s="10">
        <v>31</v>
      </c>
      <c r="G178" s="10">
        <v>0</v>
      </c>
      <c r="H178" s="10">
        <f>'[3]Summary'!J144</f>
        <v>128724</v>
      </c>
      <c r="I178" s="16">
        <f>'[4]Monthly Peak'!B107</f>
        <v>306.6</v>
      </c>
      <c r="J178" s="10">
        <v>0</v>
      </c>
      <c r="K178" s="10">
        <f t="shared" si="3"/>
        <v>141627518.52419674</v>
      </c>
      <c r="L178" s="10">
        <f t="shared" si="4"/>
        <v>7737024.475803256</v>
      </c>
      <c r="M178" s="13">
        <f t="shared" si="5"/>
        <v>0.05462938669282269</v>
      </c>
    </row>
    <row r="179" spans="1:13" ht="12.75">
      <c r="A179" s="57">
        <f>EOMONTH(A178,1)</f>
        <v>38625</v>
      </c>
      <c r="B179" s="10">
        <v>131923136</v>
      </c>
      <c r="C179" s="1">
        <v>63.4</v>
      </c>
      <c r="D179" s="1">
        <v>13.7</v>
      </c>
      <c r="E179" s="59">
        <v>133.0866236724621</v>
      </c>
      <c r="F179" s="10">
        <v>30</v>
      </c>
      <c r="G179" s="10">
        <v>1</v>
      </c>
      <c r="H179" s="10">
        <f>'[3]Summary'!J145</f>
        <v>128886</v>
      </c>
      <c r="I179" s="16">
        <f>'[4]Monthly Peak'!B108</f>
        <v>282.9</v>
      </c>
      <c r="J179" s="10">
        <v>0</v>
      </c>
      <c r="K179" s="10">
        <f t="shared" si="3"/>
        <v>131372521.36495875</v>
      </c>
      <c r="L179" s="10">
        <f t="shared" si="4"/>
        <v>550614.6350412518</v>
      </c>
      <c r="M179" s="13">
        <f t="shared" si="5"/>
        <v>0.004191246611699118</v>
      </c>
    </row>
    <row r="180" spans="1:13" ht="12.75">
      <c r="A180" s="57">
        <f>EOMONTH(A179,1)</f>
        <v>38656</v>
      </c>
      <c r="B180" s="10">
        <v>129428087</v>
      </c>
      <c r="C180" s="1">
        <v>259.9</v>
      </c>
      <c r="D180" s="1">
        <v>2.6</v>
      </c>
      <c r="E180" s="59">
        <v>133.38242563475035</v>
      </c>
      <c r="F180" s="10">
        <v>31</v>
      </c>
      <c r="G180" s="10">
        <v>1</v>
      </c>
      <c r="H180" s="10">
        <f>'[3]Summary'!J146</f>
        <v>129048</v>
      </c>
      <c r="I180" s="16">
        <f>'[4]Monthly Peak'!B109</f>
        <v>260.2</v>
      </c>
      <c r="J180" s="10">
        <v>0</v>
      </c>
      <c r="K180" s="10">
        <f t="shared" si="3"/>
        <v>132717442.40795481</v>
      </c>
      <c r="L180" s="10">
        <f t="shared" si="4"/>
        <v>-3289355.407954812</v>
      </c>
      <c r="M180" s="13">
        <f t="shared" si="5"/>
        <v>-0.024784650369043426</v>
      </c>
    </row>
    <row r="181" spans="1:13" ht="12.75">
      <c r="A181" s="57">
        <f>EOMONTH(A180,1)</f>
        <v>38686</v>
      </c>
      <c r="B181" s="10">
        <v>133425806</v>
      </c>
      <c r="C181" s="1">
        <v>433.1</v>
      </c>
      <c r="D181" s="1">
        <v>0</v>
      </c>
      <c r="E181" s="59">
        <v>133.6788850545537</v>
      </c>
      <c r="F181" s="10">
        <v>30</v>
      </c>
      <c r="G181" s="10">
        <v>1</v>
      </c>
      <c r="H181" s="10">
        <f>'[3]Summary'!J147</f>
        <v>129210</v>
      </c>
      <c r="I181" s="16">
        <f>'[4]Monthly Peak'!B110</f>
        <v>257.7</v>
      </c>
      <c r="J181" s="10">
        <v>0</v>
      </c>
      <c r="K181" s="10">
        <f t="shared" si="3"/>
        <v>133137101.38962217</v>
      </c>
      <c r="L181" s="10">
        <f t="shared" si="4"/>
        <v>288704.61037783325</v>
      </c>
      <c r="M181" s="13">
        <f t="shared" si="5"/>
        <v>0.002168476009800857</v>
      </c>
    </row>
    <row r="182" spans="1:13" ht="12.75">
      <c r="A182" s="57">
        <f>EOMONTH(A181,1)</f>
        <v>38717</v>
      </c>
      <c r="B182" s="10">
        <v>137252421</v>
      </c>
      <c r="C182" s="1">
        <v>721.6</v>
      </c>
      <c r="D182" s="1">
        <v>0</v>
      </c>
      <c r="E182" s="60">
        <v>133.97600339315525</v>
      </c>
      <c r="F182" s="10">
        <v>31</v>
      </c>
      <c r="G182" s="10">
        <v>0</v>
      </c>
      <c r="H182" s="10">
        <f>'[3]Summary'!J148</f>
        <v>129372</v>
      </c>
      <c r="I182" s="16">
        <f>'[4]Monthly Peak'!B111</f>
        <v>262.7</v>
      </c>
      <c r="J182" s="10">
        <v>0</v>
      </c>
      <c r="K182" s="10">
        <f t="shared" si="3"/>
        <v>141955442.68721235</v>
      </c>
      <c r="L182" s="10">
        <f t="shared" si="4"/>
        <v>-4703021.687212348</v>
      </c>
      <c r="M182" s="13">
        <f t="shared" si="5"/>
        <v>-0.03313026678078901</v>
      </c>
    </row>
    <row r="183" spans="1:28" ht="12.75">
      <c r="A183" s="57">
        <f>EOMONTH(A182,1)</f>
        <v>38748</v>
      </c>
      <c r="B183" s="10">
        <v>139483995</v>
      </c>
      <c r="C183" s="1">
        <v>590.6</v>
      </c>
      <c r="D183" s="1">
        <v>0</v>
      </c>
      <c r="E183" s="59">
        <v>134.25197202423305</v>
      </c>
      <c r="F183" s="10">
        <v>31</v>
      </c>
      <c r="G183" s="10">
        <v>0</v>
      </c>
      <c r="H183" s="10">
        <f>'[3]Summary'!J149</f>
        <v>129546</v>
      </c>
      <c r="I183" s="16">
        <f>'[4]Monthly Peak'!B112</f>
        <v>248.7</v>
      </c>
      <c r="J183" s="10">
        <v>1</v>
      </c>
      <c r="K183" s="10">
        <f t="shared" si="3"/>
        <v>136945529.53387874</v>
      </c>
      <c r="L183" s="10">
        <f t="shared" si="4"/>
        <v>2538465.4661212564</v>
      </c>
      <c r="M183" s="13">
        <f t="shared" si="5"/>
        <v>0.018536314947712684</v>
      </c>
      <c r="AA183" s="11"/>
      <c r="AB183" s="11"/>
    </row>
    <row r="184" spans="1:13" ht="12.75">
      <c r="A184" s="57">
        <f>EOMONTH(A183,1)</f>
        <v>38776</v>
      </c>
      <c r="B184" s="10">
        <v>129290507</v>
      </c>
      <c r="C184" s="1">
        <v>651.2</v>
      </c>
      <c r="D184" s="1">
        <v>0</v>
      </c>
      <c r="E184" s="59">
        <v>134.5285091055065</v>
      </c>
      <c r="F184" s="10">
        <v>28</v>
      </c>
      <c r="G184" s="10">
        <v>0</v>
      </c>
      <c r="H184" s="10">
        <f>'[3]Summary'!J150</f>
        <v>129720</v>
      </c>
      <c r="I184" s="16">
        <f>'[4]Monthly Peak'!B113</f>
        <v>247.5</v>
      </c>
      <c r="J184" s="10">
        <v>2</v>
      </c>
      <c r="K184" s="10">
        <f t="shared" si="3"/>
        <v>130633156.99739945</v>
      </c>
      <c r="L184" s="10">
        <f t="shared" si="4"/>
        <v>-1342649.9973994493</v>
      </c>
      <c r="M184" s="13">
        <f t="shared" si="5"/>
        <v>-0.010278018446925996</v>
      </c>
    </row>
    <row r="185" spans="1:13" ht="12.75">
      <c r="A185" s="57">
        <f>EOMONTH(A184,1)</f>
        <v>38807</v>
      </c>
      <c r="B185" s="10">
        <v>138164067</v>
      </c>
      <c r="C185" s="1">
        <v>562.4</v>
      </c>
      <c r="D185" s="1">
        <v>0</v>
      </c>
      <c r="E185" s="59">
        <v>134.80561580788986</v>
      </c>
      <c r="F185" s="10">
        <v>31</v>
      </c>
      <c r="G185" s="10">
        <v>1</v>
      </c>
      <c r="H185" s="10">
        <f>'[3]Summary'!J151</f>
        <v>129894</v>
      </c>
      <c r="I185" s="16">
        <f>'[4]Monthly Peak'!B114</f>
        <v>245.7</v>
      </c>
      <c r="J185" s="10">
        <v>3</v>
      </c>
      <c r="K185" s="10">
        <f t="shared" si="3"/>
        <v>135774960.13632193</v>
      </c>
      <c r="L185" s="10">
        <f t="shared" si="4"/>
        <v>2389106.863678068</v>
      </c>
      <c r="M185" s="13">
        <f t="shared" si="5"/>
        <v>0.01759607854997225</v>
      </c>
    </row>
    <row r="186" spans="1:13" ht="12.75">
      <c r="A186" s="57">
        <f>EOMONTH(A185,1)</f>
        <v>38837</v>
      </c>
      <c r="B186" s="10">
        <v>120999808</v>
      </c>
      <c r="C186" s="1">
        <v>322.5</v>
      </c>
      <c r="D186" s="1">
        <v>0</v>
      </c>
      <c r="E186" s="59">
        <v>135.08329330470943</v>
      </c>
      <c r="F186" s="10">
        <v>30</v>
      </c>
      <c r="G186" s="10">
        <v>1</v>
      </c>
      <c r="H186" s="10">
        <f>'[3]Summary'!J152</f>
        <v>130068</v>
      </c>
      <c r="I186" s="16">
        <f>'[4]Monthly Peak'!B115</f>
        <v>236.6</v>
      </c>
      <c r="J186" s="10">
        <v>4</v>
      </c>
      <c r="K186" s="10">
        <f t="shared" si="3"/>
        <v>127165042.30044225</v>
      </c>
      <c r="L186" s="10">
        <f t="shared" si="4"/>
        <v>-6165234.300442249</v>
      </c>
      <c r="M186" s="13">
        <f t="shared" si="5"/>
        <v>-0.04848214720737609</v>
      </c>
    </row>
    <row r="187" spans="1:13" ht="12.75">
      <c r="A187" s="57">
        <f>EOMONTH(A186,1)</f>
        <v>38868</v>
      </c>
      <c r="B187" s="10">
        <v>130145724</v>
      </c>
      <c r="C187" s="1">
        <v>177.8</v>
      </c>
      <c r="D187" s="1">
        <v>17.7</v>
      </c>
      <c r="E187" s="59">
        <v>135.3615427717083</v>
      </c>
      <c r="F187" s="10">
        <v>31</v>
      </c>
      <c r="G187" s="10">
        <v>1</v>
      </c>
      <c r="H187" s="10">
        <f>'[3]Summary'!J153</f>
        <v>130242</v>
      </c>
      <c r="I187" s="16">
        <f>'[4]Monthly Peak'!B116</f>
        <v>306.6</v>
      </c>
      <c r="J187" s="10">
        <v>5</v>
      </c>
      <c r="K187" s="10">
        <f t="shared" si="3"/>
        <v>140448026.19216186</v>
      </c>
      <c r="L187" s="10">
        <f t="shared" si="4"/>
        <v>-10302302.192161858</v>
      </c>
      <c r="M187" s="13">
        <f t="shared" si="5"/>
        <v>-0.07335312906474156</v>
      </c>
    </row>
    <row r="188" spans="1:13" ht="12.75">
      <c r="A188" s="57">
        <f>EOMONTH(A187,1)</f>
        <v>38898</v>
      </c>
      <c r="B188" s="10">
        <v>136402808</v>
      </c>
      <c r="C188" s="1">
        <v>44.1</v>
      </c>
      <c r="D188" s="1">
        <v>32.2</v>
      </c>
      <c r="E188" s="59">
        <v>135.64036538705133</v>
      </c>
      <c r="F188" s="10">
        <v>30</v>
      </c>
      <c r="G188" s="10">
        <v>0</v>
      </c>
      <c r="H188" s="10">
        <f>'[3]Summary'!J154</f>
        <v>130416</v>
      </c>
      <c r="I188" s="16">
        <f>'[4]Monthly Peak'!B117</f>
        <v>286.1</v>
      </c>
      <c r="J188" s="10">
        <v>6</v>
      </c>
      <c r="K188" s="10">
        <f t="shared" si="3"/>
        <v>133135725.86094901</v>
      </c>
      <c r="L188" s="10">
        <f t="shared" si="4"/>
        <v>3267082.1390509903</v>
      </c>
      <c r="M188" s="13">
        <f t="shared" si="5"/>
        <v>0.024539484934819278</v>
      </c>
    </row>
    <row r="189" spans="1:13" ht="12.75">
      <c r="A189" s="57">
        <f>EOMONTH(A188,1)</f>
        <v>38929</v>
      </c>
      <c r="B189" s="10">
        <v>144866595</v>
      </c>
      <c r="C189" s="1">
        <v>6.5</v>
      </c>
      <c r="D189" s="1">
        <v>117.2</v>
      </c>
      <c r="E189" s="59">
        <v>135.9197623313303</v>
      </c>
      <c r="F189" s="10">
        <v>31</v>
      </c>
      <c r="G189" s="10">
        <v>0</v>
      </c>
      <c r="H189" s="10">
        <f>'[3]Summary'!J155</f>
        <v>130590</v>
      </c>
      <c r="I189" s="16">
        <f>'[4]Monthly Peak'!B118</f>
        <v>306.9</v>
      </c>
      <c r="J189" s="10">
        <v>7</v>
      </c>
      <c r="K189" s="10">
        <f t="shared" si="3"/>
        <v>146194247.95960987</v>
      </c>
      <c r="L189" s="10">
        <f t="shared" si="4"/>
        <v>-1327652.9596098661</v>
      </c>
      <c r="M189" s="13">
        <f t="shared" si="5"/>
        <v>-0.009081430891704212</v>
      </c>
    </row>
    <row r="190" spans="1:13" ht="12.75">
      <c r="A190" s="57">
        <f>EOMONTH(A189,1)</f>
        <v>38960</v>
      </c>
      <c r="B190" s="10">
        <v>143235418</v>
      </c>
      <c r="C190" s="1">
        <v>27.5</v>
      </c>
      <c r="D190" s="1">
        <v>45.5</v>
      </c>
      <c r="E190" s="59">
        <v>136.1997347875688</v>
      </c>
      <c r="F190" s="10">
        <v>31</v>
      </c>
      <c r="G190" s="10">
        <v>0</v>
      </c>
      <c r="H190" s="10">
        <f>'[3]Summary'!J156</f>
        <v>130764</v>
      </c>
      <c r="I190" s="16">
        <f>'[4]Monthly Peak'!B119</f>
        <v>316.6</v>
      </c>
      <c r="J190" s="10">
        <v>8</v>
      </c>
      <c r="K190" s="10">
        <f t="shared" si="3"/>
        <v>141506246.4605189</v>
      </c>
      <c r="L190" s="10">
        <f t="shared" si="4"/>
        <v>1729171.5394811034</v>
      </c>
      <c r="M190" s="13">
        <f t="shared" si="5"/>
        <v>0.012219754129112248</v>
      </c>
    </row>
    <row r="191" spans="1:13" ht="12.75">
      <c r="A191" s="57">
        <f>EOMONTH(A190,1)</f>
        <v>38990</v>
      </c>
      <c r="B191" s="10">
        <v>124350425</v>
      </c>
      <c r="C191" s="1">
        <v>130.3</v>
      </c>
      <c r="D191" s="1">
        <v>2.3</v>
      </c>
      <c r="E191" s="59">
        <v>136.48028394122719</v>
      </c>
      <c r="F191" s="10">
        <v>30</v>
      </c>
      <c r="G191" s="10">
        <v>1</v>
      </c>
      <c r="H191" s="10">
        <f>'[3]Summary'!J157</f>
        <v>130938</v>
      </c>
      <c r="I191" s="16">
        <f>'[4]Monthly Peak'!B120</f>
        <v>248.7</v>
      </c>
      <c r="J191" s="10">
        <v>9</v>
      </c>
      <c r="K191" s="10">
        <f t="shared" si="3"/>
        <v>125308383.4290657</v>
      </c>
      <c r="L191" s="10">
        <f t="shared" si="4"/>
        <v>-957958.4290657043</v>
      </c>
      <c r="M191" s="13">
        <f t="shared" si="5"/>
        <v>-0.007644807177709545</v>
      </c>
    </row>
    <row r="192" spans="1:13" ht="12.75">
      <c r="A192" s="57">
        <f>EOMONTH(A191,1)</f>
        <v>39021</v>
      </c>
      <c r="B192" s="10">
        <v>129860299</v>
      </c>
      <c r="C192" s="1">
        <v>335.1</v>
      </c>
      <c r="D192" s="1">
        <v>0</v>
      </c>
      <c r="E192" s="59">
        <v>136.76141098020776</v>
      </c>
      <c r="F192" s="10">
        <v>31</v>
      </c>
      <c r="G192" s="10">
        <v>1</v>
      </c>
      <c r="H192" s="10">
        <f>'[3]Summary'!J158</f>
        <v>131112</v>
      </c>
      <c r="I192" s="16">
        <f>'[4]Monthly Peak'!B121</f>
        <v>240.5</v>
      </c>
      <c r="J192" s="10">
        <v>10</v>
      </c>
      <c r="K192" s="10">
        <f aca="true" t="shared" si="6" ref="K192:K242">$O$125+C192*$O$126+D192*$O$127+E192*$O$128+F192*$O$129+G192*$O$130+H192*$O$131+I192*$O$132+J192*$O$133</f>
        <v>129840536.84416324</v>
      </c>
      <c r="L192" s="10">
        <f aca="true" t="shared" si="7" ref="L192:L218">B192-K192</f>
        <v>19762.155836760998</v>
      </c>
      <c r="M192" s="13">
        <f aca="true" t="shared" si="8" ref="M192:M218">B192/K192-1</f>
        <v>0.0001522032819416541</v>
      </c>
    </row>
    <row r="193" spans="1:13" ht="12.75">
      <c r="A193" s="57">
        <f>EOMONTH(A192,1)</f>
        <v>39051</v>
      </c>
      <c r="B193" s="10">
        <v>131299426</v>
      </c>
      <c r="C193" s="1">
        <v>415.9</v>
      </c>
      <c r="D193" s="1">
        <v>0</v>
      </c>
      <c r="E193" s="59">
        <v>137.04311709485967</v>
      </c>
      <c r="F193" s="10">
        <v>30</v>
      </c>
      <c r="G193" s="10">
        <v>1</v>
      </c>
      <c r="H193" s="10">
        <f>'[3]Summary'!J159</f>
        <v>131286</v>
      </c>
      <c r="I193" s="16">
        <f>'[4]Monthly Peak'!B122</f>
        <v>241.3</v>
      </c>
      <c r="J193" s="10">
        <v>11</v>
      </c>
      <c r="K193" s="10">
        <f t="shared" si="6"/>
        <v>129025392.5438905</v>
      </c>
      <c r="L193" s="10">
        <f t="shared" si="7"/>
        <v>2274033.456109494</v>
      </c>
      <c r="M193" s="13">
        <f t="shared" si="8"/>
        <v>0.0176246970559375</v>
      </c>
    </row>
    <row r="194" spans="1:13" ht="12.75">
      <c r="A194" s="57">
        <f>EOMONTH(A193,1)</f>
        <v>39082</v>
      </c>
      <c r="B194" s="10">
        <v>131260972</v>
      </c>
      <c r="C194" s="1">
        <v>545.2</v>
      </c>
      <c r="D194" s="1">
        <v>0</v>
      </c>
      <c r="E194" s="60">
        <v>137.3254034779841</v>
      </c>
      <c r="F194" s="10">
        <v>31</v>
      </c>
      <c r="G194" s="10">
        <v>0</v>
      </c>
      <c r="H194" s="10">
        <f>'[3]Summary'!J160</f>
        <v>131460</v>
      </c>
      <c r="I194" s="16">
        <f>'[4]Monthly Peak'!B123</f>
        <v>262.7</v>
      </c>
      <c r="J194" s="10">
        <v>12</v>
      </c>
      <c r="K194" s="10">
        <f t="shared" si="6"/>
        <v>137365842.60787818</v>
      </c>
      <c r="L194" s="10">
        <f t="shared" si="7"/>
        <v>-6104870.607878178</v>
      </c>
      <c r="M194" s="13">
        <f t="shared" si="8"/>
        <v>-0.044442420997664045</v>
      </c>
    </row>
    <row r="195" spans="1:28" ht="12.75">
      <c r="A195" s="57">
        <f>EOMONTH(A194,1)</f>
        <v>39113</v>
      </c>
      <c r="B195" s="10">
        <v>141950997</v>
      </c>
      <c r="C195" s="1">
        <v>698.3</v>
      </c>
      <c r="D195" s="1">
        <v>0</v>
      </c>
      <c r="E195" s="59">
        <v>137.5746632239352</v>
      </c>
      <c r="F195" s="10">
        <v>31</v>
      </c>
      <c r="G195" s="10">
        <v>0</v>
      </c>
      <c r="H195" s="10">
        <f>'[3]Summary'!J161</f>
        <v>131624</v>
      </c>
      <c r="I195" s="16">
        <f>'[4]Monthly Peak'!B124</f>
        <v>258.4</v>
      </c>
      <c r="J195" s="10">
        <v>13</v>
      </c>
      <c r="K195" s="10">
        <f t="shared" si="6"/>
        <v>139404733.4914261</v>
      </c>
      <c r="L195" s="10">
        <f t="shared" si="7"/>
        <v>2546263.5085738897</v>
      </c>
      <c r="M195" s="13">
        <f t="shared" si="8"/>
        <v>0.01826525860924577</v>
      </c>
      <c r="AA195" s="11"/>
      <c r="AB195" s="11"/>
    </row>
    <row r="196" spans="1:13" ht="12.75">
      <c r="A196" s="57">
        <f>EOMONTH(A195,1)</f>
        <v>39141</v>
      </c>
      <c r="B196" s="10">
        <v>134079334</v>
      </c>
      <c r="C196" s="1">
        <v>785.1</v>
      </c>
      <c r="D196" s="1">
        <v>0</v>
      </c>
      <c r="E196" s="59">
        <v>137.82437540198828</v>
      </c>
      <c r="F196" s="10">
        <v>28</v>
      </c>
      <c r="G196" s="10">
        <v>0</v>
      </c>
      <c r="H196" s="10">
        <f>'[3]Summary'!J162</f>
        <v>131788</v>
      </c>
      <c r="I196" s="16">
        <f>'[4]Monthly Peak'!B125</f>
        <v>264.8</v>
      </c>
      <c r="J196" s="10">
        <v>14</v>
      </c>
      <c r="K196" s="10">
        <f t="shared" si="6"/>
        <v>134887652.52775386</v>
      </c>
      <c r="L196" s="10">
        <f t="shared" si="7"/>
        <v>-808318.5277538598</v>
      </c>
      <c r="M196" s="13">
        <f t="shared" si="8"/>
        <v>-0.005992531655835132</v>
      </c>
    </row>
    <row r="197" spans="1:13" ht="12.75">
      <c r="A197" s="57">
        <f>EOMONTH(A196,1)</f>
        <v>39172</v>
      </c>
      <c r="B197" s="10">
        <v>137122151</v>
      </c>
      <c r="C197" s="1">
        <v>582</v>
      </c>
      <c r="D197" s="1">
        <v>0</v>
      </c>
      <c r="E197" s="59">
        <v>138.07454083335418</v>
      </c>
      <c r="F197" s="10">
        <v>31</v>
      </c>
      <c r="G197" s="10">
        <v>1</v>
      </c>
      <c r="H197" s="10">
        <f>'[3]Summary'!J163</f>
        <v>131952</v>
      </c>
      <c r="I197" s="16">
        <f>'[4]Monthly Peak'!B126</f>
        <v>251.9</v>
      </c>
      <c r="J197" s="10">
        <v>15</v>
      </c>
      <c r="K197" s="10">
        <f t="shared" si="6"/>
        <v>135927077.0410096</v>
      </c>
      <c r="L197" s="10">
        <f t="shared" si="7"/>
        <v>1195073.958990395</v>
      </c>
      <c r="M197" s="13">
        <f t="shared" si="8"/>
        <v>0.00879202278902702</v>
      </c>
    </row>
    <row r="198" spans="1:13" ht="12.75">
      <c r="A198" s="57">
        <f>EOMONTH(A197,1)</f>
        <v>39202</v>
      </c>
      <c r="B198" s="10">
        <v>124757179</v>
      </c>
      <c r="C198" s="1">
        <v>403</v>
      </c>
      <c r="D198" s="1">
        <v>0</v>
      </c>
      <c r="E198" s="59">
        <v>138.32516034073433</v>
      </c>
      <c r="F198" s="10">
        <v>30</v>
      </c>
      <c r="G198" s="10">
        <v>1</v>
      </c>
      <c r="H198" s="10">
        <f>'[3]Summary'!J164</f>
        <v>132116</v>
      </c>
      <c r="I198" s="16">
        <f>'[4]Monthly Peak'!B127</f>
        <v>244.2</v>
      </c>
      <c r="J198" s="10">
        <v>16</v>
      </c>
      <c r="K198" s="10">
        <f t="shared" si="6"/>
        <v>128698288.87944634</v>
      </c>
      <c r="L198" s="10">
        <f t="shared" si="7"/>
        <v>-3941109.8794463426</v>
      </c>
      <c r="M198" s="13">
        <f t="shared" si="8"/>
        <v>-0.030622861529558065</v>
      </c>
    </row>
    <row r="199" spans="1:13" ht="12.75">
      <c r="A199" s="57">
        <f>EOMONTH(A198,1)</f>
        <v>39233</v>
      </c>
      <c r="B199" s="10">
        <v>128722398</v>
      </c>
      <c r="C199" s="1">
        <v>166.4</v>
      </c>
      <c r="D199" s="1">
        <v>11.2</v>
      </c>
      <c r="E199" s="59">
        <v>138.57623474832346</v>
      </c>
      <c r="F199" s="10">
        <v>31</v>
      </c>
      <c r="G199" s="10">
        <v>1</v>
      </c>
      <c r="H199" s="10">
        <f>'[3]Summary'!J165</f>
        <v>132280</v>
      </c>
      <c r="I199" s="16">
        <f>'[4]Monthly Peak'!B128</f>
        <v>271.9</v>
      </c>
      <c r="J199" s="10">
        <v>17</v>
      </c>
      <c r="K199" s="10">
        <f t="shared" si="6"/>
        <v>132304953.51453528</v>
      </c>
      <c r="L199" s="10">
        <f t="shared" si="7"/>
        <v>-3582555.514535278</v>
      </c>
      <c r="M199" s="13">
        <f t="shared" si="8"/>
        <v>-0.02707801499013185</v>
      </c>
    </row>
    <row r="200" spans="1:13" ht="12.75">
      <c r="A200" s="57">
        <f>EOMONTH(A199,1)</f>
        <v>39263</v>
      </c>
      <c r="B200" s="10">
        <v>139397997</v>
      </c>
      <c r="C200" s="1">
        <v>35.5</v>
      </c>
      <c r="D200" s="1">
        <v>51.2</v>
      </c>
      <c r="E200" s="59">
        <v>138.8277648818123</v>
      </c>
      <c r="F200" s="10">
        <v>30</v>
      </c>
      <c r="G200" s="10">
        <v>0</v>
      </c>
      <c r="H200" s="10">
        <f>'[3]Summary'!J166</f>
        <v>132444</v>
      </c>
      <c r="I200" s="16">
        <f>'[4]Monthly Peak'!B129</f>
        <v>318.2</v>
      </c>
      <c r="J200" s="10">
        <v>18</v>
      </c>
      <c r="K200" s="10">
        <f t="shared" si="6"/>
        <v>138948993.5076227</v>
      </c>
      <c r="L200" s="10">
        <f t="shared" si="7"/>
        <v>449003.492377311</v>
      </c>
      <c r="M200" s="13">
        <f t="shared" si="8"/>
        <v>0.0032314267346793546</v>
      </c>
    </row>
    <row r="201" spans="1:13" ht="12.75">
      <c r="A201" s="57">
        <f>EOMONTH(A200,1)</f>
        <v>39294</v>
      </c>
      <c r="B201" s="10">
        <v>134351987</v>
      </c>
      <c r="C201" s="1">
        <v>28</v>
      </c>
      <c r="D201" s="1">
        <v>53.8</v>
      </c>
      <c r="E201" s="59">
        <v>139.07975156839024</v>
      </c>
      <c r="F201" s="10">
        <v>31</v>
      </c>
      <c r="G201" s="10">
        <v>0</v>
      </c>
      <c r="H201" s="10">
        <f>'[3]Summary'!J167</f>
        <v>132608</v>
      </c>
      <c r="I201" s="16">
        <f>'[4]Monthly Peak'!B130</f>
        <v>309.2</v>
      </c>
      <c r="J201" s="10">
        <v>19</v>
      </c>
      <c r="K201" s="10">
        <f t="shared" si="6"/>
        <v>139755634.41452208</v>
      </c>
      <c r="L201" s="10">
        <f t="shared" si="7"/>
        <v>-5403647.414522082</v>
      </c>
      <c r="M201" s="13">
        <f t="shared" si="8"/>
        <v>-0.03866497001827207</v>
      </c>
    </row>
    <row r="202" spans="1:13" ht="12.75">
      <c r="A202" s="57">
        <f>EOMONTH(A201,1)</f>
        <v>39325</v>
      </c>
      <c r="B202" s="10">
        <v>145489294</v>
      </c>
      <c r="C202" s="1">
        <v>19.7</v>
      </c>
      <c r="D202" s="1">
        <v>65.1</v>
      </c>
      <c r="E202" s="59">
        <v>139.33219563674817</v>
      </c>
      <c r="F202" s="10">
        <v>31</v>
      </c>
      <c r="G202" s="10">
        <v>0</v>
      </c>
      <c r="H202" s="10">
        <f>'[3]Summary'!J168</f>
        <v>132772</v>
      </c>
      <c r="I202" s="16">
        <f>'[4]Monthly Peak'!B131</f>
        <v>308.5</v>
      </c>
      <c r="J202" s="10">
        <v>20</v>
      </c>
      <c r="K202" s="10">
        <f t="shared" si="6"/>
        <v>140407554.98754463</v>
      </c>
      <c r="L202" s="10">
        <f t="shared" si="7"/>
        <v>5081739.012455374</v>
      </c>
      <c r="M202" s="13">
        <f t="shared" si="8"/>
        <v>0.03619277476134508</v>
      </c>
    </row>
    <row r="203" spans="1:13" ht="12.75">
      <c r="A203" s="57">
        <f>EOMONTH(A202,1)</f>
        <v>39355</v>
      </c>
      <c r="B203" s="10">
        <v>128127734</v>
      </c>
      <c r="C203" s="1">
        <v>74.7</v>
      </c>
      <c r="D203" s="1">
        <v>28</v>
      </c>
      <c r="E203" s="59">
        <v>139.5850979170811</v>
      </c>
      <c r="F203" s="10">
        <v>30</v>
      </c>
      <c r="G203" s="10">
        <v>1</v>
      </c>
      <c r="H203" s="10">
        <f>'[3]Summary'!J169</f>
        <v>132936</v>
      </c>
      <c r="I203" s="16">
        <f>'[4]Monthly Peak'!B132</f>
        <v>295.7</v>
      </c>
      <c r="J203" s="10">
        <v>21</v>
      </c>
      <c r="K203" s="10">
        <f t="shared" si="6"/>
        <v>133381297.90994382</v>
      </c>
      <c r="L203" s="10">
        <f t="shared" si="7"/>
        <v>-5253563.909943819</v>
      </c>
      <c r="M203" s="13">
        <f t="shared" si="8"/>
        <v>-0.03938756026718915</v>
      </c>
    </row>
    <row r="204" spans="1:13" ht="12.75">
      <c r="A204" s="57">
        <f>EOMONTH(A203,1)</f>
        <v>39386</v>
      </c>
      <c r="B204" s="10">
        <v>130195410</v>
      </c>
      <c r="C204" s="1">
        <v>184.7</v>
      </c>
      <c r="D204" s="1">
        <v>10.9</v>
      </c>
      <c r="E204" s="59">
        <v>139.83845924109096</v>
      </c>
      <c r="F204" s="10">
        <v>31</v>
      </c>
      <c r="G204" s="10">
        <v>1</v>
      </c>
      <c r="H204" s="10">
        <f>'[3]Summary'!J170</f>
        <v>133100</v>
      </c>
      <c r="I204" s="16">
        <f>'[4]Monthly Peak'!B133</f>
        <v>245.5</v>
      </c>
      <c r="J204" s="10">
        <v>22</v>
      </c>
      <c r="K204" s="10">
        <f t="shared" si="6"/>
        <v>127462779.82866226</v>
      </c>
      <c r="L204" s="10">
        <f t="shared" si="7"/>
        <v>2732630.1713377386</v>
      </c>
      <c r="M204" s="13">
        <f t="shared" si="8"/>
        <v>0.021438651934399866</v>
      </c>
    </row>
    <row r="205" spans="1:13" ht="12.75">
      <c r="A205" s="57">
        <f>EOMONTH(A204,1)</f>
        <v>39416</v>
      </c>
      <c r="B205" s="10">
        <v>132285360</v>
      </c>
      <c r="C205" s="1">
        <v>511.8</v>
      </c>
      <c r="D205" s="1">
        <v>0</v>
      </c>
      <c r="E205" s="59">
        <v>140.09228044198926</v>
      </c>
      <c r="F205" s="10">
        <v>30</v>
      </c>
      <c r="G205" s="10">
        <v>1</v>
      </c>
      <c r="H205" s="10">
        <f>'[3]Summary'!J171</f>
        <v>133264</v>
      </c>
      <c r="I205" s="16">
        <f>'[4]Monthly Peak'!B134</f>
        <v>243.4</v>
      </c>
      <c r="J205" s="10">
        <v>23</v>
      </c>
      <c r="K205" s="10">
        <f t="shared" si="6"/>
        <v>129787989.25402018</v>
      </c>
      <c r="L205" s="10">
        <f t="shared" si="7"/>
        <v>2497370.7459798157</v>
      </c>
      <c r="M205" s="13">
        <f t="shared" si="8"/>
        <v>0.019241924929524812</v>
      </c>
    </row>
    <row r="206" spans="1:13" ht="12.75">
      <c r="A206" s="57">
        <f>EOMONTH(A205,1)</f>
        <v>39447</v>
      </c>
      <c r="B206" s="10">
        <v>132714082</v>
      </c>
      <c r="C206" s="1">
        <v>686.6</v>
      </c>
      <c r="D206" s="1">
        <v>0</v>
      </c>
      <c r="E206" s="60">
        <v>140.34656235449975</v>
      </c>
      <c r="F206" s="10">
        <v>31</v>
      </c>
      <c r="G206" s="10">
        <v>0</v>
      </c>
      <c r="H206" s="10">
        <f>'[3]Summary'!J172</f>
        <v>133428</v>
      </c>
      <c r="I206" s="16">
        <f>'[4]Monthly Peak'!B135</f>
        <v>251</v>
      </c>
      <c r="J206" s="10">
        <v>24</v>
      </c>
      <c r="K206" s="10">
        <f t="shared" si="6"/>
        <v>136588888.87201834</v>
      </c>
      <c r="L206" s="10">
        <f t="shared" si="7"/>
        <v>-3874806.8720183372</v>
      </c>
      <c r="M206" s="13">
        <f t="shared" si="8"/>
        <v>-0.028368390020721</v>
      </c>
    </row>
    <row r="207" spans="1:13" ht="12.75">
      <c r="A207" s="57">
        <f>EOMONTH(A206,1)</f>
        <v>39478</v>
      </c>
      <c r="B207" s="10">
        <v>140041421</v>
      </c>
      <c r="C207" s="1">
        <v>676.8</v>
      </c>
      <c r="D207" s="1">
        <v>0</v>
      </c>
      <c r="E207" s="59">
        <v>140.29969417988008</v>
      </c>
      <c r="F207" s="10">
        <v>31</v>
      </c>
      <c r="G207" s="10">
        <v>0</v>
      </c>
      <c r="H207" s="10">
        <f>'[3]Summary'!J173</f>
        <v>133520</v>
      </c>
      <c r="I207" s="16">
        <f>'[4]Monthly Peak'!B136</f>
        <v>251.9</v>
      </c>
      <c r="J207" s="10">
        <v>25</v>
      </c>
      <c r="K207" s="10">
        <f t="shared" si="6"/>
        <v>136279788.06612813</v>
      </c>
      <c r="L207" s="10">
        <f t="shared" si="7"/>
        <v>3761632.9338718653</v>
      </c>
      <c r="M207" s="13">
        <f t="shared" si="8"/>
        <v>0.02760228047938096</v>
      </c>
    </row>
    <row r="208" spans="1:13" ht="12.75">
      <c r="A208" s="57">
        <f>EOMONTH(A207,1)</f>
        <v>39507</v>
      </c>
      <c r="B208" s="10">
        <v>132651127</v>
      </c>
      <c r="C208" s="1">
        <v>651.2</v>
      </c>
      <c r="D208" s="1">
        <v>0</v>
      </c>
      <c r="E208" s="59">
        <v>140.25284165670035</v>
      </c>
      <c r="F208" s="10">
        <v>28</v>
      </c>
      <c r="G208" s="10">
        <v>0</v>
      </c>
      <c r="H208" s="10">
        <f>'[3]Summary'!J174</f>
        <v>133612</v>
      </c>
      <c r="I208" s="16">
        <f>'[4]Monthly Peak'!B137</f>
        <v>252.5</v>
      </c>
      <c r="J208" s="10">
        <v>26</v>
      </c>
      <c r="K208" s="10">
        <f t="shared" si="6"/>
        <v>128470094.31321876</v>
      </c>
      <c r="L208" s="10">
        <f t="shared" si="7"/>
        <v>4181032.6867812425</v>
      </c>
      <c r="M208" s="13">
        <f t="shared" si="8"/>
        <v>0.03254479347222716</v>
      </c>
    </row>
    <row r="209" spans="1:13" ht="12.75">
      <c r="A209" s="57">
        <f>EOMONTH(A208,1)</f>
        <v>39538</v>
      </c>
      <c r="B209" s="10">
        <v>133457374</v>
      </c>
      <c r="C209" s="1">
        <v>686.1</v>
      </c>
      <c r="D209" s="1">
        <v>0</v>
      </c>
      <c r="E209" s="59">
        <v>140.20600477973383</v>
      </c>
      <c r="F209" s="10">
        <v>31</v>
      </c>
      <c r="G209" s="10">
        <v>1</v>
      </c>
      <c r="H209" s="10">
        <f>'[3]Summary'!J175</f>
        <v>133704</v>
      </c>
      <c r="I209" s="16">
        <f>'[4]Monthly Peak'!B138</f>
        <v>240.3</v>
      </c>
      <c r="J209" s="10">
        <v>27</v>
      </c>
      <c r="K209" s="10">
        <f t="shared" si="6"/>
        <v>133984983.27406722</v>
      </c>
      <c r="L209" s="10">
        <f t="shared" si="7"/>
        <v>-527609.2740672231</v>
      </c>
      <c r="M209" s="13">
        <f t="shared" si="8"/>
        <v>-0.003937823935000195</v>
      </c>
    </row>
    <row r="210" spans="1:13" ht="12.75">
      <c r="A210" s="57">
        <f>EOMONTH(A209,1)</f>
        <v>39568</v>
      </c>
      <c r="B210" s="10">
        <v>122596206</v>
      </c>
      <c r="C210" s="1">
        <v>297.9</v>
      </c>
      <c r="D210" s="1">
        <v>0</v>
      </c>
      <c r="E210" s="59">
        <v>140.15918354375555</v>
      </c>
      <c r="F210" s="10">
        <v>30</v>
      </c>
      <c r="G210" s="10">
        <v>1</v>
      </c>
      <c r="H210" s="10">
        <f>'[3]Summary'!J176</f>
        <v>133796</v>
      </c>
      <c r="I210" s="16">
        <f>'[4]Monthly Peak'!B139</f>
        <v>229.3</v>
      </c>
      <c r="J210" s="10">
        <v>28</v>
      </c>
      <c r="K210" s="10">
        <f t="shared" si="6"/>
        <v>122059931.59259725</v>
      </c>
      <c r="L210" s="10">
        <f t="shared" si="7"/>
        <v>536274.4074027538</v>
      </c>
      <c r="M210" s="13">
        <f t="shared" si="8"/>
        <v>0.0043935335732669945</v>
      </c>
    </row>
    <row r="211" spans="1:13" ht="12.75">
      <c r="A211" s="57">
        <f>EOMONTH(A210,1)</f>
        <v>39599</v>
      </c>
      <c r="B211" s="10">
        <v>121120167</v>
      </c>
      <c r="C211" s="1">
        <v>243.1</v>
      </c>
      <c r="D211" s="1">
        <v>0.7</v>
      </c>
      <c r="E211" s="59">
        <v>140.1123779435422</v>
      </c>
      <c r="F211" s="10">
        <v>31</v>
      </c>
      <c r="G211" s="10">
        <v>1</v>
      </c>
      <c r="H211" s="10">
        <f>'[3]Summary'!J177</f>
        <v>133888</v>
      </c>
      <c r="I211" s="16">
        <f>'[4]Monthly Peak'!B140</f>
        <v>229.9</v>
      </c>
      <c r="J211" s="10">
        <v>29</v>
      </c>
      <c r="K211" s="10">
        <f t="shared" si="6"/>
        <v>123293749.98503242</v>
      </c>
      <c r="L211" s="10">
        <f t="shared" si="7"/>
        <v>-2173582.9850324243</v>
      </c>
      <c r="M211" s="13">
        <f t="shared" si="8"/>
        <v>-0.0176293038803369</v>
      </c>
    </row>
    <row r="212" spans="1:13" ht="12.75">
      <c r="A212" s="57">
        <f>EOMONTH(A211,1)</f>
        <v>39629</v>
      </c>
      <c r="B212" s="10">
        <v>130438115</v>
      </c>
      <c r="C212" s="1">
        <v>40.6</v>
      </c>
      <c r="D212" s="1">
        <v>53</v>
      </c>
      <c r="E212" s="59">
        <v>140.06558797387237</v>
      </c>
      <c r="F212" s="10">
        <v>30</v>
      </c>
      <c r="G212" s="10">
        <v>0</v>
      </c>
      <c r="H212" s="10">
        <f>'[3]Summary'!J178</f>
        <v>133980</v>
      </c>
      <c r="I212" s="16">
        <f>'[4]Monthly Peak'!B141</f>
        <v>298.3</v>
      </c>
      <c r="J212" s="10">
        <v>30</v>
      </c>
      <c r="K212" s="10">
        <f t="shared" si="6"/>
        <v>133384794.95750716</v>
      </c>
      <c r="L212" s="10">
        <f t="shared" si="7"/>
        <v>-2946679.9575071633</v>
      </c>
      <c r="M212" s="13">
        <f t="shared" si="8"/>
        <v>-0.022091573169534806</v>
      </c>
    </row>
    <row r="213" spans="1:13" ht="12.75">
      <c r="A213" s="57">
        <f>EOMONTH(A212,1)</f>
        <v>39660</v>
      </c>
      <c r="B213" s="10">
        <v>139693948</v>
      </c>
      <c r="C213" s="1">
        <v>7.6</v>
      </c>
      <c r="D213" s="1">
        <v>75.8</v>
      </c>
      <c r="E213" s="59">
        <v>140.01881362952622</v>
      </c>
      <c r="F213" s="10">
        <v>31</v>
      </c>
      <c r="G213" s="10">
        <v>0</v>
      </c>
      <c r="H213" s="10">
        <f>'[3]Summary'!J179</f>
        <v>134072</v>
      </c>
      <c r="I213" s="16">
        <f>'[4]Monthly Peak'!B142</f>
        <v>291.3</v>
      </c>
      <c r="J213" s="10">
        <v>31</v>
      </c>
      <c r="K213" s="10">
        <f t="shared" si="6"/>
        <v>135770714.72931427</v>
      </c>
      <c r="L213" s="10">
        <f t="shared" si="7"/>
        <v>3923233.2706857324</v>
      </c>
      <c r="M213" s="13">
        <f t="shared" si="8"/>
        <v>0.02889601987076129</v>
      </c>
    </row>
    <row r="214" spans="1:13" ht="12.75">
      <c r="A214" s="57">
        <f>EOMONTH(A213,1)</f>
        <v>39691</v>
      </c>
      <c r="B214" s="10">
        <v>131943162</v>
      </c>
      <c r="C214" s="1">
        <v>36.2</v>
      </c>
      <c r="D214" s="1">
        <v>29.5</v>
      </c>
      <c r="E214" s="59">
        <v>139.97205490528577</v>
      </c>
      <c r="F214" s="10">
        <v>31</v>
      </c>
      <c r="G214" s="10">
        <v>0</v>
      </c>
      <c r="H214" s="10">
        <f>'[3]Summary'!J180</f>
        <v>134164</v>
      </c>
      <c r="I214" s="16">
        <f>'[4]Monthly Peak'!B143</f>
        <v>275.6</v>
      </c>
      <c r="J214" s="10">
        <v>32</v>
      </c>
      <c r="K214" s="10">
        <f t="shared" si="6"/>
        <v>129018759.07161318</v>
      </c>
      <c r="L214" s="10">
        <f t="shared" si="7"/>
        <v>2924402.9283868223</v>
      </c>
      <c r="M214" s="13">
        <f t="shared" si="8"/>
        <v>0.02266649400002052</v>
      </c>
    </row>
    <row r="215" spans="1:13" ht="12.75">
      <c r="A215" s="57">
        <f>EOMONTH(A214,1)</f>
        <v>39721</v>
      </c>
      <c r="B215" s="10">
        <v>126425825</v>
      </c>
      <c r="C215" s="1">
        <v>93.2</v>
      </c>
      <c r="D215" s="1">
        <v>12</v>
      </c>
      <c r="E215" s="59">
        <v>139.92531179593476</v>
      </c>
      <c r="F215" s="10">
        <v>30</v>
      </c>
      <c r="G215" s="10">
        <v>1</v>
      </c>
      <c r="H215" s="10">
        <f>'[3]Summary'!J181</f>
        <v>134256</v>
      </c>
      <c r="I215" s="16">
        <f>'[4]Monthly Peak'!B144</f>
        <v>277.3</v>
      </c>
      <c r="J215" s="10">
        <v>33</v>
      </c>
      <c r="K215" s="10">
        <f t="shared" si="6"/>
        <v>126198501.05991292</v>
      </c>
      <c r="L215" s="10">
        <f t="shared" si="7"/>
        <v>227323.94008708</v>
      </c>
      <c r="M215" s="13">
        <f t="shared" si="8"/>
        <v>0.0018013204449960352</v>
      </c>
    </row>
    <row r="216" spans="1:13" ht="12.75">
      <c r="A216" s="57">
        <f>EOMONTH(A215,1)</f>
        <v>39752</v>
      </c>
      <c r="B216" s="10">
        <v>125628543</v>
      </c>
      <c r="C216" s="1">
        <v>325.7</v>
      </c>
      <c r="D216" s="1">
        <v>0</v>
      </c>
      <c r="E216" s="59">
        <v>139.87858429625865</v>
      </c>
      <c r="F216" s="10">
        <v>31</v>
      </c>
      <c r="G216" s="10">
        <v>1</v>
      </c>
      <c r="H216" s="10">
        <f>'[3]Summary'!J182</f>
        <v>134348</v>
      </c>
      <c r="I216" s="16">
        <f>'[4]Monthly Peak'!B145</f>
        <v>225.3</v>
      </c>
      <c r="J216" s="10">
        <v>34</v>
      </c>
      <c r="K216" s="10">
        <f t="shared" si="6"/>
        <v>122605402.45613098</v>
      </c>
      <c r="L216" s="10">
        <f t="shared" si="7"/>
        <v>3023140.5438690186</v>
      </c>
      <c r="M216" s="13">
        <f t="shared" si="8"/>
        <v>0.024657482323837465</v>
      </c>
    </row>
    <row r="217" spans="1:13" ht="12.75">
      <c r="A217" s="57">
        <f>EOMONTH(A216,1)</f>
        <v>39782</v>
      </c>
      <c r="B217" s="10">
        <v>125038661</v>
      </c>
      <c r="C217" s="1">
        <v>499.7</v>
      </c>
      <c r="D217" s="1">
        <v>0</v>
      </c>
      <c r="E217" s="59">
        <v>139.83187240104465</v>
      </c>
      <c r="F217" s="10">
        <v>30</v>
      </c>
      <c r="G217" s="10">
        <v>1</v>
      </c>
      <c r="H217" s="10">
        <f>'[3]Summary'!J183</f>
        <v>134440</v>
      </c>
      <c r="I217" s="16">
        <f>'[4]Monthly Peak'!B146</f>
        <v>234.9</v>
      </c>
      <c r="J217" s="10">
        <v>35</v>
      </c>
      <c r="K217" s="10">
        <f t="shared" si="6"/>
        <v>124902903.3737324</v>
      </c>
      <c r="L217" s="10">
        <f t="shared" si="7"/>
        <v>135757.62626759708</v>
      </c>
      <c r="M217" s="13">
        <f t="shared" si="8"/>
        <v>0.001086905288833817</v>
      </c>
    </row>
    <row r="218" spans="1:13" ht="12.75">
      <c r="A218" s="57">
        <f>EOMONTH(A217,1)</f>
        <v>39813</v>
      </c>
      <c r="B218" s="10">
        <v>128488680</v>
      </c>
      <c r="C218" s="1">
        <v>694</v>
      </c>
      <c r="D218" s="1">
        <v>0</v>
      </c>
      <c r="E218" s="60">
        <v>139.78517610508175</v>
      </c>
      <c r="F218" s="10">
        <v>31</v>
      </c>
      <c r="G218" s="10">
        <v>0</v>
      </c>
      <c r="H218" s="10">
        <f>'[3]Summary'!J184</f>
        <v>134532</v>
      </c>
      <c r="I218" s="16">
        <f>'[4]Monthly Peak'!B147</f>
        <v>241.6</v>
      </c>
      <c r="J218" s="10">
        <v>36</v>
      </c>
      <c r="K218" s="10">
        <f t="shared" si="6"/>
        <v>131757612.22555931</v>
      </c>
      <c r="L218" s="10">
        <f t="shared" si="7"/>
        <v>-3268932.225559309</v>
      </c>
      <c r="M218" s="13">
        <f t="shared" si="8"/>
        <v>-0.024810196316878752</v>
      </c>
    </row>
    <row r="219" spans="1:14" ht="12.75">
      <c r="A219" s="57">
        <f>EOMONTH(A218,1)</f>
        <v>39844</v>
      </c>
      <c r="C219" s="17">
        <f>(C63+C75+C87+C99+C111+C123+C135+C147+C159+C171+C183+C195+C207)/13</f>
        <v>742.4153846153845</v>
      </c>
      <c r="D219" s="17">
        <f>(D63+D75+D87+D99+D111+D123+D135+D147+D159+D171+D183+D195+D207)/13</f>
        <v>0</v>
      </c>
      <c r="E219" s="59">
        <v>139.49056581400828</v>
      </c>
      <c r="F219" s="10">
        <v>31</v>
      </c>
      <c r="G219" s="10">
        <v>0</v>
      </c>
      <c r="H219" s="10">
        <f>'[3]Summary'!J185</f>
        <v>134619</v>
      </c>
      <c r="I219" s="16">
        <f>(I63+I75+I87+I99+I111+I123+I135+I147+I159+I171+I183+I195+I207)/13</f>
        <v>233.44615384615383</v>
      </c>
      <c r="J219" s="10">
        <v>37</v>
      </c>
      <c r="K219" s="19">
        <f t="shared" si="6"/>
        <v>130875361.79619125</v>
      </c>
      <c r="N219" s="96">
        <f>K219/1000</f>
        <v>130875.36179619124</v>
      </c>
    </row>
    <row r="220" spans="1:11" ht="12.75">
      <c r="A220" s="57">
        <f>EOMONTH(A219,1)</f>
        <v>39872</v>
      </c>
      <c r="C220" s="17">
        <f aca="true" t="shared" si="9" ref="C220:D230">(C64+C76+C88+C100+C112+C124+C136+C148+C160+C172+C184+C196+C208)/13</f>
        <v>656.553846153846</v>
      </c>
      <c r="D220" s="17">
        <f t="shared" si="9"/>
        <v>0</v>
      </c>
      <c r="E220" s="59">
        <v>139.1965764415903</v>
      </c>
      <c r="F220" s="10">
        <v>29</v>
      </c>
      <c r="G220" s="10">
        <v>0</v>
      </c>
      <c r="H220" s="10">
        <f>'[3]Summary'!J186</f>
        <v>134706</v>
      </c>
      <c r="I220" s="16">
        <f aca="true" t="shared" si="10" ref="I220:I229">(I64+I76+I88+I100+I112+I124+I136+I148+I160+I172+I184+I196+I208)/13</f>
        <v>229.89999999999998</v>
      </c>
      <c r="J220" s="10">
        <v>38</v>
      </c>
      <c r="K220" s="19">
        <f t="shared" si="6"/>
        <v>123477838.65399548</v>
      </c>
    </row>
    <row r="221" spans="1:11" ht="12.75">
      <c r="A221" s="57">
        <f>EOMONTH(A220,1)</f>
        <v>39903</v>
      </c>
      <c r="C221" s="17">
        <f t="shared" si="9"/>
        <v>594.1923076923076</v>
      </c>
      <c r="D221" s="17">
        <f t="shared" si="9"/>
        <v>0</v>
      </c>
      <c r="E221" s="59">
        <v>138.90320667918388</v>
      </c>
      <c r="F221" s="10">
        <v>31</v>
      </c>
      <c r="G221" s="10">
        <v>1</v>
      </c>
      <c r="H221" s="10">
        <f>'[3]Summary'!J187</f>
        <v>134793</v>
      </c>
      <c r="I221" s="16">
        <f t="shared" si="10"/>
        <v>223.2846153846154</v>
      </c>
      <c r="J221" s="10">
        <v>39</v>
      </c>
      <c r="K221" s="19">
        <f t="shared" si="6"/>
        <v>125620036.5099219</v>
      </c>
    </row>
    <row r="222" spans="1:11" ht="12.75">
      <c r="A222" s="57">
        <f>EOMONTH(A221,1)</f>
        <v>39933</v>
      </c>
      <c r="C222" s="17">
        <f t="shared" si="9"/>
        <v>355.9230769230769</v>
      </c>
      <c r="D222" s="17">
        <f t="shared" si="9"/>
        <v>0.5615384615384615</v>
      </c>
      <c r="E222" s="59">
        <v>138.61045522090313</v>
      </c>
      <c r="F222" s="10">
        <v>30</v>
      </c>
      <c r="G222" s="10">
        <v>1</v>
      </c>
      <c r="H222" s="10">
        <f>'[3]Summary'!J188</f>
        <v>134880</v>
      </c>
      <c r="I222" s="16">
        <f t="shared" si="10"/>
        <v>214.24615384615385</v>
      </c>
      <c r="J222" s="10">
        <v>40</v>
      </c>
      <c r="K222" s="19">
        <f t="shared" si="6"/>
        <v>116818600.49119894</v>
      </c>
    </row>
    <row r="223" spans="1:11" ht="12.75">
      <c r="A223" s="57">
        <f>EOMONTH(A222,1)</f>
        <v>39964</v>
      </c>
      <c r="C223" s="17">
        <f t="shared" si="9"/>
        <v>193.3692307692308</v>
      </c>
      <c r="D223" s="17">
        <f t="shared" si="9"/>
        <v>7.584615384615385</v>
      </c>
      <c r="E223" s="59">
        <v>138.31832076361448</v>
      </c>
      <c r="F223" s="10">
        <v>31</v>
      </c>
      <c r="G223" s="10">
        <v>1</v>
      </c>
      <c r="H223" s="10">
        <f>'[3]Summary'!J189</f>
        <v>134967</v>
      </c>
      <c r="I223" s="16">
        <f t="shared" si="10"/>
        <v>226.90769230769232</v>
      </c>
      <c r="J223" s="10">
        <v>41</v>
      </c>
      <c r="K223" s="19">
        <f t="shared" si="6"/>
        <v>118571615.06177013</v>
      </c>
    </row>
    <row r="224" spans="1:11" ht="12.75">
      <c r="A224" s="57">
        <f>EOMONTH(A223,1)</f>
        <v>39994</v>
      </c>
      <c r="C224" s="17">
        <f t="shared" si="9"/>
        <v>47.4923076923077</v>
      </c>
      <c r="D224" s="17">
        <f t="shared" si="9"/>
        <v>49.861538461538466</v>
      </c>
      <c r="E224" s="59">
        <v>138.0268020069308</v>
      </c>
      <c r="F224" s="10">
        <v>30</v>
      </c>
      <c r="G224" s="10">
        <v>0</v>
      </c>
      <c r="H224" s="10">
        <f>'[3]Summary'!J190</f>
        <v>135054</v>
      </c>
      <c r="I224" s="16">
        <f t="shared" si="10"/>
        <v>267.6461538461539</v>
      </c>
      <c r="J224" s="10">
        <v>42</v>
      </c>
      <c r="K224" s="19">
        <f t="shared" si="6"/>
        <v>123912152.7553633</v>
      </c>
    </row>
    <row r="225" spans="1:11" ht="12.75">
      <c r="A225" s="57">
        <f>EOMONTH(A224,1)</f>
        <v>40025</v>
      </c>
      <c r="C225" s="17">
        <f t="shared" si="9"/>
        <v>13.8</v>
      </c>
      <c r="D225" s="17">
        <f t="shared" si="9"/>
        <v>72.86153846153846</v>
      </c>
      <c r="E225" s="59">
        <v>137.73589765320568</v>
      </c>
      <c r="F225" s="10">
        <v>31</v>
      </c>
      <c r="G225" s="10">
        <v>0</v>
      </c>
      <c r="H225" s="10">
        <f>'[3]Summary'!J191</f>
        <v>135141</v>
      </c>
      <c r="I225" s="16">
        <f t="shared" si="10"/>
        <v>267.2307692307692</v>
      </c>
      <c r="J225" s="10">
        <v>43</v>
      </c>
      <c r="K225" s="19">
        <f t="shared" si="6"/>
        <v>127332138.716949</v>
      </c>
    </row>
    <row r="226" spans="1:11" ht="12.75">
      <c r="A226" s="57">
        <f>EOMONTH(A225,1)</f>
        <v>40056</v>
      </c>
      <c r="C226" s="17">
        <f t="shared" si="9"/>
        <v>23.746153846153845</v>
      </c>
      <c r="D226" s="17">
        <f t="shared" si="9"/>
        <v>52.638461538461534</v>
      </c>
      <c r="E226" s="59">
        <v>137.44560640752758</v>
      </c>
      <c r="F226" s="10">
        <v>31</v>
      </c>
      <c r="G226" s="10">
        <v>0</v>
      </c>
      <c r="H226" s="10">
        <f>'[3]Summary'!J192</f>
        <v>135228</v>
      </c>
      <c r="I226" s="16">
        <f t="shared" si="10"/>
        <v>266.0307692307692</v>
      </c>
      <c r="J226" s="10">
        <v>44</v>
      </c>
      <c r="K226" s="19">
        <f t="shared" si="6"/>
        <v>125046244.6607891</v>
      </c>
    </row>
    <row r="227" spans="1:11" ht="12.75">
      <c r="A227" s="57">
        <f>EOMONTH(A226,1)</f>
        <v>40086</v>
      </c>
      <c r="C227" s="17">
        <f t="shared" si="9"/>
        <v>93.02307692307691</v>
      </c>
      <c r="D227" s="17">
        <f t="shared" si="9"/>
        <v>17.207692307692305</v>
      </c>
      <c r="E227" s="59">
        <v>137.15592697771413</v>
      </c>
      <c r="F227" s="10">
        <v>30</v>
      </c>
      <c r="G227" s="10">
        <v>1</v>
      </c>
      <c r="H227" s="10">
        <f>'[3]Summary'!J193</f>
        <v>135315</v>
      </c>
      <c r="I227" s="16">
        <f t="shared" si="10"/>
        <v>245.58461538461538</v>
      </c>
      <c r="J227" s="10">
        <v>45</v>
      </c>
      <c r="K227" s="19">
        <f t="shared" si="6"/>
        <v>116854509.02602533</v>
      </c>
    </row>
    <row r="228" spans="1:11" ht="12.75">
      <c r="A228" s="57">
        <f>EOMONTH(A227,1)</f>
        <v>40117</v>
      </c>
      <c r="C228" s="17">
        <f t="shared" si="9"/>
        <v>289.66153846153844</v>
      </c>
      <c r="D228" s="17">
        <f t="shared" si="9"/>
        <v>1.646153846153846</v>
      </c>
      <c r="E228" s="59">
        <v>136.86685807430638</v>
      </c>
      <c r="F228" s="10">
        <v>31</v>
      </c>
      <c r="G228" s="10">
        <v>1</v>
      </c>
      <c r="H228" s="10">
        <f>'[3]Summary'!J194</f>
        <v>135402</v>
      </c>
      <c r="I228" s="16">
        <f t="shared" si="10"/>
        <v>217.6769230769231</v>
      </c>
      <c r="J228" s="10">
        <v>46</v>
      </c>
      <c r="K228" s="19">
        <f t="shared" si="6"/>
        <v>116307247.6904505</v>
      </c>
    </row>
    <row r="229" spans="1:11" ht="12.75">
      <c r="A229" s="57">
        <f>EOMONTH(A228,1)</f>
        <v>40147</v>
      </c>
      <c r="C229" s="17">
        <f>(C73+C85+C97+C109+C121+C133+C145+C157+C169+C181+C193+C205+C217)/13</f>
        <v>455.4307692307693</v>
      </c>
      <c r="D229" s="17">
        <f t="shared" si="9"/>
        <v>0</v>
      </c>
      <c r="E229" s="59">
        <v>136.57839841056298</v>
      </c>
      <c r="F229" s="10">
        <v>30</v>
      </c>
      <c r="G229" s="10">
        <v>1</v>
      </c>
      <c r="H229" s="10">
        <f>'[3]Summary'!J195</f>
        <v>135489</v>
      </c>
      <c r="I229" s="16">
        <f t="shared" si="10"/>
        <v>227.9923076923077</v>
      </c>
      <c r="J229" s="10">
        <v>47</v>
      </c>
      <c r="K229" s="19">
        <f t="shared" si="6"/>
        <v>118310584.03343189</v>
      </c>
    </row>
    <row r="230" spans="1:11" ht="12.75">
      <c r="A230" s="57">
        <f>EOMONTH(A229,1)</f>
        <v>40178</v>
      </c>
      <c r="C230" s="17">
        <f t="shared" si="9"/>
        <v>649.6846153846155</v>
      </c>
      <c r="D230" s="17">
        <f t="shared" si="9"/>
        <v>0</v>
      </c>
      <c r="E230" s="60">
        <v>136.2905467024547</v>
      </c>
      <c r="F230" s="10">
        <v>31</v>
      </c>
      <c r="G230" s="10">
        <v>0</v>
      </c>
      <c r="H230" s="10">
        <f>'[3]Summary'!J196</f>
        <v>135576</v>
      </c>
      <c r="I230" s="16">
        <f>(I74+I86+I98+I110+I122+I134+I146+I158+I170+I182+I194+I206+I218)/13</f>
        <v>237.4076923076923</v>
      </c>
      <c r="J230" s="10">
        <v>48</v>
      </c>
      <c r="K230" s="19">
        <f t="shared" si="6"/>
        <v>125525318.81458837</v>
      </c>
    </row>
    <row r="231" spans="1:11" ht="12.75">
      <c r="A231" s="57">
        <f>EOMONTH(A230,1)</f>
        <v>40209</v>
      </c>
      <c r="C231" s="17">
        <f>C219</f>
        <v>742.4153846153845</v>
      </c>
      <c r="D231" s="17">
        <f>D219</f>
        <v>0</v>
      </c>
      <c r="E231" s="59">
        <v>136.54905631666588</v>
      </c>
      <c r="F231" s="10">
        <v>31</v>
      </c>
      <c r="G231" s="10">
        <v>0</v>
      </c>
      <c r="H231" s="10">
        <f>'[3]Summary'!J197</f>
        <v>135659</v>
      </c>
      <c r="I231" s="16">
        <f aca="true" t="shared" si="11" ref="I231:I241">I219</f>
        <v>233.44615384615383</v>
      </c>
      <c r="J231" s="10">
        <v>49</v>
      </c>
      <c r="K231" s="19">
        <f t="shared" si="6"/>
        <v>126451582.5901651</v>
      </c>
    </row>
    <row r="232" spans="1:11" ht="12.75">
      <c r="A232" s="57">
        <f>EOMONTH(A231,1)</f>
        <v>40237</v>
      </c>
      <c r="C232" s="17">
        <f aca="true" t="shared" si="12" ref="C232:D242">C220</f>
        <v>656.553846153846</v>
      </c>
      <c r="D232" s="17">
        <f t="shared" si="12"/>
        <v>0</v>
      </c>
      <c r="E232" s="59">
        <v>136.80805625997368</v>
      </c>
      <c r="F232" s="10">
        <v>28</v>
      </c>
      <c r="G232" s="10">
        <v>0</v>
      </c>
      <c r="H232" s="10">
        <f>'[3]Summary'!J198</f>
        <v>135742</v>
      </c>
      <c r="I232" s="16">
        <f t="shared" si="11"/>
        <v>229.89999999999998</v>
      </c>
      <c r="J232" s="10">
        <v>50</v>
      </c>
      <c r="K232" s="19">
        <f t="shared" si="6"/>
        <v>116914262.70941737</v>
      </c>
    </row>
    <row r="233" spans="1:11" ht="12.75">
      <c r="A233" s="57">
        <f>EOMONTH(A232,1)</f>
        <v>40268</v>
      </c>
      <c r="C233" s="17">
        <f t="shared" si="12"/>
        <v>594.1923076923076</v>
      </c>
      <c r="D233" s="17">
        <f t="shared" si="12"/>
        <v>0</v>
      </c>
      <c r="E233" s="59">
        <v>137.06754746241165</v>
      </c>
      <c r="F233" s="10">
        <v>31</v>
      </c>
      <c r="G233" s="10">
        <v>1</v>
      </c>
      <c r="H233" s="10">
        <f>'[3]Summary'!J199</f>
        <v>135825</v>
      </c>
      <c r="I233" s="16">
        <f t="shared" si="11"/>
        <v>223.2846153846154</v>
      </c>
      <c r="J233" s="10">
        <v>51</v>
      </c>
      <c r="K233" s="19">
        <f t="shared" si="6"/>
        <v>121682689.72719136</v>
      </c>
    </row>
    <row r="234" spans="1:11" ht="12.75">
      <c r="A234" s="57">
        <f>EOMONTH(A233,1)</f>
        <v>40298</v>
      </c>
      <c r="C234" s="17">
        <f t="shared" si="12"/>
        <v>355.9230769230769</v>
      </c>
      <c r="D234" s="17">
        <f t="shared" si="12"/>
        <v>0.5615384615384615</v>
      </c>
      <c r="E234" s="59">
        <v>137.32753085577744</v>
      </c>
      <c r="F234" s="10">
        <v>30</v>
      </c>
      <c r="G234" s="10">
        <v>1</v>
      </c>
      <c r="H234" s="10">
        <f>'[3]Summary'!J200</f>
        <v>135908</v>
      </c>
      <c r="I234" s="16">
        <f t="shared" si="11"/>
        <v>214.24615384615385</v>
      </c>
      <c r="J234" s="10">
        <v>52</v>
      </c>
      <c r="K234" s="19">
        <f t="shared" si="6"/>
        <v>113124385.69894725</v>
      </c>
    </row>
    <row r="235" spans="1:11" ht="12.75">
      <c r="A235" s="57">
        <f>EOMONTH(A234,1)</f>
        <v>40329</v>
      </c>
      <c r="C235" s="17">
        <f t="shared" si="12"/>
        <v>193.3692307692308</v>
      </c>
      <c r="D235" s="17">
        <f t="shared" si="12"/>
        <v>7.584615384615385</v>
      </c>
      <c r="E235" s="59">
        <v>137.58800737363606</v>
      </c>
      <c r="F235" s="10">
        <v>31</v>
      </c>
      <c r="G235" s="10">
        <v>1</v>
      </c>
      <c r="H235" s="10">
        <f>'[3]Summary'!J201</f>
        <v>135991</v>
      </c>
      <c r="I235" s="16">
        <f t="shared" si="11"/>
        <v>226.90769230769232</v>
      </c>
      <c r="J235" s="10">
        <v>53</v>
      </c>
      <c r="K235" s="19">
        <f t="shared" si="6"/>
        <v>115120477.43263784</v>
      </c>
    </row>
    <row r="236" spans="1:11" ht="12.75">
      <c r="A236" s="57">
        <f>EOMONTH(A235,1)</f>
        <v>40359</v>
      </c>
      <c r="C236" s="17">
        <f t="shared" si="12"/>
        <v>47.4923076923077</v>
      </c>
      <c r="D236" s="17">
        <f t="shared" si="12"/>
        <v>49.861538461538466</v>
      </c>
      <c r="E236" s="59">
        <v>137.84897795132326</v>
      </c>
      <c r="F236" s="10">
        <v>30</v>
      </c>
      <c r="G236" s="10">
        <v>0</v>
      </c>
      <c r="H236" s="10">
        <f>'[3]Summary'!J202</f>
        <v>136074</v>
      </c>
      <c r="I236" s="16">
        <f t="shared" si="11"/>
        <v>267.6461538461539</v>
      </c>
      <c r="J236" s="10">
        <v>54</v>
      </c>
      <c r="K236" s="19">
        <f t="shared" si="6"/>
        <v>120704038.45151508</v>
      </c>
    </row>
    <row r="237" spans="1:11" ht="12.75">
      <c r="A237" s="57">
        <f>EOMONTH(A236,1)</f>
        <v>40390</v>
      </c>
      <c r="C237" s="17">
        <f t="shared" si="12"/>
        <v>13.8</v>
      </c>
      <c r="D237" s="17">
        <f t="shared" si="12"/>
        <v>72.86153846153846</v>
      </c>
      <c r="E237" s="59">
        <v>138.11044352594894</v>
      </c>
      <c r="F237" s="10">
        <v>31</v>
      </c>
      <c r="G237" s="10">
        <v>0</v>
      </c>
      <c r="H237" s="10">
        <f>'[3]Summary'!J203</f>
        <v>136157</v>
      </c>
      <c r="I237" s="16">
        <f t="shared" si="11"/>
        <v>267.2307692307692</v>
      </c>
      <c r="J237" s="10">
        <v>55</v>
      </c>
      <c r="K237" s="19">
        <f t="shared" si="6"/>
        <v>124366994.88964584</v>
      </c>
    </row>
    <row r="238" spans="1:11" ht="12.75">
      <c r="A238" s="57">
        <f>EOMONTH(A237,1)</f>
        <v>40421</v>
      </c>
      <c r="C238" s="17">
        <f t="shared" si="12"/>
        <v>23.746153846153845</v>
      </c>
      <c r="D238" s="17">
        <f t="shared" si="12"/>
        <v>52.638461538461534</v>
      </c>
      <c r="E238" s="59">
        <v>138.3724050364004</v>
      </c>
      <c r="F238" s="10">
        <v>31</v>
      </c>
      <c r="G238" s="10">
        <v>0</v>
      </c>
      <c r="H238" s="10">
        <f>'[3]Summary'!J204</f>
        <v>136240</v>
      </c>
      <c r="I238" s="16">
        <f t="shared" si="11"/>
        <v>266.0307692307692</v>
      </c>
      <c r="J238" s="10">
        <v>56</v>
      </c>
      <c r="K238" s="19">
        <f t="shared" si="6"/>
        <v>122324019.44996454</v>
      </c>
    </row>
    <row r="239" spans="1:11" ht="12.75">
      <c r="A239" s="57">
        <f>EOMONTH(A238,1)</f>
        <v>40451</v>
      </c>
      <c r="C239" s="17">
        <f t="shared" si="12"/>
        <v>93.02307692307691</v>
      </c>
      <c r="D239" s="17">
        <f t="shared" si="12"/>
        <v>17.207692307692305</v>
      </c>
      <c r="E239" s="59">
        <v>138.63486342334582</v>
      </c>
      <c r="F239" s="10">
        <v>30</v>
      </c>
      <c r="G239" s="10">
        <v>1</v>
      </c>
      <c r="H239" s="10">
        <f>'[3]Summary'!J205</f>
        <v>136323</v>
      </c>
      <c r="I239" s="16">
        <f t="shared" si="11"/>
        <v>245.58461538461538</v>
      </c>
      <c r="J239" s="10">
        <v>57</v>
      </c>
      <c r="K239" s="19">
        <f t="shared" si="6"/>
        <v>114375151.55986568</v>
      </c>
    </row>
    <row r="240" spans="1:11" ht="12.75">
      <c r="A240" s="57">
        <f>EOMONTH(A239,1)</f>
        <v>40482</v>
      </c>
      <c r="C240" s="17">
        <f t="shared" si="12"/>
        <v>289.66153846153844</v>
      </c>
      <c r="D240" s="17">
        <f t="shared" si="12"/>
        <v>1.646153846153846</v>
      </c>
      <c r="E240" s="59">
        <v>138.89781962923757</v>
      </c>
      <c r="F240" s="10">
        <v>31</v>
      </c>
      <c r="G240" s="10">
        <v>1</v>
      </c>
      <c r="H240" s="10">
        <f>'[3]Summary'!J206</f>
        <v>136406</v>
      </c>
      <c r="I240" s="16">
        <f t="shared" si="11"/>
        <v>217.6769230769231</v>
      </c>
      <c r="J240" s="10">
        <v>58</v>
      </c>
      <c r="K240" s="19">
        <f t="shared" si="6"/>
        <v>114070708.0849792</v>
      </c>
    </row>
    <row r="241" spans="1:11" ht="12.75">
      <c r="A241" s="57">
        <f>EOMONTH(A240,1)</f>
        <v>40512</v>
      </c>
      <c r="C241" s="17">
        <f t="shared" si="12"/>
        <v>455.4307692307693</v>
      </c>
      <c r="D241" s="17">
        <f t="shared" si="12"/>
        <v>0</v>
      </c>
      <c r="E241" s="59">
        <v>139.16127459831566</v>
      </c>
      <c r="F241" s="10">
        <v>30</v>
      </c>
      <c r="G241" s="10">
        <v>1</v>
      </c>
      <c r="H241" s="10">
        <f>'[3]Summary'!J207</f>
        <v>136489</v>
      </c>
      <c r="I241" s="16">
        <f t="shared" si="11"/>
        <v>227.9923076923077</v>
      </c>
      <c r="J241" s="10">
        <v>59</v>
      </c>
      <c r="K241" s="19">
        <f t="shared" si="6"/>
        <v>116316813.39209794</v>
      </c>
    </row>
    <row r="242" spans="1:11" ht="12.75">
      <c r="A242" s="57">
        <f>EOMONTH(A241,1)</f>
        <v>40543</v>
      </c>
      <c r="C242" s="17">
        <f>C230</f>
        <v>649.6846153846155</v>
      </c>
      <c r="D242" s="17">
        <f t="shared" si="12"/>
        <v>0</v>
      </c>
      <c r="E242" s="60">
        <v>139.42522927661113</v>
      </c>
      <c r="F242" s="10">
        <v>31</v>
      </c>
      <c r="G242" s="10">
        <v>0</v>
      </c>
      <c r="H242" s="10">
        <f>'[3]Summary'!J208</f>
        <v>136572</v>
      </c>
      <c r="I242" s="16">
        <f>I230</f>
        <v>237.4076923076923</v>
      </c>
      <c r="J242" s="10">
        <v>60</v>
      </c>
      <c r="K242" s="19">
        <f t="shared" si="6"/>
        <v>123774269.2278586</v>
      </c>
    </row>
    <row r="243" spans="1:7" ht="12.75">
      <c r="A243" s="57"/>
      <c r="F243" s="10"/>
      <c r="G243" s="10"/>
    </row>
    <row r="244" spans="1:11" ht="12.75">
      <c r="A244" s="57"/>
      <c r="C244" s="18"/>
      <c r="D244" s="73" t="s">
        <v>95</v>
      </c>
      <c r="F244" s="10"/>
      <c r="G244" s="10"/>
      <c r="K244" s="56">
        <f>SUM(K63:K242)</f>
        <v>21684329821.324955</v>
      </c>
    </row>
    <row r="245" spans="1:7" ht="12.75">
      <c r="A245" s="57"/>
      <c r="F245" s="10"/>
      <c r="G245" s="10"/>
    </row>
    <row r="246" spans="1:13" ht="12.75">
      <c r="A246" s="45">
        <v>1996</v>
      </c>
      <c r="B246" s="6">
        <f>SUM(B63:B74)</f>
        <v>1126778593</v>
      </c>
      <c r="F246" s="10"/>
      <c r="G246" s="10"/>
      <c r="K246" s="6">
        <f>SUM(K63:K74)</f>
        <v>1144747242.5400853</v>
      </c>
      <c r="L246" s="41">
        <f aca="true" t="shared" si="13" ref="L246:L258">K246-B246</f>
        <v>17968649.540085316</v>
      </c>
      <c r="M246" s="5">
        <f aca="true" t="shared" si="14" ref="M246:M258">L246/B246</f>
        <v>0.015946921295553328</v>
      </c>
    </row>
    <row r="247" spans="1:13" ht="12.75">
      <c r="A247" s="58">
        <v>1997</v>
      </c>
      <c r="B247" s="6">
        <f>SUM(B75:B86)</f>
        <v>1202822244</v>
      </c>
      <c r="F247" s="10"/>
      <c r="G247" s="10"/>
      <c r="K247" s="6">
        <f>SUM(K75:K86)</f>
        <v>1206275961.0049496</v>
      </c>
      <c r="L247" s="41">
        <f t="shared" si="13"/>
        <v>3453717.0049495697</v>
      </c>
      <c r="M247" s="5">
        <f t="shared" si="14"/>
        <v>0.0028713444751937676</v>
      </c>
    </row>
    <row r="248" spans="1:13" ht="12.75">
      <c r="A248" s="45">
        <v>1998</v>
      </c>
      <c r="B248" s="6">
        <f>SUM(B87:B98)</f>
        <v>1272551157</v>
      </c>
      <c r="F248" s="10"/>
      <c r="G248" s="10"/>
      <c r="K248" s="6">
        <f>SUM(K87:K98)</f>
        <v>1255414534.6028755</v>
      </c>
      <c r="L248" s="41">
        <f t="shared" si="13"/>
        <v>-17136622.39712453</v>
      </c>
      <c r="M248" s="5">
        <f t="shared" si="14"/>
        <v>-0.013466352454956377</v>
      </c>
    </row>
    <row r="249" spans="1:13" ht="12.75">
      <c r="A249" s="58">
        <v>1999</v>
      </c>
      <c r="B249" s="6">
        <f>SUM(B99:B110)</f>
        <v>1350815390.1000001</v>
      </c>
      <c r="F249" s="10"/>
      <c r="G249" s="10"/>
      <c r="K249" s="6">
        <f>SUM(K99:K110)</f>
        <v>1333186002.5325754</v>
      </c>
      <c r="L249" s="41">
        <f t="shared" si="13"/>
        <v>-17629387.567424774</v>
      </c>
      <c r="M249" s="5">
        <f t="shared" si="14"/>
        <v>-0.013050922943748575</v>
      </c>
    </row>
    <row r="250" spans="1:13" ht="12.75">
      <c r="A250" s="45">
        <v>2000</v>
      </c>
      <c r="B250" s="6">
        <f>SUM(B111:B122)</f>
        <v>1392173591.8</v>
      </c>
      <c r="F250" s="10"/>
      <c r="G250" s="10"/>
      <c r="K250" s="6">
        <f>SUM(K111:K122)</f>
        <v>1393923266.7943325</v>
      </c>
      <c r="L250" s="41">
        <f t="shared" si="13"/>
        <v>1749674.994332552</v>
      </c>
      <c r="M250" s="5">
        <f t="shared" si="14"/>
        <v>0.0012567936963021424</v>
      </c>
    </row>
    <row r="251" spans="1:13" ht="12.75">
      <c r="A251" s="58">
        <v>2001</v>
      </c>
      <c r="B251" s="6">
        <f>SUM(B123:B134)</f>
        <v>1420977730</v>
      </c>
      <c r="F251" s="10"/>
      <c r="G251" s="10"/>
      <c r="K251" s="6">
        <f>SUM(K123:K134)</f>
        <v>1443778987.9166384</v>
      </c>
      <c r="L251" s="41">
        <f t="shared" si="13"/>
        <v>22801257.916638374</v>
      </c>
      <c r="M251" s="5">
        <f t="shared" si="14"/>
        <v>0.01604617541517584</v>
      </c>
    </row>
    <row r="252" spans="1:13" ht="12.75">
      <c r="A252" s="45">
        <v>2002</v>
      </c>
      <c r="B252" s="6">
        <f>SUM(B135:B146)</f>
        <v>1519144756</v>
      </c>
      <c r="F252" s="10"/>
      <c r="G252" s="10"/>
      <c r="K252" s="6">
        <f>SUM(K135:K146)</f>
        <v>1514089910.745773</v>
      </c>
      <c r="L252" s="41">
        <f t="shared" si="13"/>
        <v>-5054845.254226923</v>
      </c>
      <c r="M252" s="5">
        <f t="shared" si="14"/>
        <v>-0.00332742830086623</v>
      </c>
    </row>
    <row r="253" spans="1:13" ht="12.75">
      <c r="A253" s="58">
        <v>2003</v>
      </c>
      <c r="B253" s="6">
        <f>SUM(B147:B158)</f>
        <v>1523717530</v>
      </c>
      <c r="F253" s="10"/>
      <c r="G253" s="10"/>
      <c r="K253" s="6">
        <f>SUM(K147:K158)</f>
        <v>1530916927.4622436</v>
      </c>
      <c r="L253" s="41">
        <f t="shared" si="13"/>
        <v>7199397.462243557</v>
      </c>
      <c r="M253" s="5">
        <f t="shared" si="14"/>
        <v>0.004724889830625994</v>
      </c>
    </row>
    <row r="254" spans="1:13" ht="12.75">
      <c r="A254" s="45">
        <v>2004</v>
      </c>
      <c r="B254" s="6">
        <f>SUM(B159:B170)</f>
        <v>1570405930</v>
      </c>
      <c r="F254" s="10"/>
      <c r="G254" s="10"/>
      <c r="K254" s="6">
        <f>SUM(K159:K170)</f>
        <v>1549059116.4876199</v>
      </c>
      <c r="L254" s="41">
        <f t="shared" si="13"/>
        <v>-21346813.512380123</v>
      </c>
      <c r="M254" s="5">
        <f t="shared" si="14"/>
        <v>-0.01359318193123489</v>
      </c>
    </row>
    <row r="255" spans="1:13" ht="12.75">
      <c r="A255" s="58">
        <v>2005</v>
      </c>
      <c r="B255" s="6">
        <f>SUM(B171:B182)</f>
        <v>1640988662</v>
      </c>
      <c r="K255" s="6">
        <f>SUM(K171:K182)</f>
        <v>1636434659.6133075</v>
      </c>
      <c r="L255" s="41">
        <f t="shared" si="13"/>
        <v>-4554002.386692524</v>
      </c>
      <c r="M255" s="5">
        <f t="shared" si="14"/>
        <v>-0.002775157740055442</v>
      </c>
    </row>
    <row r="256" spans="1:13" ht="12.75">
      <c r="A256" s="45">
        <v>2006</v>
      </c>
      <c r="B256" s="6">
        <f>SUM(B183:B194)</f>
        <v>1599360044</v>
      </c>
      <c r="K256" s="6">
        <f>SUM(K183:K194)</f>
        <v>1613343090.8662796</v>
      </c>
      <c r="L256" s="41">
        <f t="shared" si="13"/>
        <v>13983046.866279602</v>
      </c>
      <c r="M256" s="5">
        <f t="shared" si="14"/>
        <v>0.00874290121147956</v>
      </c>
    </row>
    <row r="257" spans="1:13" ht="12.75">
      <c r="A257" s="58">
        <v>2007</v>
      </c>
      <c r="B257" s="6">
        <f>SUM(B195:B206)</f>
        <v>1609193923</v>
      </c>
      <c r="K257" s="6">
        <f>SUM(K195:K206)</f>
        <v>1617555844.2285051</v>
      </c>
      <c r="L257" s="41">
        <f t="shared" si="13"/>
        <v>8361921.228505135</v>
      </c>
      <c r="M257" s="5">
        <f t="shared" si="14"/>
        <v>0.005196341540313619</v>
      </c>
    </row>
    <row r="258" spans="1:13" ht="12.75">
      <c r="A258" s="45">
        <v>2008</v>
      </c>
      <c r="B258" s="6">
        <f>SUM(B207:B218)</f>
        <v>1557523229</v>
      </c>
      <c r="K258" s="6">
        <f>SUM(K207:K218)</f>
        <v>1547727235.1048138</v>
      </c>
      <c r="L258" s="41">
        <f t="shared" si="13"/>
        <v>-9795993.895186186</v>
      </c>
      <c r="M258" s="5">
        <f t="shared" si="14"/>
        <v>-0.006289468890602457</v>
      </c>
    </row>
    <row r="259" spans="1:11" ht="12.75">
      <c r="A259" s="58">
        <v>2009</v>
      </c>
      <c r="K259" s="6">
        <f>SUM(K219:K230)</f>
        <v>1468651648.210675</v>
      </c>
    </row>
    <row r="260" spans="1:11" ht="12.75">
      <c r="A260" s="45">
        <v>2010</v>
      </c>
      <c r="K260" s="6">
        <f>SUM(K231:K242)</f>
        <v>1429225393.2142859</v>
      </c>
    </row>
    <row r="261" ht="12.75">
      <c r="K261" s="6"/>
    </row>
    <row r="262" spans="1:12" ht="12.75">
      <c r="A262" s="45" t="s">
        <v>83</v>
      </c>
      <c r="B262" s="6">
        <f>SUM(B246:B258)</f>
        <v>18786452779.9</v>
      </c>
      <c r="K262" s="6">
        <f>SUM(K246:K258)</f>
        <v>18786452779.899998</v>
      </c>
      <c r="L262" s="6">
        <f>K262-B262</f>
        <v>0</v>
      </c>
    </row>
    <row r="264" spans="11:12" ht="12.75">
      <c r="K264" s="6">
        <f>SUM(K246:K260)</f>
        <v>21684329821.32496</v>
      </c>
      <c r="L264" s="56">
        <f>K244-K264</f>
        <v>0</v>
      </c>
    </row>
    <row r="265" spans="11:13" ht="12.75">
      <c r="K265" s="18"/>
      <c r="L265" s="18" t="s">
        <v>82</v>
      </c>
      <c r="M265" s="18"/>
    </row>
  </sheetData>
  <printOptions gridLines="1"/>
  <pageMargins left="0.38" right="0.75" top="0.73" bottom="0.74" header="0.5" footer="0.5"/>
  <pageSetup fitToHeight="1" fitToWidth="1" horizontalDpi="600" verticalDpi="600" orientation="landscape" scale="18" r:id="rId1"/>
  <headerFooter alignWithMargins="0">
    <oddFooter>&amp;L&amp;Z&amp;F</oddFooter>
  </headerFooter>
  <rowBreaks count="1" manualBreakCount="1">
    <brk id="15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0"/>
  <sheetViews>
    <sheetView workbookViewId="0" topLeftCell="A1">
      <pane xSplit="1" ySplit="2" topLeftCell="G3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H80" sqref="H80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5.7109375" style="6" customWidth="1"/>
    <col min="8" max="8" width="15.00390625" style="6" customWidth="1"/>
    <col min="9" max="10" width="14.140625" style="6" bestFit="1" customWidth="1"/>
    <col min="11" max="11" width="14.7109375" style="6" customWidth="1"/>
    <col min="12" max="12" width="12.57421875" style="6" customWidth="1"/>
    <col min="13" max="13" width="11.28125" style="6" customWidth="1"/>
    <col min="14" max="14" width="16.8515625" style="6" bestFit="1" customWidth="1"/>
    <col min="15" max="16" width="12.7109375" style="6" bestFit="1" customWidth="1"/>
    <col min="17" max="17" width="11.7109375" style="6" bestFit="1" customWidth="1"/>
    <col min="18" max="18" width="10.7109375" style="6" bestFit="1" customWidth="1"/>
    <col min="19" max="19" width="9.140625" style="6" customWidth="1"/>
    <col min="20" max="20" width="11.140625" style="6" bestFit="1" customWidth="1"/>
  </cols>
  <sheetData>
    <row r="1" ht="12.75"/>
    <row r="2" spans="2:14" ht="42" customHeight="1">
      <c r="B2" s="2" t="s">
        <v>9</v>
      </c>
      <c r="C2" s="2" t="s">
        <v>10</v>
      </c>
      <c r="D2" s="2" t="s">
        <v>52</v>
      </c>
      <c r="E2" s="2" t="s">
        <v>11</v>
      </c>
      <c r="F2" s="2" t="s">
        <v>0</v>
      </c>
      <c r="G2" s="7" t="s">
        <v>3</v>
      </c>
      <c r="H2" s="53" t="s">
        <v>1</v>
      </c>
      <c r="I2" s="54" t="s">
        <v>78</v>
      </c>
      <c r="J2" s="54" t="s">
        <v>79</v>
      </c>
      <c r="K2" s="54" t="s">
        <v>80</v>
      </c>
      <c r="L2" s="61" t="s">
        <v>88</v>
      </c>
      <c r="M2" s="55" t="s">
        <v>89</v>
      </c>
      <c r="N2" s="55" t="s">
        <v>2</v>
      </c>
    </row>
    <row r="3" ht="12.75"/>
    <row r="4" spans="1:2" ht="12.75">
      <c r="A4" s="18"/>
      <c r="B4" s="45" t="s">
        <v>54</v>
      </c>
    </row>
    <row r="5" spans="2:20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ht="12.75"/>
    <row r="7" spans="1:5" ht="12.75">
      <c r="A7">
        <f>'Purchased Power Model'!A246</f>
        <v>1996</v>
      </c>
      <c r="B7" s="6">
        <f>'Purchased Power Model'!B246</f>
        <v>1126778593</v>
      </c>
      <c r="C7" s="6">
        <f>'Purchased Power Model'!K246</f>
        <v>1144747242.5400853</v>
      </c>
      <c r="D7" s="41">
        <f>C7-B7</f>
        <v>17968649.540085316</v>
      </c>
      <c r="E7" s="5">
        <f>D7/B7</f>
        <v>0.015946921295553328</v>
      </c>
    </row>
    <row r="8" spans="1:5" ht="12.75">
      <c r="A8">
        <f>'Purchased Power Model'!A247</f>
        <v>1997</v>
      </c>
      <c r="B8" s="6">
        <f>'Purchased Power Model'!B247</f>
        <v>1202822244</v>
      </c>
      <c r="C8" s="6">
        <f>'Purchased Power Model'!K247</f>
        <v>1206275961.0049496</v>
      </c>
      <c r="D8" s="41">
        <f aca="true" t="shared" si="0" ref="D8:D19">C8-B8</f>
        <v>3453717.0049495697</v>
      </c>
      <c r="E8" s="5">
        <f aca="true" t="shared" si="1" ref="E8:E19">D8/B8</f>
        <v>0.0028713444751937676</v>
      </c>
    </row>
    <row r="9" spans="1:5" ht="12.75">
      <c r="A9">
        <f>'Purchased Power Model'!A248</f>
        <v>1998</v>
      </c>
      <c r="B9" s="6">
        <f>'Purchased Power Model'!B248</f>
        <v>1272551157</v>
      </c>
      <c r="C9" s="6">
        <f>'Purchased Power Model'!K248</f>
        <v>1255414534.6028755</v>
      </c>
      <c r="D9" s="41">
        <f t="shared" si="0"/>
        <v>-17136622.39712453</v>
      </c>
      <c r="E9" s="5">
        <f t="shared" si="1"/>
        <v>-0.013466352454956377</v>
      </c>
    </row>
    <row r="10" spans="1:6" ht="12.75">
      <c r="A10">
        <f>'Purchased Power Model'!A249</f>
        <v>1999</v>
      </c>
      <c r="B10" s="6">
        <f>'Purchased Power Model'!B249</f>
        <v>1350815390.1000001</v>
      </c>
      <c r="C10" s="6">
        <f>'Purchased Power Model'!K249</f>
        <v>1333186002.5325754</v>
      </c>
      <c r="D10" s="41">
        <f t="shared" si="0"/>
        <v>-17629387.567424774</v>
      </c>
      <c r="E10" s="5">
        <f t="shared" si="1"/>
        <v>-0.013050922943748575</v>
      </c>
      <c r="F10" s="26"/>
    </row>
    <row r="11" spans="1:7" ht="12.75">
      <c r="A11">
        <f>'Purchased Power Model'!A250</f>
        <v>2000</v>
      </c>
      <c r="B11" s="6">
        <f>'Purchased Power Model'!B250</f>
        <v>1392173591.8</v>
      </c>
      <c r="C11" s="6">
        <f>'Purchased Power Model'!K250</f>
        <v>1393923266.7943325</v>
      </c>
      <c r="D11" s="41">
        <f t="shared" si="0"/>
        <v>1749674.994332552</v>
      </c>
      <c r="E11" s="5">
        <f>D11/B11</f>
        <v>0.0012567936963021424</v>
      </c>
      <c r="F11" s="26"/>
      <c r="G11" s="29"/>
    </row>
    <row r="12" spans="1:14" ht="12.75">
      <c r="A12">
        <f>'Purchased Power Model'!A251</f>
        <v>2001</v>
      </c>
      <c r="B12" s="6">
        <f>'Purchased Power Model'!B251</f>
        <v>1420977730</v>
      </c>
      <c r="C12" s="6">
        <f>'Purchased Power Model'!K251</f>
        <v>1443778987.9166384</v>
      </c>
      <c r="D12" s="41">
        <f t="shared" si="0"/>
        <v>22801257.916638374</v>
      </c>
      <c r="E12" s="5">
        <f t="shared" si="1"/>
        <v>0.01604617541517584</v>
      </c>
      <c r="F12" s="26">
        <f>1+(B12-G12)/G12</f>
        <v>1.0449040451629705</v>
      </c>
      <c r="G12" s="29">
        <f>SUM(H12:N12)</f>
        <v>1359912172.393183</v>
      </c>
      <c r="H12" s="43">
        <f>SUM('[2]Summ for Load forecast'!$B$17:$B$28)</f>
        <v>351442094.8314524</v>
      </c>
      <c r="I12" s="43">
        <f>SUM('[2]Summ for Load forecast'!$C$17:$C$28)</f>
        <v>157136324.39708453</v>
      </c>
      <c r="J12" s="43">
        <f>SUM('[2]Summ for Load forecast'!$D$17:$D$28)</f>
        <v>412594902.204646</v>
      </c>
      <c r="K12" s="43">
        <f>SUM('[2]Summ for Load forecast'!$E$17:$E$28)</f>
        <v>236352896.65</v>
      </c>
      <c r="L12" s="43">
        <f>SUM('[2]Summ for Load forecast'!$F$17:$F$28)</f>
        <v>202385954.30999994</v>
      </c>
      <c r="M12" s="43">
        <f>SUM('[2]Summ for Load forecast'!$H$17:$H$28)</f>
        <v>0</v>
      </c>
      <c r="N12" s="43">
        <f>SUM('[2]Summ for Load forecast'!$G$17:$G$28)</f>
        <v>0</v>
      </c>
    </row>
    <row r="13" spans="1:14" ht="12.75">
      <c r="A13">
        <f>'Purchased Power Model'!A252</f>
        <v>2002</v>
      </c>
      <c r="B13" s="6">
        <f>'Purchased Power Model'!B252</f>
        <v>1519144756</v>
      </c>
      <c r="C13" s="6">
        <f>'Purchased Power Model'!K252</f>
        <v>1514089910.745773</v>
      </c>
      <c r="D13" s="41">
        <f t="shared" si="0"/>
        <v>-5054845.254226923</v>
      </c>
      <c r="E13" s="5">
        <f t="shared" si="1"/>
        <v>-0.00332742830086623</v>
      </c>
      <c r="F13" s="26">
        <f aca="true" t="shared" si="2" ref="F13:F19">1+(B13-G13)/G13</f>
        <v>1.0708358192216183</v>
      </c>
      <c r="G13" s="29">
        <f aca="true" t="shared" si="3" ref="G13:G19">SUM(H13:N13)</f>
        <v>1418653288.1429515</v>
      </c>
      <c r="H13" s="43">
        <f>SUM('[2]Summ for Load forecast'!$B$29:$B$40)</f>
        <v>336178776.15744424</v>
      </c>
      <c r="I13" s="43">
        <f>SUM('[2]Summ for Load forecast'!$C$29:$C$40)</f>
        <v>154250737.98550725</v>
      </c>
      <c r="J13" s="43">
        <f>SUM('[2]Summ for Load forecast'!$D$29:$D$40)</f>
        <v>441910546</v>
      </c>
      <c r="K13" s="43">
        <f>SUM('[2]Summ for Load forecast'!$E$29:$E$40)</f>
        <v>247744953.00000003</v>
      </c>
      <c r="L13" s="43">
        <f>SUM('[2]Summ for Load forecast'!$F$29:$F$40)</f>
        <v>238568275.00000003</v>
      </c>
      <c r="M13" s="43">
        <f>SUM('[2]Summ for Load forecast'!$H$29:$H$40)</f>
        <v>0</v>
      </c>
      <c r="N13" s="43">
        <f>SUM('[2]Summ for Load forecast'!$G$29:$G$40)</f>
        <v>0</v>
      </c>
    </row>
    <row r="14" spans="1:14" ht="12.75">
      <c r="A14">
        <f>'Purchased Power Model'!A253</f>
        <v>2003</v>
      </c>
      <c r="B14" s="6">
        <f>'Purchased Power Model'!B253</f>
        <v>1523717530</v>
      </c>
      <c r="C14" s="6">
        <f>'Purchased Power Model'!K253</f>
        <v>1530916927.4622436</v>
      </c>
      <c r="D14" s="41">
        <f t="shared" si="0"/>
        <v>7199397.462243557</v>
      </c>
      <c r="E14" s="5">
        <f t="shared" si="1"/>
        <v>0.004724889830625994</v>
      </c>
      <c r="F14" s="26">
        <f t="shared" si="2"/>
        <v>1.0252026988302334</v>
      </c>
      <c r="G14" s="29">
        <f t="shared" si="3"/>
        <v>1486259772.5684657</v>
      </c>
      <c r="H14" s="43">
        <f>SUM('[2]Summ for Load forecast'!$B$41:$B$52)</f>
        <v>365784244.47617793</v>
      </c>
      <c r="I14" s="43">
        <f>SUM('[2]Summ for Load forecast'!$C$41:$C$52)</f>
        <v>163240286.81118345</v>
      </c>
      <c r="J14" s="43">
        <f>SUM('[2]Summ for Load forecast'!$D$41:$D$52)</f>
        <v>449831308.2811151</v>
      </c>
      <c r="K14" s="43">
        <f>SUM('[2]Summ for Load forecast'!$E$41:$E$52)</f>
        <v>263318946.99998927</v>
      </c>
      <c r="L14" s="43">
        <f>SUM('[2]Summ for Load forecast'!$F$41:$F$52)</f>
        <v>234671319.00000003</v>
      </c>
      <c r="M14" s="43">
        <f>SUM('[2]Summ for Load forecast'!$H$41:$H$52)</f>
        <v>9413667</v>
      </c>
      <c r="N14" s="43">
        <f>SUM('[2]Summ for Load forecast'!$G$41:$G$52)</f>
        <v>0</v>
      </c>
    </row>
    <row r="15" spans="1:14" ht="12.75">
      <c r="A15">
        <f>'Purchased Power Model'!A254</f>
        <v>2004</v>
      </c>
      <c r="B15" s="6">
        <f>'Purchased Power Model'!B254</f>
        <v>1570405930</v>
      </c>
      <c r="C15" s="6">
        <f>'Purchased Power Model'!K254</f>
        <v>1549059116.4876199</v>
      </c>
      <c r="D15" s="41">
        <f t="shared" si="0"/>
        <v>-21346813.512380123</v>
      </c>
      <c r="E15" s="5">
        <f t="shared" si="1"/>
        <v>-0.01359318193123489</v>
      </c>
      <c r="F15" s="26">
        <f t="shared" si="2"/>
        <v>1.027556024735508</v>
      </c>
      <c r="G15" s="29">
        <f t="shared" si="3"/>
        <v>1528292270.393939</v>
      </c>
      <c r="H15" s="43">
        <f>SUM('[2]Summ for Load forecast'!$B$53:$B$64)</f>
        <v>366465998.2462407</v>
      </c>
      <c r="I15" s="43">
        <f>SUM('[2]Summ for Load forecast'!$C$53:$C$64)</f>
        <v>165708926.2201777</v>
      </c>
      <c r="J15" s="43">
        <f>SUM('[2]Summ for Load forecast'!$D$53:$D$64)</f>
        <v>471517478.81872076</v>
      </c>
      <c r="K15" s="43">
        <f>SUM('[2]Summ for Load forecast'!$E$53:$E$64)</f>
        <v>269908983</v>
      </c>
      <c r="L15" s="43">
        <f>SUM('[2]Summ for Load forecast'!$F$53:$F$64)</f>
        <v>245172879.99999994</v>
      </c>
      <c r="M15" s="43">
        <f>SUM('[2]Summ for Load forecast'!$H$53:$H$64)</f>
        <v>9518004.108800001</v>
      </c>
      <c r="N15" s="43">
        <f>SUM('[2]Summ for Load forecast'!$G$53:$G$64)</f>
        <v>0</v>
      </c>
    </row>
    <row r="16" spans="1:14" ht="12.75">
      <c r="A16">
        <f>'Purchased Power Model'!A255</f>
        <v>2005</v>
      </c>
      <c r="B16" s="6">
        <f>'Purchased Power Model'!B255</f>
        <v>1640988662</v>
      </c>
      <c r="C16" s="6">
        <f>'Purchased Power Model'!K255</f>
        <v>1636434659.6133075</v>
      </c>
      <c r="D16" s="41">
        <f t="shared" si="0"/>
        <v>-4554002.386692524</v>
      </c>
      <c r="E16" s="5">
        <f t="shared" si="1"/>
        <v>-0.002775157740055442</v>
      </c>
      <c r="F16" s="26">
        <f t="shared" si="2"/>
        <v>1.0260256517427355</v>
      </c>
      <c r="G16" s="29">
        <f t="shared" si="3"/>
        <v>1599364167.1752858</v>
      </c>
      <c r="H16" s="43">
        <f>SUM('[2]Summ for Load forecast'!$B$65:$B$76)</f>
        <v>394023308.39392865</v>
      </c>
      <c r="I16" s="43">
        <f>SUM('[2]Summ for Load forecast'!$C$65:$C$76)</f>
        <v>172872183.117248</v>
      </c>
      <c r="J16" s="43">
        <f>SUM('[2]Summ for Load forecast'!$D$65:$D$76)</f>
        <v>477342539.7325556</v>
      </c>
      <c r="K16" s="43">
        <f>SUM('[2]Summ for Load forecast'!$E$65:$E$76)</f>
        <v>288850781.6099806</v>
      </c>
      <c r="L16" s="43">
        <f>SUM('[2]Summ for Load forecast'!$F$65:$F$76)</f>
        <v>256341389.5400085</v>
      </c>
      <c r="M16" s="43">
        <f>SUM('[2]Summ for Load forecast'!$H$65:$H$76)</f>
        <v>9541776.720010659</v>
      </c>
      <c r="N16" s="43">
        <f>SUM('[2]Summ for Load forecast'!$G$65:$G$76)</f>
        <v>392188.0615536532</v>
      </c>
    </row>
    <row r="17" spans="1:14" ht="12.75">
      <c r="A17">
        <f>'Purchased Power Model'!A256</f>
        <v>2006</v>
      </c>
      <c r="B17" s="6">
        <f>'Purchased Power Model'!B256</f>
        <v>1599360044</v>
      </c>
      <c r="C17" s="6">
        <f>'Purchased Power Model'!K256</f>
        <v>1613343090.8662796</v>
      </c>
      <c r="D17" s="41">
        <f t="shared" si="0"/>
        <v>13983046.866279602</v>
      </c>
      <c r="E17" s="5">
        <f t="shared" si="1"/>
        <v>0.00874290121147956</v>
      </c>
      <c r="F17" s="26">
        <f>1+(B17-G17)/G17</f>
        <v>1.0245065110090625</v>
      </c>
      <c r="G17" s="29">
        <f>SUM(H17:N17)</f>
        <v>1561102859.585294</v>
      </c>
      <c r="H17" s="43">
        <f>SUM('[2]Summ for Load forecast'!$B$77:$B$88)</f>
        <v>381579968.59043884</v>
      </c>
      <c r="I17" s="43">
        <f>SUM('[2]Summ for Load forecast'!$C$77:$C$88)</f>
        <v>166886949.8713199</v>
      </c>
      <c r="J17" s="43">
        <f>SUM('[2]Summ for Load forecast'!$D$77:$D$88)</f>
        <v>470126973.53655183</v>
      </c>
      <c r="K17" s="43">
        <f>SUM('[2]Summ for Load forecast'!$E$77:$E$88)</f>
        <v>278109293.96822536</v>
      </c>
      <c r="L17" s="43">
        <f>SUM('[2]Summ for Load forecast'!$F$77:$F$88)</f>
        <v>252101813.91</v>
      </c>
      <c r="M17" s="43">
        <f>SUM('[2]Summ for Load forecast'!$H$77:$H$88)</f>
        <v>9300557.837679066</v>
      </c>
      <c r="N17" s="43">
        <f>SUM('[2]Summ for Load forecast'!$G$77:$G$88)</f>
        <v>2997301.8710786607</v>
      </c>
    </row>
    <row r="18" spans="1:14" ht="12.75">
      <c r="A18">
        <f>'Purchased Power Model'!A257</f>
        <v>2007</v>
      </c>
      <c r="B18" s="6">
        <f>'Purchased Power Model'!B257</f>
        <v>1609193923</v>
      </c>
      <c r="C18" s="6">
        <f>'Purchased Power Model'!K257</f>
        <v>1617555844.2285051</v>
      </c>
      <c r="D18" s="41">
        <f t="shared" si="0"/>
        <v>8361921.228505135</v>
      </c>
      <c r="E18" s="5">
        <f t="shared" si="1"/>
        <v>0.005196341540313619</v>
      </c>
      <c r="F18" s="26">
        <f t="shared" si="2"/>
        <v>1.0271955920120064</v>
      </c>
      <c r="G18" s="29">
        <f t="shared" si="3"/>
        <v>1566589591.6161513</v>
      </c>
      <c r="H18" s="43">
        <f>SUM('[2]Summ for Load forecast'!$B$89:$B$100)</f>
        <v>392558966.01605856</v>
      </c>
      <c r="I18" s="43">
        <f>SUM('[2]Summ for Load forecast'!$C$89:$C$100)</f>
        <v>169606274.12815455</v>
      </c>
      <c r="J18" s="43">
        <f>SUM('[2]Summ for Load forecast'!$D$89:$D$100)</f>
        <v>484236276.2012691</v>
      </c>
      <c r="K18" s="43">
        <f>SUM('[2]Summ for Load forecast'!$E$89:$E$100)</f>
        <v>256451885.89998102</v>
      </c>
      <c r="L18" s="43">
        <f>SUM('[2]Summ for Load forecast'!$F$89:$F$100)</f>
        <v>252092348.4799913</v>
      </c>
      <c r="M18" s="43">
        <f>SUM('[2]Summ for Load forecast'!$H$89:$H$100)</f>
        <v>9442831.87998437</v>
      </c>
      <c r="N18" s="43">
        <f>SUM('[2]Summ for Load forecast'!$G$89:$G$100)</f>
        <v>2201009.0107126483</v>
      </c>
    </row>
    <row r="19" spans="1:14" ht="12.75">
      <c r="A19">
        <f>'Purchased Power Model'!A258</f>
        <v>2008</v>
      </c>
      <c r="B19" s="6">
        <f>'Purchased Power Model'!B258</f>
        <v>1557523229</v>
      </c>
      <c r="C19" s="6">
        <f>'Purchased Power Model'!K258</f>
        <v>1547727235.1048138</v>
      </c>
      <c r="D19" s="41">
        <f t="shared" si="0"/>
        <v>-9795993.895186186</v>
      </c>
      <c r="E19" s="5">
        <f t="shared" si="1"/>
        <v>-0.006289468890602457</v>
      </c>
      <c r="F19" s="26">
        <f t="shared" si="2"/>
        <v>1.0256136494414172</v>
      </c>
      <c r="G19" s="29">
        <f t="shared" si="3"/>
        <v>1518625683.1198359</v>
      </c>
      <c r="H19" s="43">
        <f>SUM('[2]Summ for Load forecast'!$B$101:$B$112)</f>
        <v>387314731.8207535</v>
      </c>
      <c r="I19" s="43">
        <f>SUM('[2]Summ for Load forecast'!$C$101:$C$112)</f>
        <v>170263597.24762118</v>
      </c>
      <c r="J19" s="43">
        <f>SUM('[2]Summ for Load forecast'!$D$101:$D$112)</f>
        <v>469318625.82225275</v>
      </c>
      <c r="K19" s="43">
        <f>SUM('[2]Summ for Load forecast'!$E$101:$E$112)</f>
        <v>249869850.91122985</v>
      </c>
      <c r="L19" s="43">
        <f>SUM('[2]Summ for Load forecast'!$F$101:$F$112)</f>
        <v>230297755.10999835</v>
      </c>
      <c r="M19" s="43">
        <f>SUM('[2]Summ for Load forecast'!$H$101:$H$112)</f>
        <v>9448889.96999053</v>
      </c>
      <c r="N19" s="43">
        <f>SUM('[2]Summ for Load forecast'!$G$101:$G$112)</f>
        <v>2112232.2379896585</v>
      </c>
    </row>
    <row r="20" spans="1:7" ht="12.75">
      <c r="A20">
        <f>'Purchased Power Model'!A259</f>
        <v>2009</v>
      </c>
      <c r="B20" s="6"/>
      <c r="C20" s="6">
        <f>'Purchased Power Model'!K259</f>
        <v>1468651648.210675</v>
      </c>
      <c r="G20" s="22">
        <f>C20/$F$23</f>
        <v>1431183987.3535314</v>
      </c>
    </row>
    <row r="21" spans="1:7" ht="12.75">
      <c r="A21">
        <f>'Purchased Power Model'!A260</f>
        <v>2010</v>
      </c>
      <c r="B21" s="6"/>
      <c r="C21" s="6">
        <f>'Purchased Power Model'!K260</f>
        <v>1429225393.2142859</v>
      </c>
      <c r="G21" s="22">
        <f>C21/$F$23</f>
        <v>1392763559.4046054</v>
      </c>
    </row>
    <row r="22" spans="8:14" ht="12.75">
      <c r="H22" s="62"/>
      <c r="I22" s="62"/>
      <c r="J22" s="62"/>
      <c r="K22" s="62"/>
      <c r="L22" s="62"/>
      <c r="M22" s="62"/>
      <c r="N22" s="62"/>
    </row>
    <row r="23" spans="1:6" ht="12.75">
      <c r="A23" s="20" t="s">
        <v>16</v>
      </c>
      <c r="C23" s="71"/>
      <c r="D23" s="141"/>
      <c r="F23" s="26">
        <f>AVERAGE(F15:F19)</f>
        <v>1.0261794857881459</v>
      </c>
    </row>
    <row r="24" spans="3:4" ht="12.75">
      <c r="C24" s="71"/>
      <c r="D24" s="141"/>
    </row>
    <row r="25" spans="3:6" ht="12.75">
      <c r="C25" s="71"/>
      <c r="F25" s="26"/>
    </row>
    <row r="26" spans="1:2" ht="12.75">
      <c r="A26" s="23" t="s">
        <v>18</v>
      </c>
      <c r="B26" s="12"/>
    </row>
    <row r="29" spans="1:14" ht="12.75">
      <c r="A29">
        <f aca="true" t="shared" si="4" ref="A29:A39">A11</f>
        <v>2000</v>
      </c>
      <c r="H29" s="29">
        <f>H11/'Rate Class Customer Model'!B4</f>
        <v>0</v>
      </c>
      <c r="I29" s="29">
        <f>I11/'Rate Class Customer Model'!C4</f>
        <v>0</v>
      </c>
      <c r="J29" s="29"/>
      <c r="K29" s="29">
        <f>K11/'Rate Class Customer Model'!E4</f>
        <v>0</v>
      </c>
      <c r="L29" s="29">
        <f>L11/'Rate Class Customer Model'!F4</f>
        <v>0</v>
      </c>
      <c r="M29" s="29"/>
      <c r="N29" s="29"/>
    </row>
    <row r="30" spans="1:14" ht="12.75">
      <c r="A30">
        <f t="shared" si="4"/>
        <v>2001</v>
      </c>
      <c r="H30" s="29">
        <f>H12/'Rate Class Customer Model'!B5</f>
        <v>9269.4544187227</v>
      </c>
      <c r="I30" s="29">
        <f>I12/'Rate Class Customer Model'!C5</f>
        <v>39303.73296575401</v>
      </c>
      <c r="J30" s="29">
        <f>J12/'Rate Class Customer Model'!D5</f>
        <v>708925.9488052337</v>
      </c>
      <c r="K30" s="29">
        <f>K12/'Rate Class Customer Model'!E5</f>
        <v>9848037.360416668</v>
      </c>
      <c r="L30" s="29">
        <f>L12/'Rate Class Customer Model'!F5</f>
        <v>67461984.76999998</v>
      </c>
      <c r="M30" s="29"/>
      <c r="N30" s="29"/>
    </row>
    <row r="31" spans="1:14" ht="12.75">
      <c r="A31">
        <f t="shared" si="4"/>
        <v>2002</v>
      </c>
      <c r="H31" s="29">
        <f>H13/'Rate Class Customer Model'!B6</f>
        <v>8719.799140348976</v>
      </c>
      <c r="I31" s="29">
        <f>I13/'Rate Class Customer Model'!C6</f>
        <v>37335.28693828083</v>
      </c>
      <c r="J31" s="29">
        <f>J13/'Rate Class Customer Model'!D6</f>
        <v>720310.5884270582</v>
      </c>
      <c r="K31" s="29">
        <f>K13/'Rate Class Customer Model'!E6</f>
        <v>9909798.120000001</v>
      </c>
      <c r="L31" s="29">
        <f>L13/'Rate Class Customer Model'!F6</f>
        <v>79522758.33333334</v>
      </c>
      <c r="M31" s="29">
        <f>M13/'Rate Class Customer Model'!G6</f>
        <v>0</v>
      </c>
      <c r="N31" s="29"/>
    </row>
    <row r="32" spans="1:14" ht="12.75">
      <c r="A32">
        <f t="shared" si="4"/>
        <v>2003</v>
      </c>
      <c r="H32" s="29">
        <f>H14/'Rate Class Customer Model'!B7</f>
        <v>9126.808834676829</v>
      </c>
      <c r="I32" s="29">
        <f>I14/'Rate Class Customer Model'!C7</f>
        <v>39259.32823741786</v>
      </c>
      <c r="J32" s="29">
        <f>J14/'Rate Class Customer Model'!D7</f>
        <v>719730.0932497842</v>
      </c>
      <c r="K32" s="29">
        <f>K14/'Rate Class Customer Model'!E7</f>
        <v>9752553.592592195</v>
      </c>
      <c r="L32" s="29">
        <f>L14/'Rate Class Customer Model'!F7</f>
        <v>78223773.00000001</v>
      </c>
      <c r="M32" s="29">
        <f>M14/'Rate Class Customer Model'!G7</f>
        <v>808.5953444425356</v>
      </c>
      <c r="N32" s="29"/>
    </row>
    <row r="33" spans="1:14" ht="12.75">
      <c r="A33">
        <f t="shared" si="4"/>
        <v>2004</v>
      </c>
      <c r="H33" s="29">
        <f>H15/'Rate Class Customer Model'!B8</f>
        <v>8940.15755278575</v>
      </c>
      <c r="I33" s="29">
        <f>I15/'Rate Class Customer Model'!C8</f>
        <v>39193.21812208555</v>
      </c>
      <c r="J33" s="29">
        <f>J15/'Rate Class Customer Model'!D8</f>
        <v>742547.210738143</v>
      </c>
      <c r="K33" s="29">
        <f>K15/'Rate Class Customer Model'!E8</f>
        <v>9996629</v>
      </c>
      <c r="L33" s="29">
        <f>L15/'Rate Class Customer Model'!F8</f>
        <v>81724293.33333331</v>
      </c>
      <c r="M33" s="29">
        <f>M15/'Rate Class Customer Model'!G8</f>
        <v>805.1775745537603</v>
      </c>
      <c r="N33" s="29"/>
    </row>
    <row r="34" spans="1:14" ht="12.75">
      <c r="A34">
        <f t="shared" si="4"/>
        <v>2005</v>
      </c>
      <c r="H34" s="29">
        <f>H16/'Rate Class Customer Model'!B9</f>
        <v>9469.893010813514</v>
      </c>
      <c r="I34" s="29">
        <f>I16/'Rate Class Customer Model'!C9</f>
        <v>39740.731751091495</v>
      </c>
      <c r="J34" s="29">
        <f>J16/'Rate Class Customer Model'!D9</f>
        <v>755288.8286907526</v>
      </c>
      <c r="K34" s="29">
        <f>K16/'Rate Class Customer Model'!E9</f>
        <v>9628359.386999352</v>
      </c>
      <c r="L34" s="29">
        <f>L16/'Rate Class Customer Model'!F9</f>
        <v>85447129.8466695</v>
      </c>
      <c r="M34" s="29">
        <f>M16/'Rate Class Customer Model'!G9</f>
        <v>797.2741243324414</v>
      </c>
      <c r="N34" s="29"/>
    </row>
    <row r="35" spans="1:14" ht="12.75">
      <c r="A35">
        <f t="shared" si="4"/>
        <v>2006</v>
      </c>
      <c r="H35" s="29">
        <f>H17/'Rate Class Customer Model'!B10</f>
        <v>8984.482790384942</v>
      </c>
      <c r="I35" s="29">
        <f>I17/'Rate Class Customer Model'!C10</f>
        <v>38329.57048032152</v>
      </c>
      <c r="J35" s="29">
        <f>J17/'Rate Class Customer Model'!D10</f>
        <v>710161.5914449424</v>
      </c>
      <c r="K35" s="29">
        <f>K17/'Rate Class Customer Model'!E10</f>
        <v>9589975.654076736</v>
      </c>
      <c r="L35" s="29">
        <f>L17/'Rate Class Customer Model'!F10</f>
        <v>84033937.97</v>
      </c>
      <c r="M35" s="29">
        <f>M17/'Rate Class Customer Model'!G10</f>
        <v>766.3294885411004</v>
      </c>
      <c r="N35" s="29">
        <f>N17/'Rate Class Customer Model'!H10</f>
        <v>5808.724556353994</v>
      </c>
    </row>
    <row r="36" spans="1:14" ht="12.75">
      <c r="A36">
        <f t="shared" si="4"/>
        <v>2007</v>
      </c>
      <c r="H36" s="29">
        <f>H18/'Rate Class Customer Model'!B11</f>
        <v>9065.189497876838</v>
      </c>
      <c r="I36" s="29">
        <f>I18/'Rate Class Customer Model'!C11</f>
        <v>38564.4097608355</v>
      </c>
      <c r="J36" s="29">
        <f>J18/'Rate Class Customer Model'!D11</f>
        <v>710023.8653977553</v>
      </c>
      <c r="K36" s="29">
        <f>K18/'Rate Class Customer Model'!E11</f>
        <v>9158995.924999323</v>
      </c>
      <c r="L36" s="29">
        <f>L18/'Rate Class Customer Model'!F11</f>
        <v>84030782.82666376</v>
      </c>
      <c r="M36" s="29">
        <f>M18/'Rate Class Customer Model'!G11</f>
        <v>765.3454271344116</v>
      </c>
      <c r="N36" s="29">
        <f>N18/'Rate Class Customer Model'!H11</f>
        <v>4826.774146299667</v>
      </c>
    </row>
    <row r="37" spans="1:14" ht="12.75">
      <c r="A37">
        <f t="shared" si="4"/>
        <v>2008</v>
      </c>
      <c r="H37" s="29">
        <f>H19/'Rate Class Customer Model'!B12</f>
        <v>8891.931030367636</v>
      </c>
      <c r="I37" s="29">
        <f>I19/'Rate Class Customer Model'!C12</f>
        <v>37836.354943915816</v>
      </c>
      <c r="J37" s="29">
        <f>J19/'Rate Class Customer Model'!D12</f>
        <v>693232.8298703881</v>
      </c>
      <c r="K37" s="29">
        <f>K19/'Rate Class Customer Model'!E12</f>
        <v>8923923.246829638</v>
      </c>
      <c r="L37" s="29">
        <f>L19/'Rate Class Customer Model'!F12</f>
        <v>76765918.36999945</v>
      </c>
      <c r="M37" s="29">
        <f>M19/'Rate Class Customer Model'!G12</f>
        <v>762.4376640031089</v>
      </c>
      <c r="N37" s="29">
        <f>N19/'Rate Class Customer Model'!H12</f>
        <v>4611.8607816368085</v>
      </c>
    </row>
    <row r="38" spans="1:14" ht="12.75">
      <c r="A38">
        <f t="shared" si="4"/>
        <v>2009</v>
      </c>
      <c r="H38" s="22">
        <f aca="true" t="shared" si="5" ref="H38:N38">H37*H52</f>
        <v>8839.269161412598</v>
      </c>
      <c r="I38" s="22">
        <f t="shared" si="5"/>
        <v>37631.25018816201</v>
      </c>
      <c r="J38" s="22">
        <f t="shared" si="5"/>
        <v>691019.495352338</v>
      </c>
      <c r="K38" s="22">
        <f t="shared" si="5"/>
        <v>8799184.36985753</v>
      </c>
      <c r="L38" s="22">
        <f t="shared" si="5"/>
        <v>78195915.60870859</v>
      </c>
      <c r="M38" s="22">
        <f t="shared" si="5"/>
        <v>753.5272512883424</v>
      </c>
      <c r="N38" s="22">
        <f t="shared" si="5"/>
        <v>4109.357183210166</v>
      </c>
    </row>
    <row r="39" spans="1:14" ht="12.75">
      <c r="A39">
        <f t="shared" si="4"/>
        <v>2010</v>
      </c>
      <c r="H39" s="22">
        <f>H38*H52</f>
        <v>8786.919178866976</v>
      </c>
      <c r="I39" s="22">
        <f aca="true" t="shared" si="6" ref="I39:N39">I38*I52</f>
        <v>37427.25727208979</v>
      </c>
      <c r="J39" s="22">
        <f>J38*J52</f>
        <v>688813.2275072405</v>
      </c>
      <c r="K39" s="22">
        <f t="shared" si="6"/>
        <v>8676189.096791223</v>
      </c>
      <c r="L39" s="22">
        <f t="shared" si="6"/>
        <v>79652550.86785877</v>
      </c>
      <c r="M39" s="22">
        <f t="shared" si="6"/>
        <v>744.7209722732815</v>
      </c>
      <c r="N39" s="22">
        <f t="shared" si="6"/>
        <v>3661.605859057967</v>
      </c>
    </row>
    <row r="41" spans="1:12" ht="12.75">
      <c r="A41" s="42">
        <v>1999</v>
      </c>
      <c r="D41" s="6"/>
      <c r="H41" s="27"/>
      <c r="I41" s="27"/>
      <c r="J41" s="27"/>
      <c r="K41" s="27"/>
      <c r="L41" s="27"/>
    </row>
    <row r="42" spans="1:14" ht="12.75">
      <c r="A42" s="42">
        <v>2000</v>
      </c>
      <c r="D42" s="6"/>
      <c r="H42" s="27"/>
      <c r="I42" s="27"/>
      <c r="J42" s="27"/>
      <c r="K42" s="27"/>
      <c r="L42" s="27"/>
      <c r="M42" s="27"/>
      <c r="N42" s="27"/>
    </row>
    <row r="43" spans="1:14" ht="12.75">
      <c r="A43" s="42">
        <v>2001</v>
      </c>
      <c r="D43" s="6"/>
      <c r="H43" s="27"/>
      <c r="I43" s="27"/>
      <c r="J43" s="27"/>
      <c r="K43" s="27"/>
      <c r="L43" s="27"/>
      <c r="M43" s="27"/>
      <c r="N43" s="27"/>
    </row>
    <row r="44" spans="1:14" ht="12.75">
      <c r="A44" s="42">
        <v>2002</v>
      </c>
      <c r="D44" s="6"/>
      <c r="H44" s="27">
        <f>H31/H30</f>
        <v>0.9407025210390467</v>
      </c>
      <c r="I44" s="27">
        <f aca="true" t="shared" si="7" ref="H44:I48">I31/I30</f>
        <v>0.9499170720198938</v>
      </c>
      <c r="J44" s="27">
        <f>J31/J30</f>
        <v>1.0160589969107652</v>
      </c>
      <c r="K44" s="27">
        <f aca="true" t="shared" si="8" ref="K44:L48">K31/K30</f>
        <v>1.0062713774656842</v>
      </c>
      <c r="L44" s="27">
        <f t="shared" si="8"/>
        <v>1.1787788130523063</v>
      </c>
      <c r="M44" s="27"/>
      <c r="N44" s="27"/>
    </row>
    <row r="45" spans="1:14" ht="12.75">
      <c r="A45" s="42">
        <v>2003</v>
      </c>
      <c r="D45" s="6"/>
      <c r="H45" s="27">
        <f t="shared" si="7"/>
        <v>1.0466764988248989</v>
      </c>
      <c r="I45" s="27">
        <f t="shared" si="7"/>
        <v>1.0515341237986915</v>
      </c>
      <c r="J45" s="27">
        <f>J32/J31</f>
        <v>0.9991941043397105</v>
      </c>
      <c r="K45" s="27">
        <f t="shared" si="8"/>
        <v>0.9841324186927224</v>
      </c>
      <c r="L45" s="27">
        <f t="shared" si="8"/>
        <v>0.9836652379701367</v>
      </c>
      <c r="M45" s="27"/>
      <c r="N45" s="27"/>
    </row>
    <row r="46" spans="1:14" ht="12.75">
      <c r="A46" s="42">
        <v>2004</v>
      </c>
      <c r="D46" s="6"/>
      <c r="H46" s="27">
        <f t="shared" si="7"/>
        <v>0.9795491189448488</v>
      </c>
      <c r="I46" s="27">
        <f t="shared" si="7"/>
        <v>0.9983160660586825</v>
      </c>
      <c r="J46" s="27">
        <f>J33/J32</f>
        <v>1.0317023252221302</v>
      </c>
      <c r="K46" s="27">
        <f t="shared" si="8"/>
        <v>1.0250268204209818</v>
      </c>
      <c r="L46" s="27">
        <f t="shared" si="8"/>
        <v>1.0447500829873457</v>
      </c>
      <c r="M46" s="27">
        <f>M33/M32</f>
        <v>0.99577320112926</v>
      </c>
      <c r="N46" s="27"/>
    </row>
    <row r="47" spans="1:14" ht="12.75">
      <c r="A47" s="42">
        <v>2005</v>
      </c>
      <c r="D47" s="6"/>
      <c r="H47" s="27">
        <f t="shared" si="7"/>
        <v>1.0592534812613787</v>
      </c>
      <c r="I47" s="27">
        <f t="shared" si="7"/>
        <v>1.0139696012534736</v>
      </c>
      <c r="J47" s="27">
        <f>J34/J33</f>
        <v>1.0171593371685332</v>
      </c>
      <c r="K47" s="27">
        <f t="shared" si="8"/>
        <v>0.963160620144986</v>
      </c>
      <c r="L47" s="27">
        <f t="shared" si="8"/>
        <v>1.0455536091104716</v>
      </c>
      <c r="M47" s="27">
        <f>M34/M33</f>
        <v>0.9901842146737642</v>
      </c>
      <c r="N47" s="27"/>
    </row>
    <row r="48" spans="1:14" ht="12.75">
      <c r="A48" s="42">
        <v>2006</v>
      </c>
      <c r="D48" s="6"/>
      <c r="H48" s="27">
        <f t="shared" si="7"/>
        <v>0.9487417418682249</v>
      </c>
      <c r="I48" s="27">
        <f t="shared" si="7"/>
        <v>0.9644908080805227</v>
      </c>
      <c r="J48" s="27">
        <f>J35/J34</f>
        <v>0.9402516818313922</v>
      </c>
      <c r="K48" s="27">
        <f t="shared" si="8"/>
        <v>0.9960134711034527</v>
      </c>
      <c r="L48" s="27">
        <f t="shared" si="8"/>
        <v>0.9834612130424346</v>
      </c>
      <c r="M48" s="27">
        <f>M35/M34</f>
        <v>0.9611869558450163</v>
      </c>
      <c r="N48" s="27"/>
    </row>
    <row r="49" spans="1:14" ht="12.75">
      <c r="A49" s="42">
        <v>2007</v>
      </c>
      <c r="D49" s="6"/>
      <c r="H49" s="27">
        <f aca="true" t="shared" si="9" ref="H49:N50">H36/H35</f>
        <v>1.0089828996698917</v>
      </c>
      <c r="I49" s="27">
        <f t="shared" si="9"/>
        <v>1.0061268435197976</v>
      </c>
      <c r="J49" s="27">
        <f t="shared" si="9"/>
        <v>0.9998060637904862</v>
      </c>
      <c r="K49" s="27">
        <f t="shared" si="9"/>
        <v>0.9550593510741393</v>
      </c>
      <c r="L49" s="27">
        <f t="shared" si="9"/>
        <v>0.9999624539392957</v>
      </c>
      <c r="M49" s="27">
        <f>M36/M35</f>
        <v>0.9987158768892448</v>
      </c>
      <c r="N49" s="27">
        <f>N36/N35</f>
        <v>0.8309524921473167</v>
      </c>
    </row>
    <row r="50" spans="1:14" ht="12.75">
      <c r="A50" s="42">
        <v>2008</v>
      </c>
      <c r="D50" s="6"/>
      <c r="H50" s="27">
        <f t="shared" si="9"/>
        <v>0.9808874963342155</v>
      </c>
      <c r="I50" s="27">
        <f t="shared" si="9"/>
        <v>0.9811210693633106</v>
      </c>
      <c r="J50" s="27">
        <f t="shared" si="9"/>
        <v>0.9763514490911361</v>
      </c>
      <c r="K50" s="27">
        <f t="shared" si="9"/>
        <v>0.9743342305101308</v>
      </c>
      <c r="L50" s="27">
        <f t="shared" si="9"/>
        <v>0.9135452007908809</v>
      </c>
      <c r="M50" s="27">
        <f>M37/M36</f>
        <v>0.9962007179657559</v>
      </c>
      <c r="N50" s="27">
        <f t="shared" si="9"/>
        <v>0.9554747418982474</v>
      </c>
    </row>
    <row r="51" spans="1:6" ht="12.75">
      <c r="A51" s="3"/>
      <c r="D51" s="6"/>
      <c r="E51" s="6"/>
      <c r="F51" s="6"/>
    </row>
    <row r="52" spans="1:14" ht="12.75">
      <c r="A52" t="s">
        <v>27</v>
      </c>
      <c r="D52" s="6"/>
      <c r="H52" s="27">
        <f>H54</f>
        <v>0.9940775666415779</v>
      </c>
      <c r="I52" s="27">
        <f aca="true" t="shared" si="10" ref="I52:N52">I54</f>
        <v>0.9945791618654116</v>
      </c>
      <c r="J52" s="27">
        <f t="shared" si="10"/>
        <v>0.9968072277845468</v>
      </c>
      <c r="K52" s="27">
        <f t="shared" si="10"/>
        <v>0.9860219688670647</v>
      </c>
      <c r="L52" s="27">
        <f t="shared" si="10"/>
        <v>1.0186280222926114</v>
      </c>
      <c r="M52" s="27">
        <f t="shared" si="10"/>
        <v>0.9883132574170285</v>
      </c>
      <c r="N52" s="27">
        <f t="shared" si="10"/>
        <v>0.8910410304605298</v>
      </c>
    </row>
    <row r="53" spans="1:14" ht="12.75">
      <c r="A53" s="3"/>
      <c r="D53" s="6"/>
      <c r="H53" s="12"/>
      <c r="I53" s="12"/>
      <c r="K53" s="11"/>
      <c r="L53" s="11"/>
      <c r="M53" s="11"/>
      <c r="N53" s="11"/>
    </row>
    <row r="54" spans="1:14" ht="12.75">
      <c r="A54" t="s">
        <v>17</v>
      </c>
      <c r="D54" s="6"/>
      <c r="H54" s="27">
        <f>GEOMEAN(H43:H50)</f>
        <v>0.9940775666415779</v>
      </c>
      <c r="I54" s="27">
        <f aca="true" t="shared" si="11" ref="I54:N54">GEOMEAN(I43:I50)</f>
        <v>0.9945791618654116</v>
      </c>
      <c r="J54" s="27">
        <f t="shared" si="11"/>
        <v>0.9968072277845468</v>
      </c>
      <c r="K54" s="27">
        <f t="shared" si="11"/>
        <v>0.9860219688670647</v>
      </c>
      <c r="L54" s="27">
        <f t="shared" si="11"/>
        <v>1.0186280222926114</v>
      </c>
      <c r="M54" s="27">
        <f t="shared" si="11"/>
        <v>0.9883132574170285</v>
      </c>
      <c r="N54" s="27">
        <f t="shared" si="11"/>
        <v>0.8910410304605298</v>
      </c>
    </row>
    <row r="55" spans="4:14" ht="12.75">
      <c r="D55" s="6"/>
      <c r="H55" s="27"/>
      <c r="I55" s="27"/>
      <c r="J55" s="27"/>
      <c r="K55" s="27"/>
      <c r="L55" s="27"/>
      <c r="M55" s="27"/>
      <c r="N55" s="27"/>
    </row>
    <row r="56" ht="12.75">
      <c r="A56" s="20" t="s">
        <v>56</v>
      </c>
    </row>
    <row r="57" spans="1:16" ht="12.75">
      <c r="A57">
        <v>2009</v>
      </c>
      <c r="G57" s="6">
        <f>SUM(H57:N57)</f>
        <v>1442075634.2028122</v>
      </c>
      <c r="H57" s="6">
        <f>H38*'Rate Class Customer Model'!B13</f>
        <v>391712212.8879993</v>
      </c>
      <c r="I57" s="6">
        <f>I38*'Rate Class Customer Model'!C13</f>
        <v>172388757.1119702</v>
      </c>
      <c r="J57" s="6">
        <f>J38*'Rate Class Customer Model'!D13</f>
        <v>489932822.2048076</v>
      </c>
      <c r="K57" s="6">
        <f>K38*'Rate Class Customer Model'!E13</f>
        <v>219979609.24643824</v>
      </c>
      <c r="L57" s="6">
        <f>L38*'Rate Class Customer Model'!F13</f>
        <v>156391831.21741718</v>
      </c>
      <c r="M57" s="6">
        <f>M38*'Rate Class Customer Model'!G13</f>
        <v>9459567.369612705</v>
      </c>
      <c r="N57" s="6">
        <f>N38*'Rate Class Customer Model'!H13</f>
        <v>2210834.164567069</v>
      </c>
      <c r="P57" s="6">
        <f>SUM(H57:N57)/1000</f>
        <v>1442075.634202812</v>
      </c>
    </row>
    <row r="58" spans="1:16" ht="12.75">
      <c r="A58">
        <v>2010</v>
      </c>
      <c r="G58" s="6">
        <f>SUM(H58:N58)</f>
        <v>1455365234.9333353</v>
      </c>
      <c r="H58" s="6">
        <f>H39*'Rate Class Customer Model'!B14</f>
        <v>397323742.9001279</v>
      </c>
      <c r="I58" s="6">
        <f>I39*'Rate Class Customer Model'!C14</f>
        <v>171473325.56863332</v>
      </c>
      <c r="J58" s="6">
        <f>J39*'Rate Class Customer Model'!D14</f>
        <v>499032149.76365817</v>
      </c>
      <c r="K58" s="6">
        <f>K39*'Rate Class Customer Model'!E14</f>
        <v>216904727.41978055</v>
      </c>
      <c r="L58" s="6">
        <f>L39*'Rate Class Customer Model'!F14</f>
        <v>159305101.73571754</v>
      </c>
      <c r="M58" s="6">
        <f>M39*'Rate Class Customer Model'!G14</f>
        <v>9470256.834870426</v>
      </c>
      <c r="N58" s="6">
        <f>N39*'Rate Class Customer Model'!H14</f>
        <v>1855930.7105474856</v>
      </c>
      <c r="P58" s="6">
        <f>SUM(H58:N58)/1000</f>
        <v>1455365.2349333353</v>
      </c>
    </row>
    <row r="60" spans="1:15" ht="12.75">
      <c r="A60" s="20" t="s">
        <v>55</v>
      </c>
      <c r="O60" s="6" t="s">
        <v>25</v>
      </c>
    </row>
    <row r="61" spans="1:17" ht="12.75">
      <c r="A61">
        <f>A57</f>
        <v>2009</v>
      </c>
      <c r="F61" s="6"/>
      <c r="G61" s="22">
        <f>G20</f>
        <v>1431183987.3535314</v>
      </c>
      <c r="H61" s="6">
        <f aca="true" t="shared" si="12" ref="H61:N61">H57+H69</f>
        <v>386688879.64097935</v>
      </c>
      <c r="I61" s="6">
        <f t="shared" si="12"/>
        <v>170178036.72460097</v>
      </c>
      <c r="J61" s="6">
        <f t="shared" si="12"/>
        <v>486919825.4026313</v>
      </c>
      <c r="K61" s="6">
        <f t="shared" si="12"/>
        <v>219335012.83372286</v>
      </c>
      <c r="L61" s="6">
        <f t="shared" si="12"/>
        <v>156391831.21741718</v>
      </c>
      <c r="M61" s="6">
        <f>M57+M69</f>
        <v>9459567.369612705</v>
      </c>
      <c r="N61" s="6">
        <f t="shared" si="12"/>
        <v>2210834.164567069</v>
      </c>
      <c r="O61" s="6">
        <f>SUM(H61:N61)</f>
        <v>1431183987.3535314</v>
      </c>
      <c r="P61" s="6">
        <f>O61/1000</f>
        <v>1431183.9873535314</v>
      </c>
      <c r="Q61" s="6">
        <f>P61-P57</f>
        <v>-10891.646849280689</v>
      </c>
    </row>
    <row r="62" spans="1:17" ht="12.75">
      <c r="A62">
        <f>A58</f>
        <v>2010</v>
      </c>
      <c r="G62" s="22">
        <f>G21</f>
        <v>1392763559.4046054</v>
      </c>
      <c r="H62" s="6">
        <f>H58+H70</f>
        <v>368322987.8334161</v>
      </c>
      <c r="I62" s="6">
        <f>I58+I70</f>
        <v>158957446.50489348</v>
      </c>
      <c r="J62" s="6">
        <f>J58+J70</f>
        <v>481564657.05452675</v>
      </c>
      <c r="K62" s="6">
        <f>K58+K70</f>
        <v>213287178.73063365</v>
      </c>
      <c r="L62" s="6">
        <f>L58+L70</f>
        <v>159305101.73571754</v>
      </c>
      <c r="M62" s="6">
        <f>M58+M70</f>
        <v>9470256.834870426</v>
      </c>
      <c r="N62" s="6">
        <f>N58+N70</f>
        <v>1855930.7105474856</v>
      </c>
      <c r="O62" s="6">
        <f>SUM(H62:N62)</f>
        <v>1392763559.4046054</v>
      </c>
      <c r="P62" s="6">
        <f>O62/1000</f>
        <v>1392763.5594046053</v>
      </c>
      <c r="Q62" s="6">
        <f>P62-P58</f>
        <v>-62601.67552873003</v>
      </c>
    </row>
    <row r="64" spans="1:15" ht="12.75">
      <c r="A64" t="s">
        <v>57</v>
      </c>
      <c r="H64" s="70">
        <v>1</v>
      </c>
      <c r="I64" s="70">
        <v>1</v>
      </c>
      <c r="J64" s="70">
        <f>'[5]Data summary'!$E$42</f>
        <v>0.4795537127072677</v>
      </c>
      <c r="K64" s="70">
        <f>'[5]Data summary'!$E$47</f>
        <v>0.2284970408690982</v>
      </c>
      <c r="L64" s="70">
        <v>0</v>
      </c>
      <c r="M64" s="70">
        <v>0</v>
      </c>
      <c r="N64" s="70">
        <v>0</v>
      </c>
      <c r="O64" s="6" t="s">
        <v>25</v>
      </c>
    </row>
    <row r="65" spans="1:15" ht="12.75">
      <c r="A65">
        <f>A61</f>
        <v>2009</v>
      </c>
      <c r="B65"/>
      <c r="C65"/>
      <c r="D65"/>
      <c r="G65" s="6">
        <f>G61-G57</f>
        <v>-10891646.849280834</v>
      </c>
      <c r="H65" s="6">
        <f aca="true" t="shared" si="13" ref="H65:N65">H57*H64</f>
        <v>391712212.8879993</v>
      </c>
      <c r="I65" s="6">
        <f t="shared" si="13"/>
        <v>172388757.1119702</v>
      </c>
      <c r="J65" s="6">
        <f t="shared" si="13"/>
        <v>234949103.86546516</v>
      </c>
      <c r="K65" s="6">
        <f t="shared" si="13"/>
        <v>50264689.76435165</v>
      </c>
      <c r="L65" s="6">
        <f t="shared" si="13"/>
        <v>0</v>
      </c>
      <c r="M65" s="6">
        <f t="shared" si="13"/>
        <v>0</v>
      </c>
      <c r="N65" s="6">
        <f t="shared" si="13"/>
        <v>0</v>
      </c>
      <c r="O65" s="6">
        <f>SUM(H65:N65)</f>
        <v>849314763.6297863</v>
      </c>
    </row>
    <row r="66" spans="1:15" ht="12.75">
      <c r="A66">
        <f>A62</f>
        <v>2010</v>
      </c>
      <c r="G66" s="6">
        <f>G62-G58</f>
        <v>-62601675.528729916</v>
      </c>
      <c r="H66" s="6">
        <f>H58*H64</f>
        <v>397323742.9001279</v>
      </c>
      <c r="I66" s="6">
        <f aca="true" t="shared" si="14" ref="I66:N66">I58*I64</f>
        <v>171473325.56863332</v>
      </c>
      <c r="J66" s="6">
        <f t="shared" si="14"/>
        <v>239312720.17945153</v>
      </c>
      <c r="K66" s="6">
        <f t="shared" si="14"/>
        <v>49562088.3659382</v>
      </c>
      <c r="L66" s="6">
        <f t="shared" si="14"/>
        <v>0</v>
      </c>
      <c r="M66" s="6">
        <f t="shared" si="14"/>
        <v>0</v>
      </c>
      <c r="N66" s="6">
        <f t="shared" si="14"/>
        <v>0</v>
      </c>
      <c r="O66" s="6">
        <f>SUM(H66:N66)</f>
        <v>857671877.0141509</v>
      </c>
    </row>
    <row r="67" ht="12" customHeight="1"/>
    <row r="68" ht="12.75">
      <c r="A68" t="s">
        <v>58</v>
      </c>
    </row>
    <row r="69" spans="1:16" ht="12.75">
      <c r="A69">
        <f>A65</f>
        <v>2009</v>
      </c>
      <c r="H69" s="6">
        <f>H65/$O$65*$G$65</f>
        <v>-5023333.247019956</v>
      </c>
      <c r="I69" s="6">
        <f aca="true" t="shared" si="15" ref="I69:N69">I65/$O$65*$G$65</f>
        <v>-2210720.3873692085</v>
      </c>
      <c r="J69" s="6">
        <f t="shared" si="15"/>
        <v>-3012996.80217628</v>
      </c>
      <c r="K69" s="6">
        <f t="shared" si="15"/>
        <v>-644596.4127153896</v>
      </c>
      <c r="L69" s="6">
        <f t="shared" si="15"/>
        <v>0</v>
      </c>
      <c r="M69" s="6">
        <f t="shared" si="15"/>
        <v>0</v>
      </c>
      <c r="N69" s="6">
        <f t="shared" si="15"/>
        <v>0</v>
      </c>
      <c r="P69" s="6">
        <f>SUM(H69:N69)/10000</f>
        <v>-1089.1646849280835</v>
      </c>
    </row>
    <row r="70" spans="1:16" ht="12.75">
      <c r="A70">
        <f>A66</f>
        <v>2010</v>
      </c>
      <c r="H70" s="6">
        <f>H66/$O$66*$G$66</f>
        <v>-29000755.066711754</v>
      </c>
      <c r="I70" s="6">
        <f aca="true" t="shared" si="16" ref="I70:N70">I66/$O$66*$G$66</f>
        <v>-12515879.063739827</v>
      </c>
      <c r="J70" s="6">
        <f t="shared" si="16"/>
        <v>-17467492.709131442</v>
      </c>
      <c r="K70" s="6">
        <f t="shared" si="16"/>
        <v>-3617548.6891469005</v>
      </c>
      <c r="L70" s="6">
        <f t="shared" si="16"/>
        <v>0</v>
      </c>
      <c r="M70" s="6">
        <f t="shared" si="16"/>
        <v>0</v>
      </c>
      <c r="N70" s="6">
        <f t="shared" si="16"/>
        <v>0</v>
      </c>
      <c r="P70" s="6">
        <f>SUM(H70:N70)/10000</f>
        <v>-6260.167552872992</v>
      </c>
    </row>
  </sheetData>
  <printOptions/>
  <pageMargins left="0.38" right="0.75" top="0.73" bottom="0.74" header="0.5" footer="0.5"/>
  <pageSetup fitToHeight="1" fitToWidth="1" horizontalDpi="600" verticalDpi="600" orientation="landscape" scale="54" r:id="rId3"/>
  <headerFooter alignWithMargins="0">
    <oddFooter>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workbookViewId="0" topLeftCell="A1">
      <pane xSplit="1" ySplit="2" topLeftCell="B3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H18" sqref="H18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5" width="17.57421875" style="6" customWidth="1"/>
    <col min="6" max="6" width="12.57421875" style="6" customWidth="1"/>
    <col min="7" max="7" width="11.28125" style="6" customWidth="1"/>
    <col min="8" max="8" width="11.57421875" style="6" customWidth="1"/>
    <col min="9" max="10" width="12.7109375" style="6" bestFit="1" customWidth="1"/>
    <col min="11" max="11" width="11.7109375" style="6" bestFit="1" customWidth="1"/>
    <col min="12" max="12" width="10.7109375" style="6" bestFit="1" customWidth="1"/>
    <col min="13" max="14" width="9.140625" style="6" customWidth="1"/>
  </cols>
  <sheetData>
    <row r="1" ht="12.75"/>
    <row r="2" spans="2:9" ht="42" customHeight="1">
      <c r="B2" s="9" t="str">
        <f>'Rate Class Energy Model'!H2</f>
        <v>Residential </v>
      </c>
      <c r="C2" s="9" t="str">
        <f>'Rate Class Energy Model'!I2</f>
        <v>General Service &lt; 50 kW</v>
      </c>
      <c r="D2" s="9" t="str">
        <f>'Rate Class Energy Model'!J2</f>
        <v>General Service &gt; 50 to 999 kW</v>
      </c>
      <c r="E2" s="9" t="str">
        <f>'Rate Class Energy Model'!K2</f>
        <v>General Service &gt; 1000 to 4999 kW</v>
      </c>
      <c r="F2" s="9" t="str">
        <f>'Rate Class Energy Model'!L2</f>
        <v>General Service &gt; 5000 kW</v>
      </c>
      <c r="G2" s="9" t="str">
        <f>'Rate Class Energy Model'!M2</f>
        <v>Street Lights</v>
      </c>
      <c r="H2" s="9" t="str">
        <f>'Rate Class Energy Model'!N2</f>
        <v>Unmetered Loads </v>
      </c>
      <c r="I2" s="6" t="s">
        <v>12</v>
      </c>
    </row>
    <row r="3" spans="1:9" ht="12.75">
      <c r="A3" s="4"/>
      <c r="B3" s="44"/>
      <c r="C3" s="44"/>
      <c r="D3" s="44"/>
      <c r="E3" s="44"/>
      <c r="F3" s="44"/>
      <c r="G3" s="44"/>
      <c r="H3" s="44"/>
      <c r="I3" s="43"/>
    </row>
    <row r="4" spans="1:10" ht="12.75">
      <c r="A4" s="4">
        <v>2000</v>
      </c>
      <c r="B4" s="43">
        <f>'[2]Summ for Load forecast'!J10</f>
        <v>37069</v>
      </c>
      <c r="C4" s="43">
        <f>'[2]Summ for Load forecast'!K10</f>
        <v>4496</v>
      </c>
      <c r="D4" s="43">
        <f>'[2]Summ for Load forecast'!L10</f>
        <v>4</v>
      </c>
      <c r="E4" s="43">
        <f>'[2]Summ for Load forecast'!M10</f>
        <v>26</v>
      </c>
      <c r="F4" s="43">
        <f>'[2]Summ for Load forecast'!N10</f>
        <v>2</v>
      </c>
      <c r="G4" s="43">
        <f>'[2]Summ for Load forecast'!P10</f>
        <v>0</v>
      </c>
      <c r="H4" s="43">
        <f>'[2]Summ for Load forecast'!O10</f>
        <v>0</v>
      </c>
      <c r="I4" s="43">
        <f>SUM(B4:H4)</f>
        <v>41597</v>
      </c>
      <c r="J4" s="6">
        <f>I4-'[2]Summ for Load forecast'!$Q$10</f>
        <v>0</v>
      </c>
    </row>
    <row r="5" spans="1:9" ht="12.75">
      <c r="A5" s="4">
        <v>2001</v>
      </c>
      <c r="B5" s="44">
        <f>'[2]Summ for Load forecast'!J22</f>
        <v>37914</v>
      </c>
      <c r="C5" s="44">
        <f>'[2]Summ for Load forecast'!K22</f>
        <v>3998</v>
      </c>
      <c r="D5" s="44">
        <f>'[2]Summ for Load forecast'!L22</f>
        <v>582</v>
      </c>
      <c r="E5" s="44">
        <f>'[2]Summ for Load forecast'!M22</f>
        <v>24</v>
      </c>
      <c r="F5" s="44">
        <f>'[2]Summ for Load forecast'!N22</f>
        <v>3</v>
      </c>
      <c r="G5" s="44">
        <f>'[2]Summ for Load forecast'!P22</f>
        <v>0</v>
      </c>
      <c r="H5" s="44">
        <f>'[2]Summ for Load forecast'!O22</f>
        <v>0</v>
      </c>
      <c r="I5" s="43">
        <f aca="true" t="shared" si="0" ref="I5:I12">SUM(B5:H5)</f>
        <v>42521</v>
      </c>
    </row>
    <row r="6" spans="1:9" ht="12.75">
      <c r="A6" s="4">
        <v>2002</v>
      </c>
      <c r="B6" s="44">
        <f>'[2]Summ for Load forecast'!J34</f>
        <v>38553.5</v>
      </c>
      <c r="C6" s="44">
        <f>'[2]Summ for Load forecast'!K34</f>
        <v>4131.5</v>
      </c>
      <c r="D6" s="44">
        <f>'[2]Summ for Load forecast'!L34</f>
        <v>613.4999999999998</v>
      </c>
      <c r="E6" s="44">
        <f>'[2]Summ for Load forecast'!M34</f>
        <v>25</v>
      </c>
      <c r="F6" s="44">
        <f>'[2]Summ for Load forecast'!N34</f>
        <v>3</v>
      </c>
      <c r="G6" s="44">
        <f>'[2]Summ for Load forecast'!P118</f>
        <v>11471</v>
      </c>
      <c r="H6" s="44">
        <f>'[2]Summ for Load forecast'!O34</f>
        <v>0</v>
      </c>
      <c r="I6" s="43">
        <f t="shared" si="0"/>
        <v>54797.5</v>
      </c>
    </row>
    <row r="7" spans="1:9" ht="12.75">
      <c r="A7" s="4">
        <v>2003</v>
      </c>
      <c r="B7" s="44">
        <f>'[2]Summ for Load forecast'!J46</f>
        <v>40078</v>
      </c>
      <c r="C7" s="44">
        <f>'[2]Summ for Load forecast'!K46</f>
        <v>4158</v>
      </c>
      <c r="D7" s="44">
        <f>'[2]Summ for Load forecast'!L46</f>
        <v>625</v>
      </c>
      <c r="E7" s="44">
        <f>'[2]Summ for Load forecast'!M46</f>
        <v>27</v>
      </c>
      <c r="F7" s="44">
        <f>'[2]Summ for Load forecast'!N46</f>
        <v>3</v>
      </c>
      <c r="G7" s="44">
        <f>'[2]Summ for Load forecast'!P119</f>
        <v>11642</v>
      </c>
      <c r="H7" s="44">
        <f>'[2]Summ for Load forecast'!O46</f>
        <v>0</v>
      </c>
      <c r="I7" s="43">
        <f t="shared" si="0"/>
        <v>56533</v>
      </c>
    </row>
    <row r="8" spans="1:9" ht="12.75">
      <c r="A8" s="4">
        <v>2004</v>
      </c>
      <c r="B8" s="44">
        <f>'[2]Summ for Load forecast'!J58</f>
        <v>40991</v>
      </c>
      <c r="C8" s="44">
        <f>'[2]Summ for Load forecast'!K58</f>
        <v>4228</v>
      </c>
      <c r="D8" s="44">
        <f>'[2]Summ for Load forecast'!L58</f>
        <v>635</v>
      </c>
      <c r="E8" s="44">
        <f>'[2]Summ for Load forecast'!M58</f>
        <v>27</v>
      </c>
      <c r="F8" s="44">
        <f>'[2]Summ for Load forecast'!N58</f>
        <v>3</v>
      </c>
      <c r="G8" s="44">
        <f>'[2]Summ for Load forecast'!P120</f>
        <v>11821</v>
      </c>
      <c r="H8" s="44">
        <f>'[2]Summ for Load forecast'!O58</f>
        <v>0</v>
      </c>
      <c r="I8" s="43">
        <f t="shared" si="0"/>
        <v>57705</v>
      </c>
    </row>
    <row r="9" spans="1:9" ht="12.75">
      <c r="A9" s="4">
        <v>2005</v>
      </c>
      <c r="B9" s="44">
        <f>'[2]Summ for Load forecast'!J70</f>
        <v>41608</v>
      </c>
      <c r="C9" s="44">
        <f>'[2]Summ for Load forecast'!K70</f>
        <v>4350</v>
      </c>
      <c r="D9" s="44">
        <f>'[2]Summ for Load forecast'!L70</f>
        <v>632</v>
      </c>
      <c r="E9" s="44">
        <f>'[2]Summ for Load forecast'!M70</f>
        <v>30</v>
      </c>
      <c r="F9" s="44">
        <f>'[2]Summ for Load forecast'!N70</f>
        <v>3</v>
      </c>
      <c r="G9" s="44">
        <f>'[2]Summ for Load forecast'!P121</f>
        <v>11968</v>
      </c>
      <c r="H9" s="44">
        <f>'[2]Summ for Load forecast'!O70</f>
        <v>0</v>
      </c>
      <c r="I9" s="43">
        <f t="shared" si="0"/>
        <v>58591</v>
      </c>
    </row>
    <row r="10" spans="1:9" ht="12.75">
      <c r="A10" s="4">
        <v>2006</v>
      </c>
      <c r="B10" s="44">
        <f>'[2]Summ for Load forecast'!J82</f>
        <v>42471</v>
      </c>
      <c r="C10" s="44">
        <f>'[2]Summ for Load forecast'!K82</f>
        <v>4354</v>
      </c>
      <c r="D10" s="44">
        <f>'[2]Summ for Load forecast'!L82</f>
        <v>662</v>
      </c>
      <c r="E10" s="44">
        <f>'[2]Summ for Load forecast'!M82</f>
        <v>29</v>
      </c>
      <c r="F10" s="44">
        <f>'[2]Summ for Load forecast'!N82</f>
        <v>3</v>
      </c>
      <c r="G10" s="44">
        <f>('[2]Summ for Load forecast'!$P$122+'[2]Summ for Load forecast'!$P$123)/2</f>
        <v>12136.5</v>
      </c>
      <c r="H10" s="44">
        <f>'[2]Summ for Load forecast'!P130</f>
        <v>516</v>
      </c>
      <c r="I10" s="43">
        <f t="shared" si="0"/>
        <v>60171.5</v>
      </c>
    </row>
    <row r="11" spans="1:9" ht="12.75">
      <c r="A11" s="4">
        <v>2007</v>
      </c>
      <c r="B11" s="44">
        <f>'[2]Summ for Load forecast'!J94</f>
        <v>43304</v>
      </c>
      <c r="C11" s="44">
        <f>'[2]Summ for Load forecast'!K94</f>
        <v>4398</v>
      </c>
      <c r="D11" s="44">
        <f>'[2]Summ for Load forecast'!L94</f>
        <v>682</v>
      </c>
      <c r="E11" s="44">
        <f>'[2]Summ for Load forecast'!M94</f>
        <v>28</v>
      </c>
      <c r="F11" s="44">
        <f>'[2]Summ for Load forecast'!N94</f>
        <v>3</v>
      </c>
      <c r="G11" s="44">
        <f>'[2]Summ for Load forecast'!P124</f>
        <v>12338</v>
      </c>
      <c r="H11" s="44">
        <f>'[2]Summ for Load forecast'!P131</f>
        <v>456</v>
      </c>
      <c r="I11" s="43">
        <f t="shared" si="0"/>
        <v>61209</v>
      </c>
    </row>
    <row r="12" spans="1:9" ht="13.5" thickBot="1">
      <c r="A12" s="4">
        <v>2008</v>
      </c>
      <c r="B12" s="44">
        <f>'[2]Summ for Load forecast'!J106</f>
        <v>43558</v>
      </c>
      <c r="C12" s="44">
        <f>'[2]Summ for Load forecast'!K106</f>
        <v>4500</v>
      </c>
      <c r="D12" s="44">
        <f>'[2]Summ for Load forecast'!L106</f>
        <v>677</v>
      </c>
      <c r="E12" s="44">
        <f>'[2]Summ for Load forecast'!M106</f>
        <v>28</v>
      </c>
      <c r="F12" s="44">
        <f>'[2]Summ for Load forecast'!N106</f>
        <v>3</v>
      </c>
      <c r="G12" s="44">
        <f>'[2]Summ for Load forecast'!P125</f>
        <v>12393</v>
      </c>
      <c r="H12" s="44">
        <f>'[2]Summ for Load forecast'!P132</f>
        <v>458</v>
      </c>
      <c r="I12" s="43">
        <f t="shared" si="0"/>
        <v>61617</v>
      </c>
    </row>
    <row r="13" spans="1:9" ht="13.5" thickBot="1">
      <c r="A13" s="4">
        <v>2009</v>
      </c>
      <c r="B13" s="63">
        <v>44315</v>
      </c>
      <c r="C13" s="64">
        <f>3524+1057</f>
        <v>4581</v>
      </c>
      <c r="D13" s="64">
        <f>250+168+291</f>
        <v>709</v>
      </c>
      <c r="E13" s="64">
        <v>25</v>
      </c>
      <c r="F13" s="65">
        <v>2</v>
      </c>
      <c r="G13" s="22">
        <f>G12*G28</f>
        <v>12553.7163432898</v>
      </c>
      <c r="H13" s="68">
        <v>538</v>
      </c>
      <c r="I13" s="22">
        <f>SUM(B13:H13)</f>
        <v>62723.7163432898</v>
      </c>
    </row>
    <row r="14" spans="1:9" ht="13.5" thickBot="1">
      <c r="A14" s="4">
        <v>2010</v>
      </c>
      <c r="B14" s="22">
        <f>B13*B28</f>
        <v>45217.63940377571</v>
      </c>
      <c r="C14" s="22">
        <f>C13*C28</f>
        <v>4581.509254660352</v>
      </c>
      <c r="D14" s="22">
        <f>D13*D28</f>
        <v>724.4810782301834</v>
      </c>
      <c r="E14" s="66">
        <v>25</v>
      </c>
      <c r="F14" s="67">
        <v>2</v>
      </c>
      <c r="G14" s="22">
        <f>G13*G28</f>
        <v>12716.516906945972</v>
      </c>
      <c r="H14" s="22">
        <f>H13*H28</f>
        <v>506.86250295245236</v>
      </c>
      <c r="I14" s="22">
        <f>SUM(B14:H14)</f>
        <v>63774.009146564684</v>
      </c>
    </row>
    <row r="15" ht="12.75">
      <c r="A15" s="21"/>
    </row>
    <row r="16" spans="1:8" ht="12.75">
      <c r="A16" s="20" t="s">
        <v>53</v>
      </c>
      <c r="B16" s="5"/>
      <c r="C16" s="5"/>
      <c r="D16" s="5"/>
      <c r="E16" s="5"/>
      <c r="F16" s="5"/>
      <c r="G16" s="26"/>
      <c r="H16" s="5"/>
    </row>
    <row r="17" spans="1:8" ht="12.75">
      <c r="A17" s="4"/>
      <c r="B17" s="26"/>
      <c r="C17" s="26"/>
      <c r="D17" s="26"/>
      <c r="E17" s="26"/>
      <c r="F17" s="26"/>
      <c r="G17" s="26"/>
      <c r="H17" s="26"/>
    </row>
    <row r="18" spans="1:8" ht="12.75">
      <c r="A18" s="4">
        <v>2000</v>
      </c>
      <c r="B18" s="26"/>
      <c r="C18" s="26"/>
      <c r="D18" s="26"/>
      <c r="E18" s="26"/>
      <c r="F18" s="26"/>
      <c r="G18" s="26"/>
      <c r="H18" s="26"/>
    </row>
    <row r="19" spans="1:8" ht="12.75">
      <c r="A19" s="4">
        <v>2001</v>
      </c>
      <c r="B19" s="26">
        <f>B5/B4</f>
        <v>1.0227953276322534</v>
      </c>
      <c r="C19" s="26">
        <f>C5/C4</f>
        <v>0.8892348754448398</v>
      </c>
      <c r="D19" s="26"/>
      <c r="E19" s="26">
        <f aca="true" t="shared" si="1" ref="E19:E26">E5/E4</f>
        <v>0.9230769230769231</v>
      </c>
      <c r="F19" s="26">
        <f aca="true" t="shared" si="2" ref="B19:H26">F5/F4</f>
        <v>1.5</v>
      </c>
      <c r="G19" s="26"/>
      <c r="H19" s="26"/>
    </row>
    <row r="20" spans="1:10" ht="12.75">
      <c r="A20" s="4">
        <v>2002</v>
      </c>
      <c r="B20" s="26">
        <f t="shared" si="2"/>
        <v>1.016867120324946</v>
      </c>
      <c r="C20" s="26">
        <f t="shared" si="2"/>
        <v>1.033391695847924</v>
      </c>
      <c r="D20" s="26">
        <f t="shared" si="2"/>
        <v>1.0541237113402058</v>
      </c>
      <c r="E20" s="26">
        <f t="shared" si="1"/>
        <v>1.0416666666666667</v>
      </c>
      <c r="F20" s="26">
        <f t="shared" si="2"/>
        <v>1</v>
      </c>
      <c r="G20" s="26"/>
      <c r="H20" s="26"/>
      <c r="J20" s="111"/>
    </row>
    <row r="21" spans="1:8" ht="12.75">
      <c r="A21" s="4">
        <v>2003</v>
      </c>
      <c r="B21" s="26">
        <f t="shared" si="2"/>
        <v>1.039542453992504</v>
      </c>
      <c r="C21" s="26">
        <f t="shared" si="2"/>
        <v>1.0064141353019485</v>
      </c>
      <c r="D21" s="26">
        <f t="shared" si="2"/>
        <v>1.018744906275469</v>
      </c>
      <c r="E21" s="26">
        <f t="shared" si="1"/>
        <v>1.08</v>
      </c>
      <c r="F21" s="26">
        <f t="shared" si="2"/>
        <v>1</v>
      </c>
      <c r="G21" s="26">
        <f aca="true" t="shared" si="3" ref="G21:G26">G7/G6</f>
        <v>1.014907157178973</v>
      </c>
      <c r="H21" s="26"/>
    </row>
    <row r="22" spans="1:8" ht="12.75">
      <c r="A22" s="4">
        <v>2004</v>
      </c>
      <c r="B22" s="26">
        <f t="shared" si="2"/>
        <v>1.0227805778731474</v>
      </c>
      <c r="C22" s="26">
        <f t="shared" si="2"/>
        <v>1.0168350168350169</v>
      </c>
      <c r="D22" s="26">
        <f t="shared" si="2"/>
        <v>1.016</v>
      </c>
      <c r="E22" s="26">
        <f t="shared" si="1"/>
        <v>1</v>
      </c>
      <c r="F22" s="26">
        <f t="shared" si="2"/>
        <v>1</v>
      </c>
      <c r="G22" s="26">
        <f t="shared" si="3"/>
        <v>1.0153753650575503</v>
      </c>
      <c r="H22" s="26"/>
    </row>
    <row r="23" spans="1:8" ht="12.75">
      <c r="A23" s="4">
        <v>2005</v>
      </c>
      <c r="B23" s="26">
        <f t="shared" si="2"/>
        <v>1.0150520846039375</v>
      </c>
      <c r="C23" s="26">
        <f t="shared" si="2"/>
        <v>1.0288552507095554</v>
      </c>
      <c r="D23" s="26">
        <f t="shared" si="2"/>
        <v>0.9952755905511811</v>
      </c>
      <c r="E23" s="26">
        <f t="shared" si="1"/>
        <v>1.1111111111111112</v>
      </c>
      <c r="F23" s="26">
        <f t="shared" si="2"/>
        <v>1</v>
      </c>
      <c r="G23" s="26">
        <f>G9/G8</f>
        <v>1.0124354961509179</v>
      </c>
      <c r="H23" s="26"/>
    </row>
    <row r="24" spans="1:8" ht="12.75">
      <c r="A24" s="4">
        <v>2006</v>
      </c>
      <c r="B24" s="26">
        <f t="shared" si="2"/>
        <v>1.0207412036146895</v>
      </c>
      <c r="C24" s="26">
        <f t="shared" si="2"/>
        <v>1.0009195402298852</v>
      </c>
      <c r="D24" s="26">
        <f t="shared" si="2"/>
        <v>1.0474683544303798</v>
      </c>
      <c r="E24" s="26">
        <f t="shared" si="1"/>
        <v>0.9666666666666667</v>
      </c>
      <c r="F24" s="26">
        <f t="shared" si="2"/>
        <v>1</v>
      </c>
      <c r="G24" s="26">
        <f t="shared" si="3"/>
        <v>1.0140792112299466</v>
      </c>
      <c r="H24" s="26"/>
    </row>
    <row r="25" spans="1:8" ht="12.75">
      <c r="A25" s="4">
        <v>2007</v>
      </c>
      <c r="B25" s="26">
        <f t="shared" si="2"/>
        <v>1.019613383249747</v>
      </c>
      <c r="C25" s="26">
        <f t="shared" si="2"/>
        <v>1.0101056499770327</v>
      </c>
      <c r="D25" s="26">
        <f t="shared" si="2"/>
        <v>1.0302114803625377</v>
      </c>
      <c r="E25" s="26">
        <f t="shared" si="1"/>
        <v>0.9655172413793104</v>
      </c>
      <c r="F25" s="26">
        <f t="shared" si="2"/>
        <v>1</v>
      </c>
      <c r="G25" s="26">
        <f t="shared" si="3"/>
        <v>1.016602809706258</v>
      </c>
      <c r="H25" s="26">
        <f t="shared" si="2"/>
        <v>0.8837209302325582</v>
      </c>
    </row>
    <row r="26" spans="1:8" ht="12.75">
      <c r="A26" s="4">
        <v>2008</v>
      </c>
      <c r="B26" s="26">
        <f t="shared" si="2"/>
        <v>1.0058655089599113</v>
      </c>
      <c r="C26" s="26">
        <f t="shared" si="2"/>
        <v>1.0231923601637107</v>
      </c>
      <c r="D26" s="26">
        <f t="shared" si="2"/>
        <v>0.9926686217008798</v>
      </c>
      <c r="E26" s="26">
        <f t="shared" si="1"/>
        <v>1</v>
      </c>
      <c r="F26" s="26">
        <f t="shared" si="2"/>
        <v>1</v>
      </c>
      <c r="G26" s="26">
        <f t="shared" si="3"/>
        <v>1.0044577727346409</v>
      </c>
      <c r="H26" s="26">
        <f t="shared" si="2"/>
        <v>1.0043859649122806</v>
      </c>
    </row>
    <row r="28" spans="1:8" ht="12.75">
      <c r="A28" t="s">
        <v>77</v>
      </c>
      <c r="B28" s="27">
        <f aca="true" t="shared" si="4" ref="B28:H28">B30</f>
        <v>1.0203687104541512</v>
      </c>
      <c r="C28" s="27">
        <f t="shared" si="4"/>
        <v>1.0001111667016704</v>
      </c>
      <c r="D28" s="27">
        <f t="shared" si="4"/>
        <v>1.021835089182205</v>
      </c>
      <c r="E28" s="27">
        <f t="shared" si="4"/>
        <v>1.0093065354975839</v>
      </c>
      <c r="F28" s="27">
        <f t="shared" si="4"/>
        <v>1.0519895055086441</v>
      </c>
      <c r="G28" s="27">
        <f t="shared" si="4"/>
        <v>1.0129683162502865</v>
      </c>
      <c r="H28" s="27">
        <f t="shared" si="4"/>
        <v>0.942123611435785</v>
      </c>
    </row>
    <row r="29" spans="2:8" ht="12.75">
      <c r="B29" s="27"/>
      <c r="C29" s="27"/>
      <c r="D29" s="27"/>
      <c r="E29" s="27"/>
      <c r="F29" s="27"/>
      <c r="G29" s="27"/>
      <c r="H29" s="27"/>
    </row>
    <row r="30" spans="1:8" ht="12.75">
      <c r="A30" t="s">
        <v>17</v>
      </c>
      <c r="B30" s="27">
        <f aca="true" t="shared" si="5" ref="B30:G30">GEOMEAN(B17:B26)</f>
        <v>1.0203687104541512</v>
      </c>
      <c r="C30" s="27">
        <f>GEOMEAN(C17:C26)</f>
        <v>1.0001111667016704</v>
      </c>
      <c r="D30" s="27">
        <f>GEOMEAN(D17:D26)</f>
        <v>1.021835089182205</v>
      </c>
      <c r="E30" s="27">
        <f t="shared" si="5"/>
        <v>1.0093065354975839</v>
      </c>
      <c r="F30" s="27">
        <f t="shared" si="5"/>
        <v>1.0519895055086441</v>
      </c>
      <c r="G30" s="27">
        <f t="shared" si="5"/>
        <v>1.0129683162502865</v>
      </c>
      <c r="H30" s="27">
        <f>GEOMEAN(H17:H26)</f>
        <v>0.942123611435785</v>
      </c>
    </row>
    <row r="31" spans="1:8" ht="12.75">
      <c r="A31" s="4"/>
      <c r="B31" s="27"/>
      <c r="C31" s="27"/>
      <c r="D31" s="27"/>
      <c r="E31" s="27"/>
      <c r="F31" s="27"/>
      <c r="G31" s="27"/>
      <c r="H31" s="27"/>
    </row>
    <row r="32" spans="1:8" ht="12.75">
      <c r="A32" s="4"/>
      <c r="B32" s="27">
        <f aca="true" t="shared" si="6" ref="B32:H32">B30-1</f>
        <v>0.02036871045415123</v>
      </c>
      <c r="C32" s="27">
        <f t="shared" si="6"/>
        <v>0.00011116670167043985</v>
      </c>
      <c r="D32" s="27">
        <f t="shared" si="6"/>
        <v>0.021835089182205003</v>
      </c>
      <c r="E32" s="27">
        <f t="shared" si="6"/>
        <v>0.009306535497583868</v>
      </c>
      <c r="F32" s="27">
        <f t="shared" si="6"/>
        <v>0.05198950550864412</v>
      </c>
      <c r="G32" s="27">
        <f t="shared" si="6"/>
        <v>0.012968316250286493</v>
      </c>
      <c r="H32" s="27">
        <f t="shared" si="6"/>
        <v>-0.05787638856421495</v>
      </c>
    </row>
    <row r="33" spans="1:8" ht="12.75">
      <c r="A33" s="4"/>
      <c r="B33" s="27"/>
      <c r="C33" s="27"/>
      <c r="D33" s="27"/>
      <c r="E33" s="27"/>
      <c r="F33" s="27"/>
      <c r="G33" s="27"/>
      <c r="H33" s="27"/>
    </row>
    <row r="34" spans="1:8" ht="12.75">
      <c r="A34" s="4"/>
      <c r="B34" s="140"/>
      <c r="C34" s="27"/>
      <c r="D34" s="27"/>
      <c r="G34" s="27"/>
      <c r="H34" s="27"/>
    </row>
    <row r="35" spans="1:8" ht="12.75">
      <c r="A35" s="4"/>
      <c r="B35" s="27"/>
      <c r="C35" s="27"/>
      <c r="D35" s="27"/>
      <c r="E35" s="27"/>
      <c r="F35" s="27"/>
      <c r="G35" s="27"/>
      <c r="H35" s="27"/>
    </row>
    <row r="36" spans="1:8" ht="12.75">
      <c r="A36" s="4"/>
      <c r="B36" s="27"/>
      <c r="C36" s="27"/>
      <c r="D36" s="27"/>
      <c r="E36" s="27"/>
      <c r="F36" s="27"/>
      <c r="G36" s="27"/>
      <c r="H36" s="27"/>
    </row>
    <row r="37" spans="1:8" ht="12.75">
      <c r="A37" s="4"/>
      <c r="B37" s="27"/>
      <c r="C37" s="27"/>
      <c r="D37" s="27"/>
      <c r="E37" s="27"/>
      <c r="F37" s="27"/>
      <c r="G37" s="27"/>
      <c r="H37" s="27"/>
    </row>
    <row r="38" spans="1:8" ht="12.75">
      <c r="A38" s="4"/>
      <c r="B38" s="27"/>
      <c r="C38" s="27"/>
      <c r="D38" s="27"/>
      <c r="E38" s="27"/>
      <c r="F38" s="27"/>
      <c r="G38" s="27"/>
      <c r="H38" s="27"/>
    </row>
    <row r="39" spans="2:8" ht="12.75">
      <c r="B39" s="27"/>
      <c r="C39" s="27"/>
      <c r="D39" s="27"/>
      <c r="E39" s="27"/>
      <c r="F39" s="27"/>
      <c r="G39" s="27"/>
      <c r="H39" s="27"/>
    </row>
    <row r="40" spans="2:8" ht="12.75">
      <c r="B40" s="27"/>
      <c r="C40" s="27"/>
      <c r="D40" s="27"/>
      <c r="E40" s="27"/>
      <c r="F40" s="27"/>
      <c r="G40" s="27"/>
      <c r="H40" s="27"/>
    </row>
    <row r="41" spans="2:8" ht="12.75">
      <c r="B41" s="27"/>
      <c r="C41" s="27"/>
      <c r="D41" s="27"/>
      <c r="E41" s="27"/>
      <c r="F41" s="27"/>
      <c r="G41" s="27"/>
      <c r="H41" s="27"/>
    </row>
    <row r="42" spans="2:8" ht="12.75">
      <c r="B42" s="27"/>
      <c r="C42" s="27"/>
      <c r="D42" s="27"/>
      <c r="E42" s="27"/>
      <c r="F42" s="27"/>
      <c r="G42" s="27"/>
      <c r="H42" s="27"/>
    </row>
    <row r="43" spans="2:8" ht="12.75">
      <c r="B43" s="27"/>
      <c r="C43" s="27"/>
      <c r="D43" s="27"/>
      <c r="E43" s="27"/>
      <c r="F43" s="27"/>
      <c r="G43" s="27"/>
      <c r="H43" s="27"/>
    </row>
    <row r="44" spans="2:8" ht="12.75">
      <c r="B44" s="27"/>
      <c r="C44" s="27"/>
      <c r="D44" s="27"/>
      <c r="E44" s="27"/>
      <c r="F44" s="27"/>
      <c r="G44" s="27"/>
      <c r="H44" s="27"/>
    </row>
    <row r="45" spans="2:8" ht="12.75">
      <c r="B45" s="27"/>
      <c r="C45" s="27"/>
      <c r="D45" s="27"/>
      <c r="E45" s="27"/>
      <c r="F45" s="27"/>
      <c r="G45" s="27"/>
      <c r="H45" s="27"/>
    </row>
    <row r="46" spans="2:8" ht="12.75">
      <c r="B46" s="27"/>
      <c r="C46" s="27"/>
      <c r="D46" s="27"/>
      <c r="E46" s="27"/>
      <c r="F46" s="27"/>
      <c r="G46" s="27"/>
      <c r="H46" s="27"/>
    </row>
    <row r="47" spans="2:8" ht="12.75">
      <c r="B47" s="27"/>
      <c r="C47" s="27"/>
      <c r="D47" s="27"/>
      <c r="E47" s="27"/>
      <c r="F47" s="27"/>
      <c r="G47" s="27"/>
      <c r="H47" s="27"/>
    </row>
    <row r="48" spans="2:8" ht="12.75">
      <c r="B48" s="27"/>
      <c r="C48" s="27"/>
      <c r="D48" s="27"/>
      <c r="E48" s="27"/>
      <c r="F48" s="27"/>
      <c r="G48" s="27"/>
      <c r="H48" s="27"/>
    </row>
    <row r="49" spans="2:8" ht="12.75">
      <c r="B49" s="27"/>
      <c r="C49" s="27"/>
      <c r="D49" s="27"/>
      <c r="E49" s="27"/>
      <c r="F49" s="27"/>
      <c r="G49" s="27"/>
      <c r="H49" s="27"/>
    </row>
    <row r="50" spans="2:8" ht="12.75">
      <c r="B50" s="27"/>
      <c r="C50" s="27"/>
      <c r="D50" s="27"/>
      <c r="E50" s="27"/>
      <c r="F50" s="27"/>
      <c r="G50" s="27"/>
      <c r="H50" s="27"/>
    </row>
    <row r="51" spans="2:8" ht="12.75">
      <c r="B51" s="27"/>
      <c r="C51" s="27"/>
      <c r="D51" s="27"/>
      <c r="E51" s="27"/>
      <c r="F51" s="27"/>
      <c r="G51" s="27"/>
      <c r="H51" s="27"/>
    </row>
    <row r="52" spans="2:8" ht="12.75">
      <c r="B52" s="27"/>
      <c r="C52" s="27"/>
      <c r="D52" s="27"/>
      <c r="E52" s="27"/>
      <c r="F52" s="27"/>
      <c r="G52" s="27"/>
      <c r="H52" s="27"/>
    </row>
    <row r="53" spans="2:8" ht="12.75">
      <c r="B53" s="27"/>
      <c r="C53" s="27"/>
      <c r="D53" s="27"/>
      <c r="E53" s="27"/>
      <c r="F53" s="27"/>
      <c r="G53" s="27"/>
      <c r="H53" s="27"/>
    </row>
    <row r="54" spans="2:8" ht="12.75">
      <c r="B54" s="27"/>
      <c r="C54" s="27"/>
      <c r="D54" s="27"/>
      <c r="E54" s="27"/>
      <c r="F54" s="27"/>
      <c r="G54" s="27"/>
      <c r="H54" s="27"/>
    </row>
    <row r="55" spans="2:8" ht="12.75">
      <c r="B55" s="27"/>
      <c r="C55" s="27"/>
      <c r="D55" s="27"/>
      <c r="E55" s="27"/>
      <c r="F55" s="27"/>
      <c r="G55" s="27"/>
      <c r="H55" s="27"/>
    </row>
    <row r="56" spans="2:8" ht="12.75">
      <c r="B56" s="27"/>
      <c r="C56" s="27"/>
      <c r="D56" s="27"/>
      <c r="E56" s="27"/>
      <c r="F56" s="27"/>
      <c r="G56" s="27"/>
      <c r="H56" s="27"/>
    </row>
    <row r="57" spans="2:8" ht="12.75">
      <c r="B57" s="27"/>
      <c r="C57" s="27"/>
      <c r="E57" s="27"/>
      <c r="F57" s="27"/>
      <c r="G57" s="27"/>
      <c r="H57" s="27"/>
    </row>
    <row r="58" ht="12.75">
      <c r="D58" s="6" t="e">
        <f>D12*Summary!#REF!</f>
        <v>#REF!</v>
      </c>
    </row>
    <row r="59" spans="1:11" ht="12.75">
      <c r="A59">
        <v>2008</v>
      </c>
      <c r="B59" s="6" t="e">
        <f>B12*Summary!#REF!</f>
        <v>#REF!</v>
      </c>
      <c r="C59" s="6" t="e">
        <f>C12*Summary!#REF!</f>
        <v>#REF!</v>
      </c>
      <c r="D59" s="6" t="e">
        <f>D13*Summary!#REF!</f>
        <v>#REF!</v>
      </c>
      <c r="E59" s="6" t="e">
        <f>E12*Summary!#REF!</f>
        <v>#REF!</v>
      </c>
      <c r="F59" s="6" t="e">
        <f>F12*Summary!#REF!</f>
        <v>#REF!</v>
      </c>
      <c r="G59" s="6" t="e">
        <f>G12*Summary!#REF!</f>
        <v>#REF!</v>
      </c>
      <c r="H59" s="6" t="e">
        <f>H12*Summary!#REF!</f>
        <v>#REF!</v>
      </c>
      <c r="I59" s="6" t="e">
        <f>SUM(B59:H59)</f>
        <v>#REF!</v>
      </c>
      <c r="J59" s="6" t="e">
        <f>SUM('Rate Class Energy Model'!#REF!)</f>
        <v>#REF!</v>
      </c>
      <c r="K59" s="6" t="e">
        <f>J59-I59</f>
        <v>#REF!</v>
      </c>
    </row>
    <row r="60" spans="1:11" ht="12.75">
      <c r="A60">
        <v>2009</v>
      </c>
      <c r="B60" s="6" t="e">
        <f>B13*Summary!#REF!</f>
        <v>#REF!</v>
      </c>
      <c r="C60" s="6" t="e">
        <f>C13*Summary!#REF!</f>
        <v>#REF!</v>
      </c>
      <c r="E60" s="6" t="e">
        <f>E13*Summary!#REF!</f>
        <v>#REF!</v>
      </c>
      <c r="F60" s="6" t="e">
        <f>F13*Summary!#REF!</f>
        <v>#REF!</v>
      </c>
      <c r="G60" s="6" t="e">
        <f>G13*Summary!#REF!</f>
        <v>#REF!</v>
      </c>
      <c r="H60" s="6" t="e">
        <f>H13*Summary!#REF!</f>
        <v>#REF!</v>
      </c>
      <c r="I60" s="6" t="e">
        <f>SUM(B60:H60)</f>
        <v>#REF!</v>
      </c>
      <c r="J60" s="6" t="e">
        <f>SUM('Rate Class Energy Model'!#REF!)</f>
        <v>#REF!</v>
      </c>
      <c r="K60" s="6" t="e">
        <f>J60-I60</f>
        <v>#REF!</v>
      </c>
    </row>
    <row r="62" ht="12.75">
      <c r="A62" t="s">
        <v>19</v>
      </c>
    </row>
    <row r="63" ht="12.75">
      <c r="D63" s="28">
        <v>0.65</v>
      </c>
    </row>
    <row r="64" spans="1:8" ht="12.75">
      <c r="A64">
        <v>2008</v>
      </c>
      <c r="B64" s="28">
        <v>1</v>
      </c>
      <c r="C64" s="28">
        <v>1</v>
      </c>
      <c r="D64" s="28">
        <v>0.65</v>
      </c>
      <c r="E64" s="28">
        <v>0</v>
      </c>
      <c r="F64" s="28">
        <v>0</v>
      </c>
      <c r="G64" s="28">
        <v>0</v>
      </c>
      <c r="H64" s="28">
        <v>0</v>
      </c>
    </row>
    <row r="65" spans="1:8" ht="12.75">
      <c r="A65">
        <v>2009</v>
      </c>
      <c r="B65" s="28">
        <v>1</v>
      </c>
      <c r="C65" s="28">
        <v>1</v>
      </c>
      <c r="E65" s="28">
        <v>0</v>
      </c>
      <c r="F65" s="28">
        <v>0</v>
      </c>
      <c r="G65" s="28">
        <v>0</v>
      </c>
      <c r="H65" s="28">
        <v>0</v>
      </c>
    </row>
    <row r="67" ht="12.75">
      <c r="A67" t="s">
        <v>20</v>
      </c>
    </row>
    <row r="68" ht="12.75">
      <c r="D68" s="6" t="e">
        <f aca="true" t="shared" si="7" ref="C68:H69">D58*D63</f>
        <v>#REF!</v>
      </c>
    </row>
    <row r="69" spans="1:9" ht="12.75">
      <c r="A69">
        <v>2008</v>
      </c>
      <c r="B69" s="6" t="e">
        <f>B59*B64</f>
        <v>#REF!</v>
      </c>
      <c r="C69" s="6" t="e">
        <f t="shared" si="7"/>
        <v>#REF!</v>
      </c>
      <c r="D69" s="6" t="e">
        <f aca="true" t="shared" si="8" ref="C69:H70">D59*D64</f>
        <v>#REF!</v>
      </c>
      <c r="E69" s="6" t="e">
        <f t="shared" si="7"/>
        <v>#REF!</v>
      </c>
      <c r="F69" s="6" t="e">
        <f t="shared" si="7"/>
        <v>#REF!</v>
      </c>
      <c r="G69" s="6" t="e">
        <f t="shared" si="7"/>
        <v>#REF!</v>
      </c>
      <c r="H69" s="6" t="e">
        <f t="shared" si="7"/>
        <v>#REF!</v>
      </c>
      <c r="I69" s="6" t="e">
        <f>SUM(B69:H69)</f>
        <v>#REF!</v>
      </c>
    </row>
    <row r="70" spans="1:9" ht="12.75">
      <c r="A70">
        <v>2009</v>
      </c>
      <c r="B70" s="6" t="e">
        <f>B60*B65</f>
        <v>#REF!</v>
      </c>
      <c r="C70" s="6" t="e">
        <f t="shared" si="8"/>
        <v>#REF!</v>
      </c>
      <c r="E70" s="6" t="e">
        <f t="shared" si="8"/>
        <v>#REF!</v>
      </c>
      <c r="F70" s="6" t="e">
        <f t="shared" si="8"/>
        <v>#REF!</v>
      </c>
      <c r="G70" s="6" t="e">
        <f t="shared" si="8"/>
        <v>#REF!</v>
      </c>
      <c r="H70" s="6" t="e">
        <f t="shared" si="8"/>
        <v>#REF!</v>
      </c>
      <c r="I70" s="6" t="e">
        <f>SUM(B70:H70)</f>
        <v>#REF!</v>
      </c>
    </row>
    <row r="72" ht="12.75">
      <c r="A72" t="s">
        <v>21</v>
      </c>
    </row>
    <row r="73" ht="12.75">
      <c r="D73" s="6" t="e">
        <f>D68/$I$69*$K$59</f>
        <v>#REF!</v>
      </c>
    </row>
    <row r="74" spans="1:8" ht="12.75">
      <c r="A74">
        <v>2008</v>
      </c>
      <c r="B74" s="6" t="e">
        <f>B69/$I$69*$K$59</f>
        <v>#REF!</v>
      </c>
      <c r="C74" s="6" t="e">
        <f>C69/$I$69*$K$59</f>
        <v>#REF!</v>
      </c>
      <c r="D74" s="6" t="e">
        <f>D69/$I$70*$K$60</f>
        <v>#REF!</v>
      </c>
      <c r="E74" s="6" t="e">
        <f>E69/$I$69*$K$59</f>
        <v>#REF!</v>
      </c>
      <c r="F74" s="6" t="e">
        <f>F69/$I$69*$K$59</f>
        <v>#REF!</v>
      </c>
      <c r="G74" s="6" t="e">
        <f>G69/$I$69*$K$59</f>
        <v>#REF!</v>
      </c>
      <c r="H74" s="6" t="e">
        <f>H69/$I$69*$K$59</f>
        <v>#REF!</v>
      </c>
    </row>
    <row r="75" spans="1:8" ht="12.75">
      <c r="A75">
        <v>2009</v>
      </c>
      <c r="B75" s="6" t="e">
        <f>B70/$I$70*$K$60</f>
        <v>#REF!</v>
      </c>
      <c r="C75" s="6" t="e">
        <f>C70/$I$70*$K$60</f>
        <v>#REF!</v>
      </c>
      <c r="E75" s="6" t="e">
        <f>E70/$I$70*$K$60</f>
        <v>#REF!</v>
      </c>
      <c r="F75" s="6" t="e">
        <f>F70/$I$70*$K$60</f>
        <v>#REF!</v>
      </c>
      <c r="G75" s="6" t="e">
        <f>G70/$I$70*$K$60</f>
        <v>#REF!</v>
      </c>
      <c r="H75" s="6" t="e">
        <f>H70/$I$70*$K$60</f>
        <v>#REF!</v>
      </c>
    </row>
    <row r="77" ht="12.75">
      <c r="A77" t="s">
        <v>22</v>
      </c>
    </row>
    <row r="78" spans="4:10" ht="12.75">
      <c r="D78" s="6" t="e">
        <f aca="true" t="shared" si="9" ref="C78:H79">D58+D73</f>
        <v>#REF!</v>
      </c>
      <c r="J78" s="6" t="s">
        <v>23</v>
      </c>
    </row>
    <row r="79" spans="1:10" ht="12.75">
      <c r="A79">
        <v>2008</v>
      </c>
      <c r="B79" s="6" t="e">
        <f>B59+B74</f>
        <v>#REF!</v>
      </c>
      <c r="C79" s="6" t="e">
        <f t="shared" si="9"/>
        <v>#REF!</v>
      </c>
      <c r="D79" s="6" t="e">
        <f aca="true" t="shared" si="10" ref="C79:H80">D59+D74</f>
        <v>#REF!</v>
      </c>
      <c r="E79" s="6" t="e">
        <f t="shared" si="9"/>
        <v>#REF!</v>
      </c>
      <c r="F79" s="6" t="e">
        <f t="shared" si="9"/>
        <v>#REF!</v>
      </c>
      <c r="G79" s="6" t="e">
        <f t="shared" si="9"/>
        <v>#REF!</v>
      </c>
      <c r="H79" s="6" t="e">
        <f t="shared" si="9"/>
        <v>#REF!</v>
      </c>
      <c r="I79" s="6" t="e">
        <f>SUM(B79:H79)</f>
        <v>#REF!</v>
      </c>
      <c r="J79" s="6" t="e">
        <f>I79-J59</f>
        <v>#REF!</v>
      </c>
    </row>
    <row r="80" spans="1:10" ht="12.75">
      <c r="A80">
        <v>2009</v>
      </c>
      <c r="B80" s="6" t="e">
        <f>B60+B75</f>
        <v>#REF!</v>
      </c>
      <c r="C80" s="6" t="e">
        <f t="shared" si="10"/>
        <v>#REF!</v>
      </c>
      <c r="E80" s="6" t="e">
        <f t="shared" si="10"/>
        <v>#REF!</v>
      </c>
      <c r="F80" s="6" t="e">
        <f t="shared" si="10"/>
        <v>#REF!</v>
      </c>
      <c r="G80" s="6" t="e">
        <f t="shared" si="10"/>
        <v>#REF!</v>
      </c>
      <c r="H80" s="6" t="e">
        <f t="shared" si="10"/>
        <v>#REF!</v>
      </c>
      <c r="I80" s="6" t="e">
        <f>SUM(B80:H80)</f>
        <v>#REF!</v>
      </c>
      <c r="J80" s="6" t="e">
        <f>I80-J60</f>
        <v>#REF!</v>
      </c>
    </row>
    <row r="82" ht="12.75">
      <c r="A82" t="s">
        <v>24</v>
      </c>
    </row>
    <row r="83" ht="12.75">
      <c r="D83" s="15" t="e">
        <f aca="true" t="shared" si="11" ref="C83:H84">(D58-D78)/D58</f>
        <v>#REF!</v>
      </c>
    </row>
    <row r="84" spans="1:8" ht="12.75">
      <c r="A84">
        <v>2008</v>
      </c>
      <c r="B84" s="15" t="e">
        <f>(B59-B79)/B59</f>
        <v>#REF!</v>
      </c>
      <c r="C84" s="15" t="e">
        <f t="shared" si="11"/>
        <v>#REF!</v>
      </c>
      <c r="D84" s="15" t="e">
        <f aca="true" t="shared" si="12" ref="C84:H85">(D59-D79)/D59</f>
        <v>#REF!</v>
      </c>
      <c r="E84" s="15" t="e">
        <f t="shared" si="11"/>
        <v>#REF!</v>
      </c>
      <c r="F84" s="15" t="e">
        <f t="shared" si="11"/>
        <v>#REF!</v>
      </c>
      <c r="G84" s="15" t="e">
        <f t="shared" si="11"/>
        <v>#REF!</v>
      </c>
      <c r="H84" s="15" t="e">
        <f t="shared" si="11"/>
        <v>#REF!</v>
      </c>
    </row>
    <row r="85" spans="1:8" ht="12.75">
      <c r="A85">
        <v>2009</v>
      </c>
      <c r="B85" s="15" t="e">
        <f>(B60-B80)/B60</f>
        <v>#REF!</v>
      </c>
      <c r="C85" s="15" t="e">
        <f t="shared" si="12"/>
        <v>#REF!</v>
      </c>
      <c r="E85" s="15" t="e">
        <f t="shared" si="12"/>
        <v>#REF!</v>
      </c>
      <c r="F85" s="15" t="e">
        <f t="shared" si="12"/>
        <v>#REF!</v>
      </c>
      <c r="G85" s="15" t="e">
        <f t="shared" si="12"/>
        <v>#REF!</v>
      </c>
      <c r="H85" s="15" t="e">
        <f t="shared" si="12"/>
        <v>#REF!</v>
      </c>
    </row>
  </sheetData>
  <printOptions/>
  <pageMargins left="0.38" right="0.75" top="0.73" bottom="0.74" header="0.5" footer="0.5"/>
  <pageSetup fitToHeight="1" fitToWidth="1" horizontalDpi="600" verticalDpi="600" orientation="landscape" scale="96" r:id="rId3"/>
  <headerFooter alignWithMargins="0">
    <oddFooter>&amp;L&amp;Z&amp;F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22">
      <selection activeCell="H20" sqref="H20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3" width="17.7109375" style="6" customWidth="1"/>
    <col min="4" max="5" width="12.57421875" style="6" customWidth="1"/>
    <col min="6" max="7" width="12.7109375" style="6" bestFit="1" customWidth="1"/>
    <col min="8" max="8" width="11.7109375" style="6" bestFit="1" customWidth="1"/>
    <col min="9" max="9" width="10.7109375" style="6" bestFit="1" customWidth="1"/>
    <col min="10" max="11" width="9.140625" style="6" customWidth="1"/>
  </cols>
  <sheetData>
    <row r="1" spans="2:6" ht="42" customHeight="1">
      <c r="B1" s="8" t="str">
        <f>'Rate Class Customer Model'!D2</f>
        <v>General Service &gt; 50 to 999 kW</v>
      </c>
      <c r="C1" s="8" t="str">
        <f>'Rate Class Customer Model'!E2</f>
        <v>General Service &gt; 1000 to 4999 kW</v>
      </c>
      <c r="D1" s="8" t="str">
        <f>'Rate Class Customer Model'!F2</f>
        <v>General Service &gt; 5000 kW</v>
      </c>
      <c r="E1" s="8" t="str">
        <f>'Rate Class Customer Model'!G2</f>
        <v>Street Lights</v>
      </c>
      <c r="F1" s="6" t="s">
        <v>12</v>
      </c>
    </row>
    <row r="2" spans="1:5" ht="12.75">
      <c r="A2" s="32">
        <v>1999</v>
      </c>
      <c r="B2" s="24"/>
      <c r="C2" s="24"/>
      <c r="D2" s="24"/>
      <c r="E2" s="24"/>
    </row>
    <row r="3" spans="1:6" ht="12.75">
      <c r="A3" s="32">
        <v>2000</v>
      </c>
      <c r="B3" s="51"/>
      <c r="C3" s="51"/>
      <c r="D3" s="51"/>
      <c r="E3" s="51"/>
      <c r="F3" s="6">
        <f>SUM(B3:E3)</f>
        <v>0</v>
      </c>
    </row>
    <row r="4" spans="1:6" ht="12.75">
      <c r="A4" s="32">
        <v>2001</v>
      </c>
      <c r="B4" s="52"/>
      <c r="C4" s="52"/>
      <c r="D4" s="51"/>
      <c r="E4" s="51"/>
      <c r="F4" s="6">
        <f aca="true" t="shared" si="0" ref="F4:F13">SUM(B4:E4)</f>
        <v>0</v>
      </c>
    </row>
    <row r="5" spans="1:6" ht="12.75">
      <c r="A5" s="32">
        <v>2002</v>
      </c>
      <c r="B5" s="52"/>
      <c r="C5" s="52"/>
      <c r="D5" s="51"/>
      <c r="E5" s="51"/>
      <c r="F5" s="6">
        <f t="shared" si="0"/>
        <v>0</v>
      </c>
    </row>
    <row r="6" spans="1:6" ht="12.75">
      <c r="A6" s="32">
        <v>2003</v>
      </c>
      <c r="B6" s="52">
        <f>556487+553249+14746+6434+628+45609</f>
        <v>1177153</v>
      </c>
      <c r="C6" s="52">
        <f>526395+7131</f>
        <v>533526</v>
      </c>
      <c r="D6" s="51">
        <v>429237</v>
      </c>
      <c r="E6" s="51">
        <v>26537</v>
      </c>
      <c r="F6" s="6">
        <f t="shared" si="0"/>
        <v>2166453</v>
      </c>
    </row>
    <row r="7" spans="1:6" ht="12.75">
      <c r="A7" s="32">
        <v>2004</v>
      </c>
      <c r="B7" s="52">
        <f>2279271-C7-D7-E7</f>
        <v>1242905</v>
      </c>
      <c r="C7" s="52">
        <f>518595+20526+4128</f>
        <v>543249</v>
      </c>
      <c r="D7" s="51">
        <f>468620</f>
        <v>468620</v>
      </c>
      <c r="E7" s="51">
        <f>24497</f>
        <v>24497</v>
      </c>
      <c r="F7" s="6">
        <f t="shared" si="0"/>
        <v>2279271</v>
      </c>
    </row>
    <row r="8" spans="1:6" ht="12.75">
      <c r="A8" s="32">
        <v>2005</v>
      </c>
      <c r="B8" s="52">
        <f>2398883-C8-D8-E8</f>
        <v>1274085</v>
      </c>
      <c r="C8" s="52">
        <f>573198+8870+37285</f>
        <v>619353</v>
      </c>
      <c r="D8" s="51">
        <f>480781</f>
        <v>480781</v>
      </c>
      <c r="E8" s="51">
        <f>24664</f>
        <v>24664</v>
      </c>
      <c r="F8" s="6">
        <f t="shared" si="0"/>
        <v>2398883</v>
      </c>
    </row>
    <row r="9" spans="1:6" ht="12.75">
      <c r="A9" s="32">
        <v>2006</v>
      </c>
      <c r="B9" s="52">
        <f>602534+666131+5610+5329</f>
        <v>1279604</v>
      </c>
      <c r="C9" s="52">
        <f>618222</f>
        <v>618222</v>
      </c>
      <c r="D9" s="51">
        <f>472853</f>
        <v>472853</v>
      </c>
      <c r="E9" s="51">
        <f>24008</f>
        <v>24008</v>
      </c>
      <c r="F9" s="6">
        <f t="shared" si="0"/>
        <v>2394687</v>
      </c>
    </row>
    <row r="10" spans="1:6" ht="12.75">
      <c r="A10" s="32">
        <v>2007</v>
      </c>
      <c r="B10" s="52">
        <f>568806+706052</f>
        <v>1274858</v>
      </c>
      <c r="C10" s="52">
        <f>571091</f>
        <v>571091</v>
      </c>
      <c r="D10" s="51">
        <f>481509</f>
        <v>481509</v>
      </c>
      <c r="E10" s="51">
        <f>24182</f>
        <v>24182</v>
      </c>
      <c r="F10" s="6">
        <f t="shared" si="0"/>
        <v>2351640</v>
      </c>
    </row>
    <row r="11" spans="1:6" ht="12.75">
      <c r="A11" s="32">
        <v>2008</v>
      </c>
      <c r="B11" s="51">
        <f>570559+673615</f>
        <v>1244174</v>
      </c>
      <c r="C11" s="51">
        <f>554036</f>
        <v>554036</v>
      </c>
      <c r="D11" s="51">
        <f>446448</f>
        <v>446448</v>
      </c>
      <c r="E11" s="51">
        <f>24090</f>
        <v>24090</v>
      </c>
      <c r="F11" s="6">
        <f t="shared" si="0"/>
        <v>2268748</v>
      </c>
    </row>
    <row r="12" spans="1:6" ht="12.75">
      <c r="A12" s="32">
        <v>2009</v>
      </c>
      <c r="B12" s="33">
        <f>'Rate Class Energy Model'!J61*'Rate Class Load Model'!B27</f>
        <v>1292571.9205545846</v>
      </c>
      <c r="C12" s="33">
        <f>'Rate Class Energy Model'!K61*'Rate Class Load Model'!C27</f>
        <v>469750.0002402517</v>
      </c>
      <c r="D12" s="33">
        <f>'Rate Class Energy Model'!L61*'Rate Class Load Model'!D27</f>
        <v>295588.2741922768</v>
      </c>
      <c r="E12" s="33">
        <f>'Rate Class Energy Model'!M61*'Rate Class Load Model'!E27</f>
        <v>24704.171919105724</v>
      </c>
      <c r="F12" s="6">
        <f t="shared" si="0"/>
        <v>2082614.366906219</v>
      </c>
    </row>
    <row r="13" spans="1:6" ht="12.75">
      <c r="A13" s="32">
        <v>2010</v>
      </c>
      <c r="B13" s="33">
        <f>'Rate Class Energy Model'!J62*'Rate Class Load Model'!B27</f>
        <v>1278356.1505746318</v>
      </c>
      <c r="C13" s="33">
        <f>'Rate Class Energy Model'!K62*'Rate Class Load Model'!C27</f>
        <v>456797.3483372339</v>
      </c>
      <c r="D13" s="33">
        <f>'Rate Class Energy Model'!L62*'Rate Class Load Model'!D27</f>
        <v>301094.49915336503</v>
      </c>
      <c r="E13" s="33">
        <f>'Rate Class Energy Model'!M62*'Rate Class Load Model'!E27</f>
        <v>24732.0880358933</v>
      </c>
      <c r="F13" s="6">
        <f t="shared" si="0"/>
        <v>2060980.0861011238</v>
      </c>
    </row>
    <row r="14" ht="12.75">
      <c r="A14" s="21"/>
    </row>
    <row r="15" spans="1:5" ht="12.75">
      <c r="A15" s="20" t="s">
        <v>81</v>
      </c>
      <c r="B15" s="5"/>
      <c r="C15" s="5"/>
      <c r="D15" s="5"/>
      <c r="E15" s="5"/>
    </row>
    <row r="16" spans="1:5" ht="12.75">
      <c r="A16" s="4">
        <v>1999</v>
      </c>
      <c r="B16" s="30"/>
      <c r="C16" s="30"/>
      <c r="D16" s="5"/>
      <c r="E16" s="5"/>
    </row>
    <row r="17" spans="1:5" ht="12.75">
      <c r="A17" s="4">
        <v>2000</v>
      </c>
      <c r="B17" s="30"/>
      <c r="C17" s="30"/>
      <c r="D17" s="30"/>
      <c r="E17" s="30"/>
    </row>
    <row r="18" spans="1:5" ht="12.75">
      <c r="A18" s="4">
        <v>2001</v>
      </c>
      <c r="B18" s="30">
        <f>B4/'Rate Class Energy Model'!J12</f>
        <v>0</v>
      </c>
      <c r="C18" s="30">
        <f>C4/'Rate Class Energy Model'!K12</f>
        <v>0</v>
      </c>
      <c r="D18" s="30">
        <f>D4/'Rate Class Energy Model'!L12</f>
        <v>0</v>
      </c>
      <c r="E18" s="30"/>
    </row>
    <row r="19" spans="1:5" ht="12.75">
      <c r="A19" s="4">
        <v>2002</v>
      </c>
      <c r="B19" s="30">
        <f>B5/'Rate Class Energy Model'!J13</f>
        <v>0</v>
      </c>
      <c r="C19" s="30">
        <f>C5/'Rate Class Energy Model'!K13</f>
        <v>0</v>
      </c>
      <c r="D19" s="30">
        <f>D5/'Rate Class Energy Model'!L13</f>
        <v>0</v>
      </c>
      <c r="E19" s="30"/>
    </row>
    <row r="20" spans="1:5" ht="12.75">
      <c r="A20" s="4">
        <v>2003</v>
      </c>
      <c r="B20" s="30">
        <f>B6/'Rate Class Energy Model'!J14</f>
        <v>0.002616876545338984</v>
      </c>
      <c r="C20" s="30">
        <f>C6/'Rate Class Energy Model'!K14</f>
        <v>0.002026158793654988</v>
      </c>
      <c r="D20" s="30">
        <f>D6/'Rate Class Energy Model'!L14</f>
        <v>0.0018290986807808411</v>
      </c>
      <c r="E20" s="30">
        <f>E6/'Rate Class Energy Model'!M14</f>
        <v>0.0028189864799764</v>
      </c>
    </row>
    <row r="21" spans="1:5" ht="12.75">
      <c r="A21" s="4">
        <v>2004</v>
      </c>
      <c r="B21" s="30">
        <f>B7/'Rate Class Energy Model'!J15</f>
        <v>0.002635968030525219</v>
      </c>
      <c r="C21" s="30">
        <f>C7/'Rate Class Energy Model'!K15</f>
        <v>0.0020127118184873455</v>
      </c>
      <c r="D21" s="30">
        <f>D7/'Rate Class Energy Model'!L15</f>
        <v>0.0019113859575333133</v>
      </c>
      <c r="E21" s="30">
        <f>E7/'Rate Class Energy Model'!M15</f>
        <v>0.002573753879487293</v>
      </c>
    </row>
    <row r="22" spans="1:5" ht="12.75">
      <c r="A22" s="4">
        <v>2005</v>
      </c>
      <c r="B22" s="30">
        <f>B8/'Rate Class Energy Model'!J16</f>
        <v>0.002669121006298415</v>
      </c>
      <c r="C22" s="30">
        <f>C8/'Rate Class Energy Model'!K16</f>
        <v>0.0021441970714009646</v>
      </c>
      <c r="D22" s="30">
        <f>D8/'Rate Class Energy Model'!L16</f>
        <v>0.0018755496366105252</v>
      </c>
      <c r="E22" s="30">
        <f>E8/'Rate Class Energy Model'!M16</f>
        <v>0.0025848435489247592</v>
      </c>
    </row>
    <row r="23" spans="1:5" ht="12.75">
      <c r="A23" s="4">
        <v>2006</v>
      </c>
      <c r="B23" s="30">
        <f>B9/'Rate Class Energy Model'!J17</f>
        <v>0.002721826383145217</v>
      </c>
      <c r="C23" s="30">
        <f>C9/'Rate Class Energy Model'!K17</f>
        <v>0.002222946206431466</v>
      </c>
      <c r="D23" s="30">
        <f>D9/'Rate Class Energy Model'!L17</f>
        <v>0.0018756429898945824</v>
      </c>
      <c r="E23" s="30">
        <f>E9/'Rate Class Energy Model'!M17</f>
        <v>0.002581350540366205</v>
      </c>
    </row>
    <row r="24" spans="1:5" ht="12.75">
      <c r="A24" s="4">
        <v>2007</v>
      </c>
      <c r="B24" s="30">
        <f>B10/'Rate Class Energy Model'!J18</f>
        <v>0.0026327189073916367</v>
      </c>
      <c r="C24" s="30">
        <f>C10/'Rate Class Energy Model'!K18</f>
        <v>0.002226893352707617</v>
      </c>
      <c r="D24" s="30">
        <f>D10/'Rate Class Energy Model'!L18</f>
        <v>0.0019100500388182851</v>
      </c>
      <c r="E24" s="30">
        <f>E10/'Rate Class Energy Model'!M18</f>
        <v>0.0025608843096378443</v>
      </c>
    </row>
    <row r="25" spans="1:5" ht="12.75">
      <c r="A25" s="4">
        <v>2008</v>
      </c>
      <c r="B25" s="30">
        <f>B11/'Rate Class Energy Model'!J19</f>
        <v>0.0026510219956009415</v>
      </c>
      <c r="C25" s="30">
        <f>C11/'Rate Class Energy Model'!K19</f>
        <v>0.002217298317422176</v>
      </c>
      <c r="D25" s="30">
        <f>D11/'Rate Class Energy Model'!L19</f>
        <v>0.0019385686143000424</v>
      </c>
      <c r="E25" s="30">
        <f>E11/'Rate Class Energy Model'!M19</f>
        <v>0.002549505823065918</v>
      </c>
    </row>
    <row r="27" spans="1:5" ht="12.75">
      <c r="A27" t="s">
        <v>16</v>
      </c>
      <c r="B27" s="30">
        <f>AVERAGE(B20:B25)</f>
        <v>0.002654588811383402</v>
      </c>
      <c r="C27" s="30">
        <f>AVERAGE(C20:C25)</f>
        <v>0.002141700926684093</v>
      </c>
      <c r="D27" s="30">
        <f>AVERAGE(D20:D25)</f>
        <v>0.0018900493196562652</v>
      </c>
      <c r="E27" s="30">
        <f>AVERAGE(E20:E25)</f>
        <v>0.002611554096909737</v>
      </c>
    </row>
    <row r="29" ht="12.75">
      <c r="B29" s="30"/>
    </row>
    <row r="34" spans="2:5" ht="12.75">
      <c r="B34" s="28"/>
      <c r="C34" s="28"/>
      <c r="D34" s="28"/>
      <c r="E34" s="28"/>
    </row>
    <row r="35" spans="2:5" ht="12.75">
      <c r="B35" s="28"/>
      <c r="C35" s="28"/>
      <c r="D35" s="28"/>
      <c r="E35" s="28"/>
    </row>
    <row r="54" spans="2:5" ht="12.75">
      <c r="B54" s="15"/>
      <c r="C54" s="15"/>
      <c r="D54" s="15"/>
      <c r="E54" s="15"/>
    </row>
    <row r="55" spans="2:5" ht="12.75">
      <c r="B55" s="15"/>
      <c r="C55" s="15"/>
      <c r="D55" s="15"/>
      <c r="E55" s="15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0"/>
  <sheetViews>
    <sheetView workbookViewId="0" topLeftCell="A186">
      <selection activeCell="C106" sqref="C106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8515625" style="0" customWidth="1"/>
    <col min="5" max="5" width="14.7109375" style="0" customWidth="1"/>
    <col min="6" max="6" width="11.7109375" style="0" customWidth="1"/>
    <col min="7" max="7" width="12.00390625" style="0" customWidth="1"/>
    <col min="8" max="8" width="11.8515625" style="0" customWidth="1"/>
    <col min="9" max="9" width="12.7109375" style="0" bestFit="1" customWidth="1"/>
    <col min="10" max="11" width="11.28125" style="0" customWidth="1"/>
  </cols>
  <sheetData>
    <row r="1" spans="1:7" ht="12.75">
      <c r="A1" s="205" t="s">
        <v>96</v>
      </c>
      <c r="B1" s="205"/>
      <c r="C1" s="205"/>
      <c r="D1" s="205"/>
      <c r="E1" s="205"/>
      <c r="F1" s="205"/>
      <c r="G1" s="205"/>
    </row>
    <row r="2" spans="1:7" ht="12.75">
      <c r="A2" s="192"/>
      <c r="B2" s="192" t="s">
        <v>148</v>
      </c>
      <c r="C2" s="192"/>
      <c r="D2" s="192"/>
      <c r="E2" s="192"/>
      <c r="F2" s="192"/>
      <c r="G2" s="192"/>
    </row>
    <row r="4" spans="1:11" ht="38.25">
      <c r="A4" s="169" t="s">
        <v>97</v>
      </c>
      <c r="B4" s="170" t="s">
        <v>104</v>
      </c>
      <c r="C4" s="171" t="s">
        <v>105</v>
      </c>
      <c r="D4" s="172" t="s">
        <v>99</v>
      </c>
      <c r="E4" s="173" t="s">
        <v>100</v>
      </c>
      <c r="F4" s="169" t="s">
        <v>98</v>
      </c>
      <c r="G4" s="174" t="s">
        <v>101</v>
      </c>
      <c r="H4" s="173" t="s">
        <v>147</v>
      </c>
      <c r="I4" s="174" t="s">
        <v>101</v>
      </c>
      <c r="J4" s="173" t="s">
        <v>149</v>
      </c>
      <c r="K4" s="174" t="s">
        <v>101</v>
      </c>
    </row>
    <row r="5" spans="1:11" ht="12.75">
      <c r="A5" s="78"/>
      <c r="B5" s="119"/>
      <c r="C5" s="79"/>
      <c r="D5" s="119"/>
      <c r="E5" s="79"/>
      <c r="F5" s="119"/>
      <c r="G5" s="80"/>
      <c r="I5" s="123"/>
      <c r="K5" s="123"/>
    </row>
    <row r="6" spans="1:11" ht="12.75">
      <c r="A6" s="115">
        <v>2003</v>
      </c>
      <c r="B6" s="24">
        <f>Summary!E8/1000</f>
        <v>1486259.7725684657</v>
      </c>
      <c r="C6" s="122"/>
      <c r="D6" s="123"/>
      <c r="E6" s="116">
        <f>Summary!E53</f>
        <v>56533</v>
      </c>
      <c r="F6" s="123"/>
      <c r="G6" s="87"/>
      <c r="H6" s="24">
        <f>'Purchased Power Model'!H158</f>
        <v>124284</v>
      </c>
      <c r="I6" s="87"/>
      <c r="J6" s="193">
        <v>127.3</v>
      </c>
      <c r="K6" s="121"/>
    </row>
    <row r="7" spans="1:11" ht="12.75">
      <c r="A7" s="88">
        <v>2004</v>
      </c>
      <c r="B7" s="120">
        <f>Summary!F8/1000</f>
        <v>1528292.270393939</v>
      </c>
      <c r="C7" s="81">
        <f>B7-B6</f>
        <v>42032.497825473314</v>
      </c>
      <c r="D7" s="121">
        <f>C7/B6</f>
        <v>0.028280720908455494</v>
      </c>
      <c r="E7" s="81">
        <f>Summary!F53</f>
        <v>57705</v>
      </c>
      <c r="F7" s="120">
        <f>E7-E6</f>
        <v>1172</v>
      </c>
      <c r="G7" s="83">
        <f>F7/E6</f>
        <v>0.02073125431164099</v>
      </c>
      <c r="H7" s="120">
        <f>'Purchased Power Model'!H170</f>
        <v>127428</v>
      </c>
      <c r="I7" s="121">
        <f aca="true" t="shared" si="0" ref="I7:I13">H7/H6-1</f>
        <v>0.025296900646905485</v>
      </c>
      <c r="J7" s="194">
        <v>130.5</v>
      </c>
      <c r="K7" s="124">
        <f>J7/J6-1</f>
        <v>0.02513747054202664</v>
      </c>
    </row>
    <row r="8" spans="1:11" ht="12.75">
      <c r="A8" s="115">
        <v>2005</v>
      </c>
      <c r="B8" s="24">
        <f>Summary!G8/1000</f>
        <v>1599364.1671752858</v>
      </c>
      <c r="C8" s="116">
        <f aca="true" t="shared" si="1" ref="C8:C13">B8-B7</f>
        <v>71071.89678134676</v>
      </c>
      <c r="D8" s="124">
        <f aca="true" t="shared" si="2" ref="D8:D13">C8/B7</f>
        <v>0.046504126310229245</v>
      </c>
      <c r="E8" s="116">
        <f>Summary!G53</f>
        <v>58591</v>
      </c>
      <c r="F8" s="24">
        <f aca="true" t="shared" si="3" ref="F8:F13">E8-E7</f>
        <v>886</v>
      </c>
      <c r="G8" s="125">
        <f aca="true" t="shared" si="4" ref="G8:G13">F8/E7</f>
        <v>0.015353955463131444</v>
      </c>
      <c r="H8" s="24">
        <f>'Purchased Power Model'!H182</f>
        <v>129372</v>
      </c>
      <c r="I8" s="124">
        <f t="shared" si="0"/>
        <v>0.015255673792259117</v>
      </c>
      <c r="J8" s="195">
        <v>134</v>
      </c>
      <c r="K8" s="121">
        <f aca="true" t="shared" si="5" ref="K8:K13">J8/J7-1</f>
        <v>0.026819923371647514</v>
      </c>
    </row>
    <row r="9" spans="1:11" ht="12.75">
      <c r="A9" s="88">
        <v>2006</v>
      </c>
      <c r="B9" s="120">
        <f>Summary!H8/1000</f>
        <v>1561102.859585294</v>
      </c>
      <c r="C9" s="81">
        <f t="shared" si="1"/>
        <v>-38261.30758999172</v>
      </c>
      <c r="D9" s="121">
        <f t="shared" si="2"/>
        <v>-0.02392282406674576</v>
      </c>
      <c r="E9" s="81">
        <f>Summary!H53</f>
        <v>60171.5</v>
      </c>
      <c r="F9" s="120">
        <f t="shared" si="3"/>
        <v>1580.5</v>
      </c>
      <c r="G9" s="83">
        <f t="shared" si="4"/>
        <v>0.026975132699561366</v>
      </c>
      <c r="H9" s="120">
        <f>'Purchased Power Model'!H194</f>
        <v>131460</v>
      </c>
      <c r="I9" s="121">
        <f t="shared" si="0"/>
        <v>0.016139504684166583</v>
      </c>
      <c r="J9" s="194">
        <v>137.3</v>
      </c>
      <c r="K9" s="124">
        <f t="shared" si="5"/>
        <v>0.024626865671641962</v>
      </c>
    </row>
    <row r="10" spans="1:11" ht="12.75">
      <c r="A10" s="115">
        <v>2007</v>
      </c>
      <c r="B10" s="24">
        <f>Summary!I8/1000</f>
        <v>1566589.5916161514</v>
      </c>
      <c r="C10" s="116">
        <f t="shared" si="1"/>
        <v>5486.732030857354</v>
      </c>
      <c r="D10" s="124">
        <f t="shared" si="2"/>
        <v>0.003514651194934651</v>
      </c>
      <c r="E10" s="116">
        <f>Summary!I53</f>
        <v>61209</v>
      </c>
      <c r="F10" s="24">
        <f t="shared" si="3"/>
        <v>1037.5</v>
      </c>
      <c r="G10" s="125">
        <f t="shared" si="4"/>
        <v>0.01724238219090433</v>
      </c>
      <c r="H10" s="24">
        <f>'Purchased Power Model'!H206</f>
        <v>133428</v>
      </c>
      <c r="I10" s="124">
        <f t="shared" si="0"/>
        <v>0.014970333181195894</v>
      </c>
      <c r="J10" s="195">
        <v>140.3</v>
      </c>
      <c r="K10" s="121">
        <f t="shared" si="5"/>
        <v>0.021849963583393972</v>
      </c>
    </row>
    <row r="11" spans="1:11" ht="12.75">
      <c r="A11" s="88">
        <v>2008</v>
      </c>
      <c r="B11" s="120">
        <f>Summary!J8/1000</f>
        <v>1518625.6831198358</v>
      </c>
      <c r="C11" s="81">
        <f t="shared" si="1"/>
        <v>-47963.90849631559</v>
      </c>
      <c r="D11" s="121">
        <f t="shared" si="2"/>
        <v>-0.03061676699053915</v>
      </c>
      <c r="E11" s="81">
        <f>Summary!J53</f>
        <v>61617</v>
      </c>
      <c r="F11" s="120">
        <f t="shared" si="3"/>
        <v>408</v>
      </c>
      <c r="G11" s="83">
        <f t="shared" si="4"/>
        <v>0.006665686418663922</v>
      </c>
      <c r="H11" s="120">
        <f>'Purchased Power Model'!H218</f>
        <v>134532</v>
      </c>
      <c r="I11" s="121">
        <f t="shared" si="0"/>
        <v>0.008274125370986596</v>
      </c>
      <c r="J11" s="194">
        <v>139.8</v>
      </c>
      <c r="K11" s="124">
        <f t="shared" si="5"/>
        <v>-0.0035637918745545782</v>
      </c>
    </row>
    <row r="12" spans="1:11" ht="12.75">
      <c r="A12" s="115" t="s">
        <v>107</v>
      </c>
      <c r="B12" s="24">
        <f>Summary!K8/1000</f>
        <v>1431183.9873535314</v>
      </c>
      <c r="C12" s="116">
        <f t="shared" si="1"/>
        <v>-87441.69576630439</v>
      </c>
      <c r="D12" s="124">
        <f t="shared" si="2"/>
        <v>-0.057579492259518375</v>
      </c>
      <c r="E12" s="116">
        <f>Summary!K53</f>
        <v>62723.7163432898</v>
      </c>
      <c r="F12" s="24">
        <f t="shared" si="3"/>
        <v>1106.7163432898014</v>
      </c>
      <c r="G12" s="125">
        <f t="shared" si="4"/>
        <v>0.01796121757452978</v>
      </c>
      <c r="H12" s="24">
        <f>'Purchased Power Model'!H230</f>
        <v>135576</v>
      </c>
      <c r="I12" s="124">
        <f t="shared" si="0"/>
        <v>0.007760235483007749</v>
      </c>
      <c r="J12" s="195">
        <v>136.3</v>
      </c>
      <c r="K12" s="124">
        <f t="shared" si="5"/>
        <v>-0.025035765379113006</v>
      </c>
    </row>
    <row r="13" spans="1:11" ht="12.75">
      <c r="A13" s="115" t="s">
        <v>108</v>
      </c>
      <c r="B13" s="24">
        <f>Summary!L8/1000</f>
        <v>1392763.5594046053</v>
      </c>
      <c r="C13" s="116">
        <f t="shared" si="1"/>
        <v>-38420.42794892611</v>
      </c>
      <c r="D13" s="124">
        <f t="shared" si="2"/>
        <v>-0.026845205290461013</v>
      </c>
      <c r="E13" s="116">
        <f>Summary!L53</f>
        <v>63774.009146564684</v>
      </c>
      <c r="F13" s="24">
        <f t="shared" si="3"/>
        <v>1050.2928032748823</v>
      </c>
      <c r="G13" s="125">
        <f t="shared" si="4"/>
        <v>0.016744747672899053</v>
      </c>
      <c r="H13" s="24">
        <f>'Purchased Power Model'!H242</f>
        <v>136572</v>
      </c>
      <c r="I13" s="124">
        <f t="shared" si="0"/>
        <v>0.0073464329969905595</v>
      </c>
      <c r="J13" s="195">
        <v>139.4</v>
      </c>
      <c r="K13" s="124">
        <f t="shared" si="5"/>
        <v>0.022743947175348556</v>
      </c>
    </row>
    <row r="14" ht="12.75">
      <c r="C14" s="77"/>
    </row>
    <row r="16" spans="1:9" ht="12.75">
      <c r="A16" s="205" t="s">
        <v>102</v>
      </c>
      <c r="B16" s="205"/>
      <c r="C16" s="205"/>
      <c r="D16" s="205"/>
      <c r="E16" s="205"/>
      <c r="F16" s="205"/>
      <c r="G16" s="205"/>
      <c r="H16" s="205"/>
      <c r="I16" s="205"/>
    </row>
    <row r="17" ht="12.75">
      <c r="B17" s="76"/>
    </row>
    <row r="18" spans="1:9" ht="42" customHeight="1">
      <c r="A18" s="169" t="s">
        <v>97</v>
      </c>
      <c r="B18" s="175" t="s">
        <v>1</v>
      </c>
      <c r="C18" s="176" t="s">
        <v>78</v>
      </c>
      <c r="D18" s="175" t="s">
        <v>79</v>
      </c>
      <c r="E18" s="172" t="s">
        <v>80</v>
      </c>
      <c r="F18" s="173" t="s">
        <v>88</v>
      </c>
      <c r="G18" s="175" t="s">
        <v>89</v>
      </c>
      <c r="H18" s="174" t="s">
        <v>2</v>
      </c>
      <c r="I18" s="175" t="s">
        <v>12</v>
      </c>
    </row>
    <row r="19" spans="1:9" ht="12.75">
      <c r="A19" s="89" t="s">
        <v>103</v>
      </c>
      <c r="B19" s="119"/>
      <c r="C19" s="90"/>
      <c r="D19" s="119"/>
      <c r="E19" s="90"/>
      <c r="F19" s="119"/>
      <c r="G19" s="90"/>
      <c r="H19" s="119"/>
      <c r="I19" s="91"/>
    </row>
    <row r="20" spans="1:9" ht="12.75">
      <c r="A20" s="115">
        <v>2003</v>
      </c>
      <c r="B20" s="24">
        <f>'Rate Class Energy Model'!H14/1000</f>
        <v>365784.2444761779</v>
      </c>
      <c r="C20" s="24">
        <f>'Rate Class Energy Model'!I14/1000</f>
        <v>163240.28681118344</v>
      </c>
      <c r="D20" s="24">
        <f>'Rate Class Energy Model'!J14/1000</f>
        <v>449831.30828111514</v>
      </c>
      <c r="E20" s="24">
        <f>'Rate Class Energy Model'!K14/1000</f>
        <v>263318.9469999893</v>
      </c>
      <c r="F20" s="24">
        <f>'Rate Class Energy Model'!L14/1000</f>
        <v>234671.31900000002</v>
      </c>
      <c r="G20" s="24">
        <f>'Rate Class Energy Model'!M14/1000</f>
        <v>9413.667</v>
      </c>
      <c r="H20" s="24">
        <f>'Rate Class Energy Model'!N14/1000</f>
        <v>0</v>
      </c>
      <c r="I20" s="117">
        <f>SUM(B20:H20)</f>
        <v>1486259.7725684657</v>
      </c>
    </row>
    <row r="21" spans="1:9" ht="12.75">
      <c r="A21" s="88">
        <v>2004</v>
      </c>
      <c r="B21" s="24">
        <f>'Rate Class Energy Model'!H15/1000</f>
        <v>366465.99824624066</v>
      </c>
      <c r="C21" s="24">
        <f>'Rate Class Energy Model'!I15/1000</f>
        <v>165708.9262201777</v>
      </c>
      <c r="D21" s="24">
        <f>'Rate Class Energy Model'!J15/1000</f>
        <v>471517.47881872073</v>
      </c>
      <c r="E21" s="24">
        <f>'Rate Class Energy Model'!K15/1000</f>
        <v>269908.983</v>
      </c>
      <c r="F21" s="24">
        <f>'Rate Class Energy Model'!L15/1000</f>
        <v>245172.87999999995</v>
      </c>
      <c r="G21" s="24">
        <f>'Rate Class Energy Model'!M15/1000</f>
        <v>9518.004108800002</v>
      </c>
      <c r="H21" s="24">
        <f>'Rate Class Energy Model'!N15/1000</f>
        <v>0</v>
      </c>
      <c r="I21" s="93">
        <f aca="true" t="shared" si="6" ref="I21:I27">SUM(B21:H21)</f>
        <v>1528292.270393939</v>
      </c>
    </row>
    <row r="22" spans="1:9" ht="12.75">
      <c r="A22" s="115">
        <v>2005</v>
      </c>
      <c r="B22" s="24">
        <f>'Rate Class Energy Model'!H16/1000</f>
        <v>394023.30839392863</v>
      </c>
      <c r="C22" s="24">
        <f>'Rate Class Energy Model'!I16/1000</f>
        <v>172872.183117248</v>
      </c>
      <c r="D22" s="24">
        <f>'Rate Class Energy Model'!J16/1000</f>
        <v>477342.5397325556</v>
      </c>
      <c r="E22" s="24">
        <f>'Rate Class Energy Model'!K16/1000</f>
        <v>288850.78160998056</v>
      </c>
      <c r="F22" s="24">
        <f>'Rate Class Energy Model'!L16/1000</f>
        <v>256341.38954000847</v>
      </c>
      <c r="G22" s="24">
        <f>'Rate Class Energy Model'!M16/1000</f>
        <v>9541.77672001066</v>
      </c>
      <c r="H22" s="24">
        <f>'Rate Class Energy Model'!N16/1000</f>
        <v>392.1880615536532</v>
      </c>
      <c r="I22" s="117">
        <f t="shared" si="6"/>
        <v>1599364.1671752858</v>
      </c>
    </row>
    <row r="23" spans="1:9" ht="12.75">
      <c r="A23" s="88">
        <v>2006</v>
      </c>
      <c r="B23" s="24">
        <f>'Rate Class Energy Model'!H17/1000</f>
        <v>381579.96859043883</v>
      </c>
      <c r="C23" s="24">
        <f>'Rate Class Energy Model'!I17/1000</f>
        <v>166886.9498713199</v>
      </c>
      <c r="D23" s="24">
        <f>'Rate Class Energy Model'!J17/1000</f>
        <v>470126.9735365518</v>
      </c>
      <c r="E23" s="24">
        <f>'Rate Class Energy Model'!K17/1000</f>
        <v>278109.29396822536</v>
      </c>
      <c r="F23" s="24">
        <f>'Rate Class Energy Model'!L17/1000</f>
        <v>252101.81391</v>
      </c>
      <c r="G23" s="24">
        <f>'Rate Class Energy Model'!M17/1000</f>
        <v>9300.557837679065</v>
      </c>
      <c r="H23" s="24">
        <f>'Rate Class Energy Model'!N17/1000</f>
        <v>2997.3018710786605</v>
      </c>
      <c r="I23" s="93">
        <f t="shared" si="6"/>
        <v>1561102.8595852936</v>
      </c>
    </row>
    <row r="24" spans="1:9" ht="12.75">
      <c r="A24" s="115">
        <v>2007</v>
      </c>
      <c r="B24" s="24">
        <f>'Rate Class Energy Model'!H18/1000</f>
        <v>392558.9660160586</v>
      </c>
      <c r="C24" s="24">
        <f>'Rate Class Energy Model'!I18/1000</f>
        <v>169606.27412815456</v>
      </c>
      <c r="D24" s="24">
        <f>'Rate Class Energy Model'!J18/1000</f>
        <v>484236.27620126907</v>
      </c>
      <c r="E24" s="24">
        <f>'Rate Class Energy Model'!K18/1000</f>
        <v>256451.88589998102</v>
      </c>
      <c r="F24" s="24">
        <f>'Rate Class Energy Model'!L18/1000</f>
        <v>252092.34847999128</v>
      </c>
      <c r="G24" s="24">
        <f>'Rate Class Energy Model'!M18/1000</f>
        <v>9442.83187998437</v>
      </c>
      <c r="H24" s="24">
        <f>'Rate Class Energy Model'!N18/1000</f>
        <v>2201.0090107126484</v>
      </c>
      <c r="I24" s="117">
        <f t="shared" si="6"/>
        <v>1566589.5916161516</v>
      </c>
    </row>
    <row r="25" spans="1:9" ht="12.75">
      <c r="A25" s="88">
        <v>2008</v>
      </c>
      <c r="B25" s="24">
        <f>'Rate Class Energy Model'!H19/1000</f>
        <v>387314.73182075354</v>
      </c>
      <c r="C25" s="24">
        <f>'Rate Class Energy Model'!I19/1000</f>
        <v>170263.5972476212</v>
      </c>
      <c r="D25" s="24">
        <f>'Rate Class Energy Model'!J19/1000</f>
        <v>469318.62582225277</v>
      </c>
      <c r="E25" s="24">
        <f>'Rate Class Energy Model'!K19/1000</f>
        <v>249869.85091122985</v>
      </c>
      <c r="F25" s="24">
        <f>'Rate Class Energy Model'!L19/1000</f>
        <v>230297.75510999834</v>
      </c>
      <c r="G25" s="24">
        <f>'Rate Class Energy Model'!M19/1000</f>
        <v>9448.889969990529</v>
      </c>
      <c r="H25" s="24">
        <f>'Rate Class Energy Model'!N19/1000</f>
        <v>2112.2322379896586</v>
      </c>
      <c r="I25" s="93">
        <f t="shared" si="6"/>
        <v>1518625.6831198358</v>
      </c>
    </row>
    <row r="26" spans="1:9" ht="12.75">
      <c r="A26" s="115" t="s">
        <v>107</v>
      </c>
      <c r="B26" s="24">
        <f>Summary!K13/1000</f>
        <v>386688.87964097934</v>
      </c>
      <c r="C26" s="116">
        <f>Summary!K17/1000</f>
        <v>170178.03672460097</v>
      </c>
      <c r="D26" s="24">
        <f>Summary!K21/1000</f>
        <v>486919.8254026313</v>
      </c>
      <c r="E26" s="116">
        <f>Summary!K26/1000</f>
        <v>219335.01283372287</v>
      </c>
      <c r="F26" s="24">
        <f>Summary!K31/1000</f>
        <v>156391.83121741717</v>
      </c>
      <c r="G26" s="116">
        <f>Summary!K36/1000</f>
        <v>9459.567369612705</v>
      </c>
      <c r="H26" s="24">
        <f>Summary!K41/1000</f>
        <v>2210.8341645670694</v>
      </c>
      <c r="I26" s="117">
        <f t="shared" si="6"/>
        <v>1431183.9873535314</v>
      </c>
    </row>
    <row r="27" spans="1:9" ht="12.75">
      <c r="A27" s="115" t="s">
        <v>108</v>
      </c>
      <c r="B27" s="24">
        <f>Summary!L13/1000</f>
        <v>368322.9878334161</v>
      </c>
      <c r="C27" s="116">
        <f>Summary!L17/1000</f>
        <v>158957.44650489348</v>
      </c>
      <c r="D27" s="24">
        <f>Summary!L21/1000</f>
        <v>481564.65705452673</v>
      </c>
      <c r="E27" s="116">
        <f>Summary!L26/1000</f>
        <v>213287.17873063363</v>
      </c>
      <c r="F27" s="24">
        <f>Summary!L31/1000</f>
        <v>159305.10173571753</v>
      </c>
      <c r="G27" s="116">
        <f>Summary!L36/1000</f>
        <v>9470.256834870426</v>
      </c>
      <c r="H27" s="24">
        <f>Summary!L41/1000</f>
        <v>1855.9307105474857</v>
      </c>
      <c r="I27" s="117">
        <f t="shared" si="6"/>
        <v>1392763.5594046053</v>
      </c>
    </row>
    <row r="29" spans="1:9" ht="12.75">
      <c r="A29" s="85" t="s">
        <v>106</v>
      </c>
      <c r="B29" s="86"/>
      <c r="C29" s="86"/>
      <c r="D29" s="86"/>
      <c r="E29" s="86"/>
      <c r="F29" s="86"/>
      <c r="G29" s="86"/>
      <c r="H29" s="86"/>
      <c r="I29" s="87"/>
    </row>
    <row r="30" spans="1:9" ht="12.75">
      <c r="A30" s="115">
        <v>2003</v>
      </c>
      <c r="B30" s="24">
        <f>'Rate Class Customer Model'!B7</f>
        <v>40078</v>
      </c>
      <c r="C30" s="116">
        <f>'Rate Class Customer Model'!C7</f>
        <v>4158</v>
      </c>
      <c r="D30" s="24">
        <f>'Rate Class Customer Model'!D7</f>
        <v>625</v>
      </c>
      <c r="E30" s="116">
        <f>'Rate Class Customer Model'!E7</f>
        <v>27</v>
      </c>
      <c r="F30" s="24">
        <f>'Rate Class Customer Model'!F7</f>
        <v>3</v>
      </c>
      <c r="G30" s="116">
        <f>'Rate Class Customer Model'!G7</f>
        <v>11642</v>
      </c>
      <c r="H30" s="24">
        <f>'Rate Class Customer Model'!H7</f>
        <v>0</v>
      </c>
      <c r="I30" s="117">
        <f aca="true" t="shared" si="7" ref="I30:I37">SUM(B30:H30)</f>
        <v>56533</v>
      </c>
    </row>
    <row r="31" spans="1:9" ht="12.75">
      <c r="A31" s="88">
        <v>2004</v>
      </c>
      <c r="B31" s="120">
        <f>'Rate Class Customer Model'!B8</f>
        <v>40991</v>
      </c>
      <c r="C31" s="81">
        <f>'Rate Class Customer Model'!C8</f>
        <v>4228</v>
      </c>
      <c r="D31" s="120">
        <f>'Rate Class Customer Model'!D8</f>
        <v>635</v>
      </c>
      <c r="E31" s="81">
        <f>'Rate Class Customer Model'!E8</f>
        <v>27</v>
      </c>
      <c r="F31" s="120">
        <f>'Rate Class Customer Model'!F8</f>
        <v>3</v>
      </c>
      <c r="G31" s="81">
        <f>'Rate Class Customer Model'!G8</f>
        <v>11821</v>
      </c>
      <c r="H31" s="120">
        <f>'Rate Class Customer Model'!H8</f>
        <v>0</v>
      </c>
      <c r="I31" s="93">
        <f t="shared" si="7"/>
        <v>57705</v>
      </c>
    </row>
    <row r="32" spans="1:9" ht="12.75">
      <c r="A32" s="115">
        <v>2005</v>
      </c>
      <c r="B32" s="24">
        <f>'Rate Class Customer Model'!B9</f>
        <v>41608</v>
      </c>
      <c r="C32" s="116">
        <f>'Rate Class Customer Model'!C9</f>
        <v>4350</v>
      </c>
      <c r="D32" s="24">
        <f>'Rate Class Customer Model'!D9</f>
        <v>632</v>
      </c>
      <c r="E32" s="116">
        <f>'Rate Class Customer Model'!E9</f>
        <v>30</v>
      </c>
      <c r="F32" s="24">
        <f>'Rate Class Customer Model'!F9</f>
        <v>3</v>
      </c>
      <c r="G32" s="116">
        <f>'Rate Class Customer Model'!G9</f>
        <v>11968</v>
      </c>
      <c r="H32" s="24">
        <f>'Rate Class Customer Model'!H9</f>
        <v>0</v>
      </c>
      <c r="I32" s="117">
        <f t="shared" si="7"/>
        <v>58591</v>
      </c>
    </row>
    <row r="33" spans="1:9" ht="12.75">
      <c r="A33" s="88">
        <v>2006</v>
      </c>
      <c r="B33" s="120">
        <f>'Rate Class Customer Model'!B10</f>
        <v>42471</v>
      </c>
      <c r="C33" s="81">
        <f>'Rate Class Customer Model'!C10</f>
        <v>4354</v>
      </c>
      <c r="D33" s="120">
        <f>'Rate Class Customer Model'!D10</f>
        <v>662</v>
      </c>
      <c r="E33" s="81">
        <f>'Rate Class Customer Model'!E10</f>
        <v>29</v>
      </c>
      <c r="F33" s="120">
        <f>'Rate Class Customer Model'!F10</f>
        <v>3</v>
      </c>
      <c r="G33" s="81">
        <f>'Rate Class Customer Model'!G10</f>
        <v>12136.5</v>
      </c>
      <c r="H33" s="120">
        <f>'Rate Class Customer Model'!H10</f>
        <v>516</v>
      </c>
      <c r="I33" s="93">
        <f t="shared" si="7"/>
        <v>60171.5</v>
      </c>
    </row>
    <row r="34" spans="1:9" ht="12.75">
      <c r="A34" s="115">
        <v>2007</v>
      </c>
      <c r="B34" s="24">
        <f>'Rate Class Customer Model'!B11</f>
        <v>43304</v>
      </c>
      <c r="C34" s="116">
        <f>'Rate Class Customer Model'!C11</f>
        <v>4398</v>
      </c>
      <c r="D34" s="24">
        <f>'Rate Class Customer Model'!D11</f>
        <v>682</v>
      </c>
      <c r="E34" s="116">
        <f>'Rate Class Customer Model'!E11</f>
        <v>28</v>
      </c>
      <c r="F34" s="24">
        <f>'Rate Class Customer Model'!F11</f>
        <v>3</v>
      </c>
      <c r="G34" s="116">
        <f>'Rate Class Customer Model'!G11</f>
        <v>12338</v>
      </c>
      <c r="H34" s="24">
        <f>'Rate Class Customer Model'!H11</f>
        <v>456</v>
      </c>
      <c r="I34" s="117">
        <f t="shared" si="7"/>
        <v>61209</v>
      </c>
    </row>
    <row r="35" spans="1:9" ht="12.75">
      <c r="A35" s="88">
        <v>2008</v>
      </c>
      <c r="B35" s="120">
        <f>'Rate Class Customer Model'!B12</f>
        <v>43558</v>
      </c>
      <c r="C35" s="81">
        <f>'Rate Class Customer Model'!C12</f>
        <v>4500</v>
      </c>
      <c r="D35" s="120">
        <f>'Rate Class Customer Model'!D12</f>
        <v>677</v>
      </c>
      <c r="E35" s="81">
        <f>'Rate Class Customer Model'!E12</f>
        <v>28</v>
      </c>
      <c r="F35" s="120">
        <f>'Rate Class Customer Model'!F12</f>
        <v>3</v>
      </c>
      <c r="G35" s="81">
        <f>'Rate Class Customer Model'!G12</f>
        <v>12393</v>
      </c>
      <c r="H35" s="120">
        <f>'Rate Class Customer Model'!H12</f>
        <v>458</v>
      </c>
      <c r="I35" s="93">
        <f t="shared" si="7"/>
        <v>61617</v>
      </c>
    </row>
    <row r="36" spans="1:9" ht="12.75">
      <c r="A36" s="115" t="s">
        <v>107</v>
      </c>
      <c r="B36" s="24">
        <f>Summary!K12</f>
        <v>44315</v>
      </c>
      <c r="C36" s="116">
        <f>Summary!K16</f>
        <v>4581</v>
      </c>
      <c r="D36" s="24">
        <f>Summary!K20</f>
        <v>709</v>
      </c>
      <c r="E36" s="116">
        <f>Summary!K25</f>
        <v>25</v>
      </c>
      <c r="F36" s="24">
        <f>Summary!K30</f>
        <v>2</v>
      </c>
      <c r="G36" s="116">
        <f>Summary!K35</f>
        <v>12553.7163432898</v>
      </c>
      <c r="H36" s="24">
        <f>Summary!K40</f>
        <v>538</v>
      </c>
      <c r="I36" s="117">
        <f t="shared" si="7"/>
        <v>62723.7163432898</v>
      </c>
    </row>
    <row r="37" spans="1:9" ht="12.75">
      <c r="A37" s="92" t="s">
        <v>108</v>
      </c>
      <c r="B37" s="126">
        <f>Summary!L12</f>
        <v>45217.63940377571</v>
      </c>
      <c r="C37" s="94">
        <f>Summary!L16</f>
        <v>4581.509254660352</v>
      </c>
      <c r="D37" s="126">
        <f>Summary!L20</f>
        <v>724.4810782301834</v>
      </c>
      <c r="E37" s="94">
        <f>Summary!L25</f>
        <v>25</v>
      </c>
      <c r="F37" s="126">
        <f>Summary!L30</f>
        <v>2</v>
      </c>
      <c r="G37" s="94">
        <f>Summary!L35</f>
        <v>12716.516906945972</v>
      </c>
      <c r="H37" s="126">
        <f>Summary!L40</f>
        <v>506.86250295245236</v>
      </c>
      <c r="I37" s="95">
        <f t="shared" si="7"/>
        <v>63774.009146564684</v>
      </c>
    </row>
    <row r="40" spans="1:8" ht="12.75">
      <c r="A40" s="205" t="s">
        <v>109</v>
      </c>
      <c r="B40" s="205"/>
      <c r="C40" s="205"/>
      <c r="D40" s="205"/>
      <c r="E40" s="205"/>
      <c r="F40" s="205"/>
      <c r="G40" s="205"/>
      <c r="H40" s="205"/>
    </row>
    <row r="42" spans="1:8" ht="38.25">
      <c r="A42" s="169" t="s">
        <v>97</v>
      </c>
      <c r="B42" s="175" t="s">
        <v>1</v>
      </c>
      <c r="C42" s="176" t="s">
        <v>78</v>
      </c>
      <c r="D42" s="175" t="s">
        <v>79</v>
      </c>
      <c r="E42" s="172" t="s">
        <v>80</v>
      </c>
      <c r="F42" s="173" t="s">
        <v>88</v>
      </c>
      <c r="G42" s="175" t="s">
        <v>89</v>
      </c>
      <c r="H42" s="174" t="s">
        <v>2</v>
      </c>
    </row>
    <row r="43" spans="1:8" ht="12.75">
      <c r="A43" s="79" t="s">
        <v>110</v>
      </c>
      <c r="B43" s="119"/>
      <c r="C43" s="79"/>
      <c r="D43" s="119"/>
      <c r="E43" s="79"/>
      <c r="F43" s="119"/>
      <c r="G43" s="79"/>
      <c r="H43" s="119"/>
    </row>
    <row r="44" spans="1:8" ht="12.75">
      <c r="A44" s="115">
        <v>2003</v>
      </c>
      <c r="B44" s="24">
        <f>'Rate Class Energy Model'!H32</f>
        <v>9126.808834676829</v>
      </c>
      <c r="C44" s="116">
        <f>'Rate Class Energy Model'!I32</f>
        <v>39259.32823741786</v>
      </c>
      <c r="D44" s="24">
        <f>'Rate Class Energy Model'!J32</f>
        <v>719730.0932497842</v>
      </c>
      <c r="E44" s="116">
        <f>'Rate Class Energy Model'!K32</f>
        <v>9752553.592592195</v>
      </c>
      <c r="F44" s="24">
        <f>'Rate Class Energy Model'!L32</f>
        <v>78223773.00000001</v>
      </c>
      <c r="G44" s="116">
        <f>'Rate Class Energy Model'!M32</f>
        <v>808.5953444425356</v>
      </c>
      <c r="H44" s="24">
        <f>'Rate Class Energy Model'!N32</f>
        <v>0</v>
      </c>
    </row>
    <row r="45" spans="1:8" ht="12.75">
      <c r="A45" s="88">
        <v>2004</v>
      </c>
      <c r="B45" s="120">
        <f>'Rate Class Energy Model'!H33</f>
        <v>8940.15755278575</v>
      </c>
      <c r="C45" s="81">
        <f>'Rate Class Energy Model'!I33</f>
        <v>39193.21812208555</v>
      </c>
      <c r="D45" s="120">
        <f>'Rate Class Energy Model'!J33</f>
        <v>742547.210738143</v>
      </c>
      <c r="E45" s="81">
        <f>'Rate Class Energy Model'!K33</f>
        <v>9996629</v>
      </c>
      <c r="F45" s="120">
        <f>'Rate Class Energy Model'!L33</f>
        <v>81724293.33333331</v>
      </c>
      <c r="G45" s="81">
        <f>'Rate Class Energy Model'!M33</f>
        <v>805.1775745537603</v>
      </c>
      <c r="H45" s="120">
        <f>'Rate Class Energy Model'!N33</f>
        <v>0</v>
      </c>
    </row>
    <row r="46" spans="1:8" ht="12.75">
      <c r="A46" s="115">
        <v>2005</v>
      </c>
      <c r="B46" s="24">
        <f>'Rate Class Energy Model'!H34</f>
        <v>9469.893010813514</v>
      </c>
      <c r="C46" s="116">
        <f>'Rate Class Energy Model'!I34</f>
        <v>39740.731751091495</v>
      </c>
      <c r="D46" s="24">
        <f>'Rate Class Energy Model'!J34</f>
        <v>755288.8286907526</v>
      </c>
      <c r="E46" s="116">
        <f>'Rate Class Energy Model'!K34</f>
        <v>9628359.386999352</v>
      </c>
      <c r="F46" s="24">
        <f>'Rate Class Energy Model'!L34</f>
        <v>85447129.8466695</v>
      </c>
      <c r="G46" s="116">
        <f>'Rate Class Energy Model'!M34</f>
        <v>797.2741243324414</v>
      </c>
      <c r="H46" s="24">
        <f>'Rate Class Energy Model'!N34</f>
        <v>0</v>
      </c>
    </row>
    <row r="47" spans="1:8" ht="12.75">
      <c r="A47" s="88">
        <v>2006</v>
      </c>
      <c r="B47" s="120">
        <f>'Rate Class Energy Model'!H35</f>
        <v>8984.482790384942</v>
      </c>
      <c r="C47" s="81">
        <f>'Rate Class Energy Model'!I35</f>
        <v>38329.57048032152</v>
      </c>
      <c r="D47" s="120">
        <f>'Rate Class Energy Model'!J35</f>
        <v>710161.5914449424</v>
      </c>
      <c r="E47" s="81">
        <f>'Rate Class Energy Model'!K35</f>
        <v>9589975.654076736</v>
      </c>
      <c r="F47" s="120">
        <f>'Rate Class Energy Model'!L35</f>
        <v>84033937.97</v>
      </c>
      <c r="G47" s="81">
        <f>'Rate Class Energy Model'!M35</f>
        <v>766.3294885411004</v>
      </c>
      <c r="H47" s="120">
        <f>'Rate Class Energy Model'!N35</f>
        <v>5808.724556353994</v>
      </c>
    </row>
    <row r="48" spans="1:8" ht="12.75">
      <c r="A48" s="115">
        <v>2007</v>
      </c>
      <c r="B48" s="24">
        <f>'Rate Class Energy Model'!H36</f>
        <v>9065.189497876838</v>
      </c>
      <c r="C48" s="116">
        <f>'Rate Class Energy Model'!I36</f>
        <v>38564.4097608355</v>
      </c>
      <c r="D48" s="24">
        <f>'Rate Class Energy Model'!J36</f>
        <v>710023.8653977553</v>
      </c>
      <c r="E48" s="116">
        <f>'Rate Class Energy Model'!K36</f>
        <v>9158995.924999323</v>
      </c>
      <c r="F48" s="24">
        <f>'Rate Class Energy Model'!L36</f>
        <v>84030782.82666376</v>
      </c>
      <c r="G48" s="116">
        <f>'Rate Class Energy Model'!M36</f>
        <v>765.3454271344116</v>
      </c>
      <c r="H48" s="24">
        <f>'Rate Class Energy Model'!N36</f>
        <v>4826.774146299667</v>
      </c>
    </row>
    <row r="49" spans="1:8" ht="12.75">
      <c r="A49" s="88">
        <v>2008</v>
      </c>
      <c r="B49" s="120">
        <f>'Rate Class Energy Model'!H37</f>
        <v>8891.931030367636</v>
      </c>
      <c r="C49" s="81">
        <f>'Rate Class Energy Model'!I37</f>
        <v>37836.354943915816</v>
      </c>
      <c r="D49" s="120">
        <f>'Rate Class Energy Model'!J37</f>
        <v>693232.8298703881</v>
      </c>
      <c r="E49" s="81">
        <f>'Rate Class Energy Model'!K37</f>
        <v>8923923.246829638</v>
      </c>
      <c r="F49" s="120">
        <f>'Rate Class Energy Model'!L37</f>
        <v>76765918.36999945</v>
      </c>
      <c r="G49" s="81">
        <f>'Rate Class Energy Model'!M37</f>
        <v>762.4376640031089</v>
      </c>
      <c r="H49" s="120">
        <f>'Rate Class Energy Model'!N37</f>
        <v>4611.8607816368085</v>
      </c>
    </row>
    <row r="50" spans="1:8" ht="12.75">
      <c r="A50" s="115" t="s">
        <v>107</v>
      </c>
      <c r="B50" s="24">
        <f>'Rate Class Energy Model'!H38</f>
        <v>8839.269161412598</v>
      </c>
      <c r="C50" s="116">
        <f>'Rate Class Energy Model'!I38</f>
        <v>37631.25018816201</v>
      </c>
      <c r="D50" s="24">
        <f>'Rate Class Energy Model'!J38</f>
        <v>691019.495352338</v>
      </c>
      <c r="E50" s="116">
        <f>'Rate Class Energy Model'!K38</f>
        <v>8799184.36985753</v>
      </c>
      <c r="F50" s="24">
        <f>'Rate Class Energy Model'!L38</f>
        <v>78195915.60870859</v>
      </c>
      <c r="G50" s="116">
        <f>'Rate Class Energy Model'!M38</f>
        <v>753.5272512883424</v>
      </c>
      <c r="H50" s="24">
        <f>'Rate Class Energy Model'!N38</f>
        <v>4109.357183210166</v>
      </c>
    </row>
    <row r="51" spans="1:8" ht="12.75">
      <c r="A51" s="92" t="s">
        <v>108</v>
      </c>
      <c r="B51" s="126">
        <f>'Rate Class Energy Model'!H39</f>
        <v>8786.919178866976</v>
      </c>
      <c r="C51" s="94">
        <f>'Rate Class Energy Model'!I39</f>
        <v>37427.25727208979</v>
      </c>
      <c r="D51" s="126">
        <f>'Rate Class Energy Model'!J39</f>
        <v>688813.2275072405</v>
      </c>
      <c r="E51" s="94">
        <f>'Rate Class Energy Model'!K39</f>
        <v>8676189.096791223</v>
      </c>
      <c r="F51" s="126">
        <f>'Rate Class Energy Model'!L39</f>
        <v>79652550.86785877</v>
      </c>
      <c r="G51" s="94">
        <f>'Rate Class Energy Model'!M39</f>
        <v>744.7209722732815</v>
      </c>
      <c r="H51" s="126">
        <f>'Rate Class Energy Model'!N39</f>
        <v>3661.605859057967</v>
      </c>
    </row>
    <row r="53" spans="1:8" ht="12.75">
      <c r="A53" s="99" t="s">
        <v>111</v>
      </c>
      <c r="B53" s="90"/>
      <c r="C53" s="90"/>
      <c r="D53" s="90"/>
      <c r="E53" s="90"/>
      <c r="F53" s="90"/>
      <c r="G53" s="90"/>
      <c r="H53" s="91"/>
    </row>
    <row r="54" spans="1:8" ht="12.75">
      <c r="A54" s="115">
        <v>2003</v>
      </c>
      <c r="B54" s="24"/>
      <c r="C54" s="116"/>
      <c r="D54" s="24"/>
      <c r="E54" s="116"/>
      <c r="F54" s="24"/>
      <c r="G54" s="116"/>
      <c r="H54" s="24"/>
    </row>
    <row r="55" spans="1:8" ht="12.75">
      <c r="A55" s="88">
        <v>2004</v>
      </c>
      <c r="B55" s="121">
        <f aca="true" t="shared" si="8" ref="B55:G55">B45/B44-1</f>
        <v>-0.02045088105515125</v>
      </c>
      <c r="C55" s="82">
        <f t="shared" si="8"/>
        <v>-0.0016839339413174947</v>
      </c>
      <c r="D55" s="121">
        <f t="shared" si="8"/>
        <v>0.031702325222130234</v>
      </c>
      <c r="E55" s="82">
        <f t="shared" si="8"/>
        <v>0.02502682042098181</v>
      </c>
      <c r="F55" s="121">
        <f t="shared" si="8"/>
        <v>0.04475008298734573</v>
      </c>
      <c r="G55" s="82">
        <f t="shared" si="8"/>
        <v>-0.004226798870739956</v>
      </c>
      <c r="H55" s="121"/>
    </row>
    <row r="56" spans="1:8" ht="12.75">
      <c r="A56" s="88">
        <v>2005</v>
      </c>
      <c r="B56" s="121">
        <f aca="true" t="shared" si="9" ref="B56:H60">B46/B45-1</f>
        <v>0.05925348126137875</v>
      </c>
      <c r="C56" s="82">
        <f t="shared" si="9"/>
        <v>0.013969601253473574</v>
      </c>
      <c r="D56" s="121">
        <f t="shared" si="9"/>
        <v>0.01715933716853324</v>
      </c>
      <c r="E56" s="82">
        <f t="shared" si="9"/>
        <v>-0.036839379855013954</v>
      </c>
      <c r="F56" s="121">
        <f t="shared" si="9"/>
        <v>0.04555360911047157</v>
      </c>
      <c r="G56" s="82">
        <f t="shared" si="9"/>
        <v>-0.009815785326235837</v>
      </c>
      <c r="H56" s="121"/>
    </row>
    <row r="57" spans="1:8" ht="12.75">
      <c r="A57" s="88">
        <v>2006</v>
      </c>
      <c r="B57" s="121">
        <f t="shared" si="9"/>
        <v>-0.05125825813177509</v>
      </c>
      <c r="C57" s="82">
        <f t="shared" si="9"/>
        <v>-0.03550919191947732</v>
      </c>
      <c r="D57" s="121">
        <f t="shared" si="9"/>
        <v>-0.05974831816860782</v>
      </c>
      <c r="E57" s="82">
        <f t="shared" si="9"/>
        <v>-0.00398652889654727</v>
      </c>
      <c r="F57" s="121">
        <f t="shared" si="9"/>
        <v>-0.016538786957565388</v>
      </c>
      <c r="G57" s="82">
        <f t="shared" si="9"/>
        <v>-0.038813044154983656</v>
      </c>
      <c r="H57" s="121"/>
    </row>
    <row r="58" spans="1:8" ht="12.75">
      <c r="A58" s="88">
        <v>2007</v>
      </c>
      <c r="B58" s="121">
        <f t="shared" si="9"/>
        <v>0.008982899669891742</v>
      </c>
      <c r="C58" s="82">
        <f t="shared" si="9"/>
        <v>0.006126843519797642</v>
      </c>
      <c r="D58" s="121">
        <f t="shared" si="9"/>
        <v>-0.00019393620951380086</v>
      </c>
      <c r="E58" s="82">
        <f t="shared" si="9"/>
        <v>-0.04494064892586069</v>
      </c>
      <c r="F58" s="121">
        <f t="shared" si="9"/>
        <v>-3.754606070427435E-05</v>
      </c>
      <c r="G58" s="82">
        <f t="shared" si="9"/>
        <v>-0.0012841231107552087</v>
      </c>
      <c r="H58" s="121">
        <f t="shared" si="9"/>
        <v>-0.1690475078526833</v>
      </c>
    </row>
    <row r="59" spans="1:8" ht="12.75">
      <c r="A59" s="88">
        <v>2008</v>
      </c>
      <c r="B59" s="121">
        <f t="shared" si="9"/>
        <v>-0.01911250366578454</v>
      </c>
      <c r="C59" s="82">
        <f t="shared" si="9"/>
        <v>-0.01887893063668944</v>
      </c>
      <c r="D59" s="121">
        <f t="shared" si="9"/>
        <v>-0.023648550908863863</v>
      </c>
      <c r="E59" s="82">
        <f t="shared" si="9"/>
        <v>-0.025665769489869206</v>
      </c>
      <c r="F59" s="121">
        <f t="shared" si="9"/>
        <v>-0.08645479920911914</v>
      </c>
      <c r="G59" s="82">
        <f t="shared" si="9"/>
        <v>-0.003799282034244067</v>
      </c>
      <c r="H59" s="121">
        <f>H49/H48-1</f>
        <v>-0.04452525810175256</v>
      </c>
    </row>
    <row r="60" spans="1:8" ht="12.75">
      <c r="A60" s="88" t="s">
        <v>107</v>
      </c>
      <c r="B60" s="121">
        <f t="shared" si="9"/>
        <v>-0.00592243335842213</v>
      </c>
      <c r="C60" s="82">
        <f t="shared" si="9"/>
        <v>-0.00542083813458849</v>
      </c>
      <c r="D60" s="121">
        <f t="shared" si="9"/>
        <v>-0.003192772215453221</v>
      </c>
      <c r="E60" s="82">
        <f t="shared" si="9"/>
        <v>-0.013978031132935276</v>
      </c>
      <c r="F60" s="121">
        <f t="shared" si="9"/>
        <v>0.0186280222926114</v>
      </c>
      <c r="G60" s="82">
        <f t="shared" si="9"/>
        <v>-0.011686742582971532</v>
      </c>
      <c r="H60" s="121">
        <f t="shared" si="9"/>
        <v>-0.10895896953947026</v>
      </c>
    </row>
    <row r="61" spans="1:8" ht="12.75">
      <c r="A61" s="92" t="s">
        <v>108</v>
      </c>
      <c r="B61" s="127">
        <f>B51/B50-1</f>
        <v>-0.00592243335842213</v>
      </c>
      <c r="C61" s="100">
        <f aca="true" t="shared" si="10" ref="C61:H61">C51/C50-1</f>
        <v>-0.005420838134588379</v>
      </c>
      <c r="D61" s="127">
        <f t="shared" si="10"/>
        <v>-0.003192772215453221</v>
      </c>
      <c r="E61" s="100">
        <f t="shared" si="10"/>
        <v>-0.013978031132935276</v>
      </c>
      <c r="F61" s="127">
        <f t="shared" si="10"/>
        <v>0.0186280222926114</v>
      </c>
      <c r="G61" s="100">
        <f t="shared" si="10"/>
        <v>-0.011686742582971421</v>
      </c>
      <c r="H61" s="127">
        <f t="shared" si="10"/>
        <v>-0.10895896953947015</v>
      </c>
    </row>
    <row r="64" spans="1:8" ht="12.75">
      <c r="A64" s="205" t="s">
        <v>120</v>
      </c>
      <c r="B64" s="205"/>
      <c r="C64" s="205"/>
      <c r="D64" s="205"/>
      <c r="E64" s="97"/>
      <c r="F64" s="97"/>
      <c r="G64" s="97"/>
      <c r="H64" s="97"/>
    </row>
    <row r="65" spans="1:8" ht="12.75">
      <c r="A65" t="s">
        <v>150</v>
      </c>
      <c r="B65" s="97"/>
      <c r="C65" s="97"/>
      <c r="D65" s="97"/>
      <c r="E65" s="97"/>
      <c r="F65" s="97"/>
      <c r="G65" s="97"/>
      <c r="H65" s="97"/>
    </row>
    <row r="66" spans="1:8" ht="25.5">
      <c r="A66" s="177" t="s">
        <v>113</v>
      </c>
      <c r="B66" s="178" t="s">
        <v>116</v>
      </c>
      <c r="C66" s="179" t="s">
        <v>121</v>
      </c>
      <c r="D66" s="177" t="s">
        <v>0</v>
      </c>
      <c r="E66" s="97"/>
      <c r="F66" s="97"/>
      <c r="G66" s="97"/>
      <c r="H66" s="97"/>
    </row>
    <row r="67" spans="1:8" ht="12.75">
      <c r="A67" s="115">
        <v>2001</v>
      </c>
      <c r="B67" s="129">
        <f>'Rate Class Energy Model'!B12/1000</f>
        <v>1420977.73</v>
      </c>
      <c r="C67" s="129">
        <f>'Rate Class Energy Model'!G12/1000</f>
        <v>1359912.172393183</v>
      </c>
      <c r="D67" s="133">
        <f aca="true" t="shared" si="11" ref="D67:D74">B67/C67-1</f>
        <v>0.04490404516297053</v>
      </c>
      <c r="E67" s="97"/>
      <c r="F67" s="97"/>
      <c r="G67" s="97"/>
      <c r="H67" s="97"/>
    </row>
    <row r="68" spans="1:8" ht="12.75">
      <c r="A68" s="115">
        <v>2002</v>
      </c>
      <c r="B68" s="129">
        <f>'Rate Class Energy Model'!B13/1000</f>
        <v>1519144.756</v>
      </c>
      <c r="C68" s="129">
        <f>'Rate Class Energy Model'!G13/1000</f>
        <v>1418653.2881429514</v>
      </c>
      <c r="D68" s="133">
        <f t="shared" si="11"/>
        <v>0.0708358192216183</v>
      </c>
      <c r="E68" s="97"/>
      <c r="F68" s="97"/>
      <c r="G68" s="97"/>
      <c r="H68" s="97"/>
    </row>
    <row r="69" spans="1:8" ht="12.75">
      <c r="A69" s="115">
        <v>2003</v>
      </c>
      <c r="B69" s="129">
        <f>'Rate Class Energy Model'!B14/1000</f>
        <v>1523717.53</v>
      </c>
      <c r="C69" s="129">
        <f>'Rate Class Energy Model'!G14/1000</f>
        <v>1486259.7725684657</v>
      </c>
      <c r="D69" s="133">
        <f t="shared" si="11"/>
        <v>0.025202698830233405</v>
      </c>
      <c r="E69" s="97"/>
      <c r="F69" s="97"/>
      <c r="G69" s="97"/>
      <c r="H69" s="97"/>
    </row>
    <row r="70" spans="1:8" ht="12.75">
      <c r="A70" s="115">
        <v>2004</v>
      </c>
      <c r="B70" s="129">
        <f>'Rate Class Energy Model'!B15/1000</f>
        <v>1570405.93</v>
      </c>
      <c r="C70" s="129">
        <f>'Rate Class Energy Model'!G15/1000</f>
        <v>1528292.270393939</v>
      </c>
      <c r="D70" s="133">
        <f t="shared" si="11"/>
        <v>0.027556024735508</v>
      </c>
      <c r="E70" s="97"/>
      <c r="F70" s="97"/>
      <c r="G70" s="97"/>
      <c r="H70" s="97"/>
    </row>
    <row r="71" spans="1:8" ht="12.75">
      <c r="A71" s="115">
        <v>2005</v>
      </c>
      <c r="B71" s="130">
        <f>'Rate Class Energy Model'!B16/1000</f>
        <v>1640988.662</v>
      </c>
      <c r="C71" s="128">
        <f>'Rate Class Energy Model'!G16/1000</f>
        <v>1599364.1671752858</v>
      </c>
      <c r="D71" s="124">
        <f t="shared" si="11"/>
        <v>0.026025651742735523</v>
      </c>
      <c r="E71" s="97"/>
      <c r="F71" s="97"/>
      <c r="G71" s="97"/>
      <c r="H71" s="97"/>
    </row>
    <row r="72" spans="1:8" ht="12.75">
      <c r="A72" s="88">
        <v>2006</v>
      </c>
      <c r="B72" s="131">
        <f>'Rate Class Energy Model'!B17/1000</f>
        <v>1599360.044</v>
      </c>
      <c r="C72" s="107">
        <f>'Rate Class Energy Model'!G17/1000</f>
        <v>1561102.859585294</v>
      </c>
      <c r="D72" s="121">
        <f t="shared" si="11"/>
        <v>0.024506511009062537</v>
      </c>
      <c r="E72" s="97"/>
      <c r="F72" s="97"/>
      <c r="G72" s="97"/>
      <c r="H72" s="97"/>
    </row>
    <row r="73" spans="1:8" ht="12.75">
      <c r="A73" s="115">
        <v>2007</v>
      </c>
      <c r="B73" s="130">
        <f>'Rate Class Energy Model'!B18/1000</f>
        <v>1609193.923</v>
      </c>
      <c r="C73" s="128">
        <f>'Rate Class Energy Model'!G18/1000</f>
        <v>1566589.5916161514</v>
      </c>
      <c r="D73" s="124">
        <f t="shared" si="11"/>
        <v>0.027195592012006387</v>
      </c>
      <c r="E73" s="97"/>
      <c r="F73" s="97"/>
      <c r="G73" s="97"/>
      <c r="H73" s="97"/>
    </row>
    <row r="74" spans="1:8" ht="12.75">
      <c r="A74" s="115">
        <v>2008</v>
      </c>
      <c r="B74" s="130">
        <f>'Rate Class Energy Model'!B19/1000</f>
        <v>1557523.229</v>
      </c>
      <c r="C74" s="128">
        <f>'Rate Class Energy Model'!G19/1000</f>
        <v>1518625.6831198358</v>
      </c>
      <c r="D74" s="124">
        <f t="shared" si="11"/>
        <v>0.025613649441417197</v>
      </c>
      <c r="E74" s="97"/>
      <c r="F74" s="97"/>
      <c r="G74" s="97"/>
      <c r="H74" s="97"/>
    </row>
    <row r="75" spans="1:8" ht="12.75">
      <c r="A75" s="84" t="s">
        <v>16</v>
      </c>
      <c r="B75" s="132"/>
      <c r="C75" s="106"/>
      <c r="D75" s="127">
        <f>AVERAGE(D67:D74)</f>
        <v>0.033979999019443985</v>
      </c>
      <c r="E75" s="97"/>
      <c r="F75" s="97"/>
      <c r="G75" s="97"/>
      <c r="H75" s="97"/>
    </row>
    <row r="78" spans="1:9" ht="12.75">
      <c r="A78" s="205" t="s">
        <v>122</v>
      </c>
      <c r="B78" s="205"/>
      <c r="C78" s="205"/>
      <c r="D78" s="205"/>
      <c r="E78" s="205"/>
      <c r="F78" s="205"/>
      <c r="G78" s="205"/>
      <c r="H78" s="205"/>
      <c r="I78" s="205"/>
    </row>
    <row r="80" spans="1:9" ht="38.25">
      <c r="A80" s="169" t="s">
        <v>97</v>
      </c>
      <c r="B80" s="175" t="s">
        <v>1</v>
      </c>
      <c r="C80" s="176" t="s">
        <v>78</v>
      </c>
      <c r="D80" s="175" t="s">
        <v>79</v>
      </c>
      <c r="E80" s="172" t="s">
        <v>80</v>
      </c>
      <c r="F80" s="173" t="s">
        <v>88</v>
      </c>
      <c r="G80" s="175" t="s">
        <v>89</v>
      </c>
      <c r="H80" s="174" t="s">
        <v>2</v>
      </c>
      <c r="I80" s="175" t="s">
        <v>12</v>
      </c>
    </row>
    <row r="81" spans="1:9" ht="12.75">
      <c r="A81" s="108" t="s">
        <v>123</v>
      </c>
      <c r="B81" s="119"/>
      <c r="C81" s="79"/>
      <c r="D81" s="119"/>
      <c r="E81" s="79"/>
      <c r="F81" s="119"/>
      <c r="G81" s="79"/>
      <c r="H81" s="119"/>
      <c r="I81" s="80"/>
    </row>
    <row r="82" spans="1:9" ht="12.75">
      <c r="A82" s="115">
        <v>2000</v>
      </c>
      <c r="B82" s="24">
        <f>'Rate Class Customer Model'!B4</f>
        <v>37069</v>
      </c>
      <c r="C82" s="116">
        <f>'Rate Class Customer Model'!C4</f>
        <v>4496</v>
      </c>
      <c r="D82" s="24">
        <f>'Rate Class Customer Model'!D4</f>
        <v>4</v>
      </c>
      <c r="E82" s="116">
        <f>'Rate Class Customer Model'!E4</f>
        <v>26</v>
      </c>
      <c r="F82" s="24">
        <f>'Rate Class Customer Model'!F4</f>
        <v>2</v>
      </c>
      <c r="G82" s="116" t="s">
        <v>139</v>
      </c>
      <c r="H82" s="24" t="s">
        <v>139</v>
      </c>
      <c r="I82" s="117">
        <f>SUM(B82:H82)</f>
        <v>41597</v>
      </c>
    </row>
    <row r="83" spans="1:10" ht="12.75">
      <c r="A83" s="88">
        <v>2001</v>
      </c>
      <c r="B83" s="120">
        <f>'Rate Class Customer Model'!B5</f>
        <v>37914</v>
      </c>
      <c r="C83" s="81">
        <f>'Rate Class Customer Model'!C5</f>
        <v>3998</v>
      </c>
      <c r="D83" s="120">
        <f>'Rate Class Customer Model'!D5</f>
        <v>582</v>
      </c>
      <c r="E83" s="81">
        <f>'Rate Class Customer Model'!E5</f>
        <v>24</v>
      </c>
      <c r="F83" s="120">
        <f>'Rate Class Customer Model'!F5</f>
        <v>3</v>
      </c>
      <c r="G83" s="116" t="s">
        <v>139</v>
      </c>
      <c r="H83" s="24" t="s">
        <v>139</v>
      </c>
      <c r="I83" s="93">
        <f>SUM(B83:H83)</f>
        <v>42521</v>
      </c>
      <c r="J83" s="69">
        <f>I83-'Rate Class Customer Model'!I5</f>
        <v>0</v>
      </c>
    </row>
    <row r="84" spans="1:10" ht="12.75">
      <c r="A84" s="115">
        <f>+A83+1</f>
        <v>2002</v>
      </c>
      <c r="B84" s="24">
        <f>'Rate Class Customer Model'!B6</f>
        <v>38553.5</v>
      </c>
      <c r="C84" s="116">
        <f>'Rate Class Customer Model'!C6</f>
        <v>4131.5</v>
      </c>
      <c r="D84" s="24">
        <f>'Rate Class Customer Model'!D6</f>
        <v>613.4999999999998</v>
      </c>
      <c r="E84" s="116">
        <f>'Rate Class Customer Model'!E6</f>
        <v>25</v>
      </c>
      <c r="F84" s="24">
        <f>'Rate Class Customer Model'!F6</f>
        <v>3</v>
      </c>
      <c r="G84" s="116">
        <f>'Rate Class Customer Model'!G6</f>
        <v>11471</v>
      </c>
      <c r="H84" s="24" t="s">
        <v>139</v>
      </c>
      <c r="I84" s="117">
        <f aca="true" t="shared" si="12" ref="I84:I89">SUM(B84:H84)</f>
        <v>54797.5</v>
      </c>
      <c r="J84" s="69">
        <f>I84-'Rate Class Customer Model'!I6</f>
        <v>0</v>
      </c>
    </row>
    <row r="85" spans="1:10" ht="12.75">
      <c r="A85" s="88">
        <f aca="true" t="shared" si="13" ref="A85:A90">+A84+1</f>
        <v>2003</v>
      </c>
      <c r="B85" s="120">
        <f>'Rate Class Customer Model'!B7</f>
        <v>40078</v>
      </c>
      <c r="C85" s="81">
        <f>'Rate Class Customer Model'!C7</f>
        <v>4158</v>
      </c>
      <c r="D85" s="120">
        <f>'Rate Class Customer Model'!D7</f>
        <v>625</v>
      </c>
      <c r="E85" s="81">
        <f>'Rate Class Customer Model'!E7</f>
        <v>27</v>
      </c>
      <c r="F85" s="120">
        <f>'Rate Class Customer Model'!F7</f>
        <v>3</v>
      </c>
      <c r="G85" s="81">
        <f>'Rate Class Customer Model'!G7</f>
        <v>11642</v>
      </c>
      <c r="H85" s="24" t="s">
        <v>139</v>
      </c>
      <c r="I85" s="93">
        <f t="shared" si="12"/>
        <v>56533</v>
      </c>
      <c r="J85" s="69">
        <f>I85-'Rate Class Customer Model'!I7</f>
        <v>0</v>
      </c>
    </row>
    <row r="86" spans="1:10" ht="12.75">
      <c r="A86" s="115">
        <f t="shared" si="13"/>
        <v>2004</v>
      </c>
      <c r="B86" s="24">
        <f>'Rate Class Customer Model'!B8</f>
        <v>40991</v>
      </c>
      <c r="C86" s="116">
        <f>'Rate Class Customer Model'!C8</f>
        <v>4228</v>
      </c>
      <c r="D86" s="24">
        <f>'Rate Class Customer Model'!D8</f>
        <v>635</v>
      </c>
      <c r="E86" s="116">
        <f>'Rate Class Customer Model'!E8</f>
        <v>27</v>
      </c>
      <c r="F86" s="24">
        <f>'Rate Class Customer Model'!F8</f>
        <v>3</v>
      </c>
      <c r="G86" s="116">
        <f>'Rate Class Customer Model'!G8</f>
        <v>11821</v>
      </c>
      <c r="H86" s="24" t="s">
        <v>139</v>
      </c>
      <c r="I86" s="117">
        <f t="shared" si="12"/>
        <v>57705</v>
      </c>
      <c r="J86" s="69">
        <f>I86-'Rate Class Customer Model'!I8</f>
        <v>0</v>
      </c>
    </row>
    <row r="87" spans="1:10" ht="12.75">
      <c r="A87" s="88">
        <f t="shared" si="13"/>
        <v>2005</v>
      </c>
      <c r="B87" s="120">
        <f>'Rate Class Customer Model'!B9</f>
        <v>41608</v>
      </c>
      <c r="C87" s="81">
        <f>'Rate Class Customer Model'!C9</f>
        <v>4350</v>
      </c>
      <c r="D87" s="120">
        <f>'Rate Class Customer Model'!D9</f>
        <v>632</v>
      </c>
      <c r="E87" s="81">
        <f>'Rate Class Customer Model'!E9</f>
        <v>30</v>
      </c>
      <c r="F87" s="120">
        <f>'Rate Class Customer Model'!F9</f>
        <v>3</v>
      </c>
      <c r="G87" s="81">
        <f>'Rate Class Customer Model'!G9</f>
        <v>11968</v>
      </c>
      <c r="H87" s="24" t="s">
        <v>139</v>
      </c>
      <c r="I87" s="93">
        <f t="shared" si="12"/>
        <v>58591</v>
      </c>
      <c r="J87" s="69">
        <f>I87-'Rate Class Customer Model'!I9</f>
        <v>0</v>
      </c>
    </row>
    <row r="88" spans="1:10" ht="12.75">
      <c r="A88" s="115">
        <f t="shared" si="13"/>
        <v>2006</v>
      </c>
      <c r="B88" s="24">
        <f>'Rate Class Customer Model'!B10</f>
        <v>42471</v>
      </c>
      <c r="C88" s="116">
        <f>'Rate Class Customer Model'!C10</f>
        <v>4354</v>
      </c>
      <c r="D88" s="24">
        <f>'Rate Class Customer Model'!D10</f>
        <v>662</v>
      </c>
      <c r="E88" s="116">
        <f>'Rate Class Customer Model'!E10</f>
        <v>29</v>
      </c>
      <c r="F88" s="24">
        <f>'Rate Class Customer Model'!F10</f>
        <v>3</v>
      </c>
      <c r="G88" s="116">
        <f>'Rate Class Customer Model'!G10</f>
        <v>12136.5</v>
      </c>
      <c r="H88" s="24">
        <f>'Rate Class Customer Model'!H10</f>
        <v>516</v>
      </c>
      <c r="I88" s="117">
        <f t="shared" si="12"/>
        <v>60171.5</v>
      </c>
      <c r="J88" s="69">
        <f>I88-'Rate Class Customer Model'!I10</f>
        <v>0</v>
      </c>
    </row>
    <row r="89" spans="1:10" ht="12.75">
      <c r="A89" s="88">
        <f t="shared" si="13"/>
        <v>2007</v>
      </c>
      <c r="B89" s="120">
        <f>'Rate Class Customer Model'!B11</f>
        <v>43304</v>
      </c>
      <c r="C89" s="81">
        <f>'Rate Class Customer Model'!C11</f>
        <v>4398</v>
      </c>
      <c r="D89" s="120">
        <f>'Rate Class Customer Model'!D11</f>
        <v>682</v>
      </c>
      <c r="E89" s="81">
        <f>'Rate Class Customer Model'!E11</f>
        <v>28</v>
      </c>
      <c r="F89" s="120">
        <f>'Rate Class Customer Model'!F11</f>
        <v>3</v>
      </c>
      <c r="G89" s="81">
        <f>'Rate Class Customer Model'!G11</f>
        <v>12338</v>
      </c>
      <c r="H89" s="120">
        <f>'Rate Class Customer Model'!H11</f>
        <v>456</v>
      </c>
      <c r="I89" s="93">
        <f t="shared" si="12"/>
        <v>61209</v>
      </c>
      <c r="J89" s="69">
        <f>I89-'Rate Class Customer Model'!I11</f>
        <v>0</v>
      </c>
    </row>
    <row r="90" spans="1:10" ht="12.75">
      <c r="A90" s="115">
        <f t="shared" si="13"/>
        <v>2008</v>
      </c>
      <c r="B90" s="24">
        <f>'Rate Class Customer Model'!B12</f>
        <v>43558</v>
      </c>
      <c r="C90" s="116">
        <f>'Rate Class Customer Model'!C12</f>
        <v>4500</v>
      </c>
      <c r="D90" s="24">
        <f>'Rate Class Customer Model'!D12</f>
        <v>677</v>
      </c>
      <c r="E90" s="116">
        <f>'Rate Class Customer Model'!E12</f>
        <v>28</v>
      </c>
      <c r="F90" s="24">
        <f>'Rate Class Customer Model'!F12</f>
        <v>3</v>
      </c>
      <c r="G90" s="116">
        <f>'Rate Class Customer Model'!G12</f>
        <v>12393</v>
      </c>
      <c r="H90" s="24">
        <f>'Rate Class Customer Model'!H12</f>
        <v>458</v>
      </c>
      <c r="I90" s="117">
        <f>SUM(B90:H90)</f>
        <v>61617</v>
      </c>
      <c r="J90" s="69">
        <f>I90-'Rate Class Customer Model'!I12</f>
        <v>0</v>
      </c>
    </row>
    <row r="93" spans="1:8" ht="12.75">
      <c r="A93" s="205" t="s">
        <v>124</v>
      </c>
      <c r="B93" s="205"/>
      <c r="C93" s="205"/>
      <c r="D93" s="205"/>
      <c r="E93" s="205"/>
      <c r="F93" s="205"/>
      <c r="G93" s="205"/>
      <c r="H93" s="205"/>
    </row>
    <row r="95" spans="1:8" ht="38.25">
      <c r="A95" s="169" t="s">
        <v>97</v>
      </c>
      <c r="B95" s="175" t="s">
        <v>1</v>
      </c>
      <c r="C95" s="176" t="s">
        <v>78</v>
      </c>
      <c r="D95" s="175" t="s">
        <v>79</v>
      </c>
      <c r="E95" s="172" t="s">
        <v>80</v>
      </c>
      <c r="F95" s="173" t="s">
        <v>88</v>
      </c>
      <c r="G95" s="175" t="s">
        <v>89</v>
      </c>
      <c r="H95" s="174" t="s">
        <v>2</v>
      </c>
    </row>
    <row r="96" spans="1:8" ht="12.75">
      <c r="A96" s="103" t="s">
        <v>126</v>
      </c>
      <c r="B96" s="79"/>
      <c r="C96" s="79"/>
      <c r="D96" s="79"/>
      <c r="E96" s="79"/>
      <c r="F96" s="79"/>
      <c r="G96" s="79"/>
      <c r="H96" s="80"/>
    </row>
    <row r="97" spans="1:8" ht="12.75">
      <c r="A97" s="115">
        <v>2000</v>
      </c>
      <c r="B97" s="123"/>
      <c r="C97" s="86"/>
      <c r="D97" s="123"/>
      <c r="E97" s="86"/>
      <c r="F97" s="123"/>
      <c r="G97" s="123"/>
      <c r="H97" s="123"/>
    </row>
    <row r="98" spans="1:9" ht="12.75">
      <c r="A98" s="88">
        <v>2001</v>
      </c>
      <c r="B98" s="121">
        <f>B83/B82-1</f>
        <v>0.022795327632253448</v>
      </c>
      <c r="C98" s="82">
        <f aca="true" t="shared" si="14" ref="C98:F99">C83/C82-1</f>
        <v>-0.11076512455516019</v>
      </c>
      <c r="D98" s="121" t="s">
        <v>139</v>
      </c>
      <c r="E98" s="82">
        <f t="shared" si="14"/>
        <v>-0.07692307692307687</v>
      </c>
      <c r="F98" s="121">
        <f t="shared" si="14"/>
        <v>0.5</v>
      </c>
      <c r="G98" s="124" t="s">
        <v>139</v>
      </c>
      <c r="H98" s="124" t="s">
        <v>139</v>
      </c>
      <c r="I98" s="76"/>
    </row>
    <row r="99" spans="1:9" ht="12.75">
      <c r="A99" s="115">
        <f>+A98+1</f>
        <v>2002</v>
      </c>
      <c r="B99" s="124">
        <f>B84/B83-1</f>
        <v>0.016867120324945972</v>
      </c>
      <c r="C99" s="134">
        <f t="shared" si="14"/>
        <v>0.0333916958479239</v>
      </c>
      <c r="D99" s="124">
        <f t="shared" si="14"/>
        <v>0.05412371134020577</v>
      </c>
      <c r="E99" s="134">
        <f t="shared" si="14"/>
        <v>0.04166666666666674</v>
      </c>
      <c r="F99" s="124">
        <f t="shared" si="14"/>
        <v>0</v>
      </c>
      <c r="G99" s="124" t="s">
        <v>139</v>
      </c>
      <c r="H99" s="121" t="s">
        <v>139</v>
      </c>
      <c r="I99" s="76"/>
    </row>
    <row r="100" spans="1:9" ht="12.75">
      <c r="A100" s="88">
        <f aca="true" t="shared" si="15" ref="A100:A105">+A99+1</f>
        <v>2003</v>
      </c>
      <c r="B100" s="121">
        <f aca="true" t="shared" si="16" ref="B100:H105">B85/B84-1</f>
        <v>0.039542453992504</v>
      </c>
      <c r="C100" s="82">
        <f t="shared" si="16"/>
        <v>0.006414135301948454</v>
      </c>
      <c r="D100" s="121">
        <f t="shared" si="16"/>
        <v>0.018744906275468987</v>
      </c>
      <c r="E100" s="82">
        <f t="shared" si="16"/>
        <v>0.08000000000000007</v>
      </c>
      <c r="F100" s="121">
        <f t="shared" si="16"/>
        <v>0</v>
      </c>
      <c r="G100" s="121">
        <f t="shared" si="16"/>
        <v>0.014907157178972952</v>
      </c>
      <c r="H100" s="124" t="s">
        <v>139</v>
      </c>
      <c r="I100" s="76"/>
    </row>
    <row r="101" spans="1:9" ht="12.75">
      <c r="A101" s="115">
        <f t="shared" si="15"/>
        <v>2004</v>
      </c>
      <c r="B101" s="124">
        <f t="shared" si="16"/>
        <v>0.022780577873147356</v>
      </c>
      <c r="C101" s="134">
        <f t="shared" si="16"/>
        <v>0.01683501683501687</v>
      </c>
      <c r="D101" s="124">
        <f t="shared" si="16"/>
        <v>0.016000000000000014</v>
      </c>
      <c r="E101" s="134">
        <f t="shared" si="16"/>
        <v>0</v>
      </c>
      <c r="F101" s="124">
        <f t="shared" si="16"/>
        <v>0</v>
      </c>
      <c r="G101" s="124">
        <f t="shared" si="16"/>
        <v>0.015375365057550328</v>
      </c>
      <c r="H101" s="121" t="s">
        <v>139</v>
      </c>
      <c r="I101" s="76"/>
    </row>
    <row r="102" spans="1:9" ht="12.75">
      <c r="A102" s="88">
        <f t="shared" si="15"/>
        <v>2005</v>
      </c>
      <c r="B102" s="121">
        <f t="shared" si="16"/>
        <v>0.015052084603937477</v>
      </c>
      <c r="C102" s="82">
        <f t="shared" si="16"/>
        <v>0.028855250709555413</v>
      </c>
      <c r="D102" s="121">
        <f t="shared" si="16"/>
        <v>-0.0047244094488189115</v>
      </c>
      <c r="E102" s="82">
        <f t="shared" si="16"/>
        <v>0.11111111111111116</v>
      </c>
      <c r="F102" s="121">
        <f t="shared" si="16"/>
        <v>0</v>
      </c>
      <c r="G102" s="121">
        <f t="shared" si="16"/>
        <v>0.01243549615091788</v>
      </c>
      <c r="H102" s="124" t="s">
        <v>139</v>
      </c>
      <c r="I102" s="76"/>
    </row>
    <row r="103" spans="1:9" ht="12.75">
      <c r="A103" s="115">
        <f t="shared" si="15"/>
        <v>2006</v>
      </c>
      <c r="B103" s="124">
        <f t="shared" si="16"/>
        <v>0.020741203614689452</v>
      </c>
      <c r="C103" s="134">
        <f t="shared" si="16"/>
        <v>0.0009195402298851629</v>
      </c>
      <c r="D103" s="124">
        <f t="shared" si="16"/>
        <v>0.04746835443037978</v>
      </c>
      <c r="E103" s="134">
        <f t="shared" si="16"/>
        <v>-0.033333333333333326</v>
      </c>
      <c r="F103" s="124">
        <f t="shared" si="16"/>
        <v>0</v>
      </c>
      <c r="G103" s="124">
        <f t="shared" si="16"/>
        <v>0.014079211229946598</v>
      </c>
      <c r="H103" s="121" t="s">
        <v>139</v>
      </c>
      <c r="I103" s="76"/>
    </row>
    <row r="104" spans="1:9" ht="12.75">
      <c r="A104" s="88">
        <f t="shared" si="15"/>
        <v>2007</v>
      </c>
      <c r="B104" s="121">
        <f t="shared" si="16"/>
        <v>0.01961338324974693</v>
      </c>
      <c r="C104" s="82">
        <f t="shared" si="16"/>
        <v>0.010105649977032671</v>
      </c>
      <c r="D104" s="121">
        <f t="shared" si="16"/>
        <v>0.030211480362537735</v>
      </c>
      <c r="E104" s="82">
        <f t="shared" si="16"/>
        <v>-0.03448275862068961</v>
      </c>
      <c r="F104" s="121">
        <f t="shared" si="16"/>
        <v>0</v>
      </c>
      <c r="G104" s="121">
        <f t="shared" si="16"/>
        <v>0.016602809706258048</v>
      </c>
      <c r="H104" s="124">
        <f t="shared" si="16"/>
        <v>-0.11627906976744184</v>
      </c>
      <c r="I104" s="76"/>
    </row>
    <row r="105" spans="1:9" ht="12.75">
      <c r="A105" s="115">
        <f t="shared" si="15"/>
        <v>2008</v>
      </c>
      <c r="B105" s="124">
        <f t="shared" si="16"/>
        <v>0.005865508959911336</v>
      </c>
      <c r="C105" s="134">
        <f t="shared" si="16"/>
        <v>0.023192360163710735</v>
      </c>
      <c r="D105" s="124">
        <f t="shared" si="16"/>
        <v>-0.007331378299120228</v>
      </c>
      <c r="E105" s="134">
        <f t="shared" si="16"/>
        <v>0</v>
      </c>
      <c r="F105" s="124">
        <f t="shared" si="16"/>
        <v>0</v>
      </c>
      <c r="G105" s="124">
        <f t="shared" si="16"/>
        <v>0.004457772734640875</v>
      </c>
      <c r="H105" s="124">
        <f t="shared" si="16"/>
        <v>0.004385964912280604</v>
      </c>
      <c r="I105" s="76"/>
    </row>
    <row r="106" spans="1:9" ht="12.75">
      <c r="A106" s="112" t="s">
        <v>125</v>
      </c>
      <c r="B106" s="114">
        <f>'Rate Class Customer Model'!B30-1</f>
        <v>0.02036871045415123</v>
      </c>
      <c r="C106" s="113">
        <f>'Rate Class Customer Model'!C30-1</f>
        <v>0.00011116670167043985</v>
      </c>
      <c r="D106" s="114">
        <f>'Rate Class Customer Model'!D30-1</f>
        <v>0.021835089182205003</v>
      </c>
      <c r="E106" s="113">
        <f>'Rate Class Customer Model'!E30-1</f>
        <v>0.009306535497583868</v>
      </c>
      <c r="F106" s="114">
        <f>'Rate Class Customer Model'!F30-1</f>
        <v>0.05198950550864412</v>
      </c>
      <c r="G106" s="113">
        <f>'Rate Class Customer Model'!G30-1</f>
        <v>0.012968316250286493</v>
      </c>
      <c r="H106" s="114">
        <f>'Rate Class Customer Model'!H30-1</f>
        <v>-0.05787638856421495</v>
      </c>
      <c r="I106" s="110"/>
    </row>
    <row r="108" ht="12.75">
      <c r="B108" s="109"/>
    </row>
    <row r="109" spans="1:9" ht="12.75">
      <c r="A109" s="206" t="s">
        <v>127</v>
      </c>
      <c r="B109" s="206"/>
      <c r="C109" s="206"/>
      <c r="D109" s="206"/>
      <c r="E109" s="206"/>
      <c r="F109" s="206"/>
      <c r="G109" s="206"/>
      <c r="H109" s="206"/>
      <c r="I109" s="206"/>
    </row>
    <row r="111" spans="1:9" ht="38.25">
      <c r="A111" s="169" t="s">
        <v>97</v>
      </c>
      <c r="B111" s="175" t="s">
        <v>1</v>
      </c>
      <c r="C111" s="176" t="s">
        <v>78</v>
      </c>
      <c r="D111" s="175" t="s">
        <v>79</v>
      </c>
      <c r="E111" s="172" t="s">
        <v>80</v>
      </c>
      <c r="F111" s="173" t="s">
        <v>88</v>
      </c>
      <c r="G111" s="175" t="s">
        <v>89</v>
      </c>
      <c r="H111" s="174" t="s">
        <v>2</v>
      </c>
      <c r="I111" s="175" t="s">
        <v>12</v>
      </c>
    </row>
    <row r="112" spans="1:9" ht="12.75">
      <c r="A112" s="135" t="s">
        <v>132</v>
      </c>
      <c r="B112" s="86"/>
      <c r="C112" s="86"/>
      <c r="D112" s="86"/>
      <c r="E112" s="86"/>
      <c r="F112" s="86"/>
      <c r="G112" s="86"/>
      <c r="H112" s="86"/>
      <c r="I112" s="87"/>
    </row>
    <row r="113" spans="1:11" ht="12.75">
      <c r="A113" s="115">
        <v>2009</v>
      </c>
      <c r="B113" s="116">
        <f>'Rate Class Customer Model'!B13</f>
        <v>44315</v>
      </c>
      <c r="C113" s="24">
        <f>'Rate Class Customer Model'!C13</f>
        <v>4581</v>
      </c>
      <c r="D113" s="116">
        <f>'Rate Class Customer Model'!D13</f>
        <v>709</v>
      </c>
      <c r="E113" s="24">
        <f>'Rate Class Customer Model'!E13</f>
        <v>25</v>
      </c>
      <c r="F113" s="116">
        <f>'Rate Class Customer Model'!F13</f>
        <v>2</v>
      </c>
      <c r="G113" s="24">
        <f>'Rate Class Customer Model'!G13</f>
        <v>12553.7163432898</v>
      </c>
      <c r="H113" s="116">
        <f>'Rate Class Customer Model'!H13</f>
        <v>538</v>
      </c>
      <c r="I113" s="24">
        <f>SUM(B113:H113)</f>
        <v>62723.7163432898</v>
      </c>
      <c r="K113" s="74"/>
    </row>
    <row r="114" spans="1:11" ht="12.75">
      <c r="A114" s="92">
        <v>2010</v>
      </c>
      <c r="B114" s="94">
        <f>'Rate Class Customer Model'!B14</f>
        <v>45217.63940377571</v>
      </c>
      <c r="C114" s="126">
        <f>'Rate Class Customer Model'!C14</f>
        <v>4581.509254660352</v>
      </c>
      <c r="D114" s="94">
        <f>'Rate Class Customer Model'!D14</f>
        <v>724.4810782301834</v>
      </c>
      <c r="E114" s="126">
        <f>'Rate Class Customer Model'!E14</f>
        <v>25</v>
      </c>
      <c r="F114" s="94">
        <f>'Rate Class Customer Model'!F14</f>
        <v>2</v>
      </c>
      <c r="G114" s="126">
        <f>'Rate Class Customer Model'!G14</f>
        <v>12716.516906945972</v>
      </c>
      <c r="H114" s="94">
        <f>'Rate Class Customer Model'!H14</f>
        <v>506.86250295245236</v>
      </c>
      <c r="I114" s="126">
        <f>SUM(B114:H114)</f>
        <v>63774.009146564684</v>
      </c>
      <c r="K114" s="74"/>
    </row>
    <row r="117" spans="1:9" ht="12.75">
      <c r="A117" s="206" t="s">
        <v>129</v>
      </c>
      <c r="B117" s="205"/>
      <c r="C117" s="205"/>
      <c r="D117" s="205"/>
      <c r="E117" s="205"/>
      <c r="F117" s="205"/>
      <c r="G117" s="205"/>
      <c r="H117" s="205"/>
      <c r="I117" s="205"/>
    </row>
    <row r="119" spans="1:8" ht="38.25">
      <c r="A119" s="169" t="s">
        <v>97</v>
      </c>
      <c r="B119" s="175" t="s">
        <v>1</v>
      </c>
      <c r="C119" s="176" t="s">
        <v>78</v>
      </c>
      <c r="D119" s="175" t="s">
        <v>79</v>
      </c>
      <c r="E119" s="172" t="s">
        <v>80</v>
      </c>
      <c r="F119" s="173" t="s">
        <v>88</v>
      </c>
      <c r="G119" s="175" t="s">
        <v>89</v>
      </c>
      <c r="H119" s="174" t="s">
        <v>2</v>
      </c>
    </row>
    <row r="120" spans="1:8" ht="12.75">
      <c r="A120" s="78" t="s">
        <v>128</v>
      </c>
      <c r="B120" s="119"/>
      <c r="C120" s="79"/>
      <c r="D120" s="119"/>
      <c r="E120" s="79"/>
      <c r="F120" s="119"/>
      <c r="G120" s="79"/>
      <c r="H120" s="119"/>
    </row>
    <row r="121" spans="1:8" ht="12.75">
      <c r="A121" s="115">
        <f>'Rate Class Energy Model'!A30</f>
        <v>2001</v>
      </c>
      <c r="B121" s="24">
        <f>'Rate Class Energy Model'!H30</f>
        <v>9269.4544187227</v>
      </c>
      <c r="C121" s="116">
        <f>'Rate Class Energy Model'!I30</f>
        <v>39303.73296575401</v>
      </c>
      <c r="D121" s="24">
        <f>'Rate Class Energy Model'!J30</f>
        <v>708925.9488052337</v>
      </c>
      <c r="E121" s="116">
        <f>'Rate Class Energy Model'!K30</f>
        <v>9848037.360416668</v>
      </c>
      <c r="F121" s="24">
        <f>'Rate Class Energy Model'!L30</f>
        <v>67461984.76999998</v>
      </c>
      <c r="G121" s="116" t="s">
        <v>139</v>
      </c>
      <c r="H121" s="24" t="s">
        <v>139</v>
      </c>
    </row>
    <row r="122" spans="1:8" ht="12.75">
      <c r="A122" s="88">
        <f>'Rate Class Energy Model'!A31</f>
        <v>2002</v>
      </c>
      <c r="B122" s="120">
        <f>'Rate Class Energy Model'!H31</f>
        <v>8719.799140348976</v>
      </c>
      <c r="C122" s="81">
        <f>'Rate Class Energy Model'!I31</f>
        <v>37335.28693828083</v>
      </c>
      <c r="D122" s="120">
        <f>'Rate Class Energy Model'!J31</f>
        <v>720310.5884270582</v>
      </c>
      <c r="E122" s="81">
        <f>'Rate Class Energy Model'!K31</f>
        <v>9909798.120000001</v>
      </c>
      <c r="F122" s="120">
        <f>'Rate Class Energy Model'!L31</f>
        <v>79522758.33333334</v>
      </c>
      <c r="G122" s="116" t="s">
        <v>139</v>
      </c>
      <c r="H122" s="24" t="s">
        <v>139</v>
      </c>
    </row>
    <row r="123" spans="1:8" ht="12.75">
      <c r="A123" s="115">
        <f>'Rate Class Energy Model'!A32</f>
        <v>2003</v>
      </c>
      <c r="B123" s="24">
        <f>'Rate Class Energy Model'!H32</f>
        <v>9126.808834676829</v>
      </c>
      <c r="C123" s="116">
        <f>'Rate Class Energy Model'!I32</f>
        <v>39259.32823741786</v>
      </c>
      <c r="D123" s="24">
        <f>'Rate Class Energy Model'!J32</f>
        <v>719730.0932497842</v>
      </c>
      <c r="E123" s="116">
        <f>'Rate Class Energy Model'!K32</f>
        <v>9752553.592592195</v>
      </c>
      <c r="F123" s="24">
        <f>'Rate Class Energy Model'!L32</f>
        <v>78223773.00000001</v>
      </c>
      <c r="G123" s="116">
        <f>'Rate Class Energy Model'!M32</f>
        <v>808.5953444425356</v>
      </c>
      <c r="H123" s="24" t="s">
        <v>139</v>
      </c>
    </row>
    <row r="124" spans="1:8" ht="12.75">
      <c r="A124" s="88">
        <f>'Rate Class Energy Model'!A33</f>
        <v>2004</v>
      </c>
      <c r="B124" s="120">
        <f>'Rate Class Energy Model'!H33</f>
        <v>8940.15755278575</v>
      </c>
      <c r="C124" s="81">
        <f>'Rate Class Energy Model'!I33</f>
        <v>39193.21812208555</v>
      </c>
      <c r="D124" s="120">
        <f>'Rate Class Energy Model'!J33</f>
        <v>742547.210738143</v>
      </c>
      <c r="E124" s="81">
        <f>'Rate Class Energy Model'!K33</f>
        <v>9996629</v>
      </c>
      <c r="F124" s="120">
        <f>'Rate Class Energy Model'!L33</f>
        <v>81724293.33333331</v>
      </c>
      <c r="G124" s="81">
        <f>'Rate Class Energy Model'!M33</f>
        <v>805.1775745537603</v>
      </c>
      <c r="H124" s="24" t="s">
        <v>139</v>
      </c>
    </row>
    <row r="125" spans="1:8" ht="12.75">
      <c r="A125" s="115">
        <f>'Rate Class Energy Model'!A34</f>
        <v>2005</v>
      </c>
      <c r="B125" s="24">
        <f>'Rate Class Energy Model'!H34</f>
        <v>9469.893010813514</v>
      </c>
      <c r="C125" s="116">
        <f>'Rate Class Energy Model'!I34</f>
        <v>39740.731751091495</v>
      </c>
      <c r="D125" s="24">
        <f>'Rate Class Energy Model'!J34</f>
        <v>755288.8286907526</v>
      </c>
      <c r="E125" s="116">
        <f>'Rate Class Energy Model'!K34</f>
        <v>9628359.386999352</v>
      </c>
      <c r="F125" s="24">
        <f>'Rate Class Energy Model'!L34</f>
        <v>85447129.8466695</v>
      </c>
      <c r="G125" s="116">
        <f>'Rate Class Energy Model'!M34</f>
        <v>797.2741243324414</v>
      </c>
      <c r="H125" s="24" t="s">
        <v>139</v>
      </c>
    </row>
    <row r="126" spans="1:8" ht="12.75">
      <c r="A126" s="88">
        <f>'Rate Class Energy Model'!A35</f>
        <v>2006</v>
      </c>
      <c r="B126" s="120">
        <f>'Rate Class Energy Model'!H35</f>
        <v>8984.482790384942</v>
      </c>
      <c r="C126" s="81">
        <f>'Rate Class Energy Model'!I35</f>
        <v>38329.57048032152</v>
      </c>
      <c r="D126" s="120">
        <f>'Rate Class Energy Model'!J35</f>
        <v>710161.5914449424</v>
      </c>
      <c r="E126" s="81">
        <f>'Rate Class Energy Model'!K35</f>
        <v>9589975.654076736</v>
      </c>
      <c r="F126" s="120">
        <f>'Rate Class Energy Model'!L35</f>
        <v>84033937.97</v>
      </c>
      <c r="G126" s="81">
        <f>'Rate Class Energy Model'!M35</f>
        <v>766.3294885411004</v>
      </c>
      <c r="H126" s="120">
        <f>'Rate Class Energy Model'!N35</f>
        <v>5808.724556353994</v>
      </c>
    </row>
    <row r="127" spans="1:8" ht="12.75">
      <c r="A127" s="115">
        <f>'Rate Class Energy Model'!A36</f>
        <v>2007</v>
      </c>
      <c r="B127" s="24">
        <f>'Rate Class Energy Model'!H36</f>
        <v>9065.189497876838</v>
      </c>
      <c r="C127" s="116">
        <f>'Rate Class Energy Model'!I36</f>
        <v>38564.4097608355</v>
      </c>
      <c r="D127" s="24">
        <f>'Rate Class Energy Model'!J36</f>
        <v>710023.8653977553</v>
      </c>
      <c r="E127" s="116">
        <f>'Rate Class Energy Model'!K36</f>
        <v>9158995.924999323</v>
      </c>
      <c r="F127" s="24">
        <f>'Rate Class Energy Model'!L36</f>
        <v>84030782.82666376</v>
      </c>
      <c r="G127" s="116">
        <f>'Rate Class Energy Model'!M36</f>
        <v>765.3454271344116</v>
      </c>
      <c r="H127" s="24">
        <f>'Rate Class Energy Model'!N36</f>
        <v>4826.774146299667</v>
      </c>
    </row>
    <row r="128" spans="1:8" ht="12.75">
      <c r="A128" s="92">
        <f>'Rate Class Energy Model'!A37</f>
        <v>2008</v>
      </c>
      <c r="B128" s="126">
        <f>'Rate Class Energy Model'!H37</f>
        <v>8891.931030367636</v>
      </c>
      <c r="C128" s="94">
        <f>'Rate Class Energy Model'!I37</f>
        <v>37836.354943915816</v>
      </c>
      <c r="D128" s="126">
        <f>'Rate Class Energy Model'!J37</f>
        <v>693232.8298703881</v>
      </c>
      <c r="E128" s="94">
        <f>'Rate Class Energy Model'!K37</f>
        <v>8923923.246829638</v>
      </c>
      <c r="F128" s="126">
        <f>'Rate Class Energy Model'!L37</f>
        <v>76765918.36999945</v>
      </c>
      <c r="G128" s="94">
        <f>'Rate Class Energy Model'!M37</f>
        <v>762.4376640031089</v>
      </c>
      <c r="H128" s="126">
        <f>'Rate Class Energy Model'!N37</f>
        <v>4611.8607816368085</v>
      </c>
    </row>
    <row r="131" spans="1:8" ht="12.75">
      <c r="A131" s="206" t="s">
        <v>130</v>
      </c>
      <c r="B131" s="205"/>
      <c r="C131" s="205"/>
      <c r="D131" s="205"/>
      <c r="E131" s="205"/>
      <c r="F131" s="205"/>
      <c r="G131" s="205"/>
      <c r="H131" s="205"/>
    </row>
    <row r="133" spans="1:8" ht="38.25">
      <c r="A133" s="169" t="s">
        <v>97</v>
      </c>
      <c r="B133" s="175" t="s">
        <v>1</v>
      </c>
      <c r="C133" s="176" t="s">
        <v>78</v>
      </c>
      <c r="D133" s="175" t="s">
        <v>79</v>
      </c>
      <c r="E133" s="172" t="s">
        <v>80</v>
      </c>
      <c r="F133" s="173" t="s">
        <v>88</v>
      </c>
      <c r="G133" s="175" t="s">
        <v>89</v>
      </c>
      <c r="H133" s="174" t="s">
        <v>2</v>
      </c>
    </row>
    <row r="134" spans="1:8" ht="12.75">
      <c r="A134" s="103" t="s">
        <v>126</v>
      </c>
      <c r="B134" s="79"/>
      <c r="C134" s="79"/>
      <c r="D134" s="79"/>
      <c r="E134" s="79"/>
      <c r="F134" s="79"/>
      <c r="G134" s="79"/>
      <c r="H134" s="80"/>
    </row>
    <row r="135" spans="1:8" ht="12.75">
      <c r="A135" s="115">
        <v>2001</v>
      </c>
      <c r="B135" s="124"/>
      <c r="C135" s="124"/>
      <c r="D135" s="124"/>
      <c r="E135" s="124"/>
      <c r="F135" s="124"/>
      <c r="G135" s="124"/>
      <c r="H135" s="124"/>
    </row>
    <row r="136" spans="1:8" ht="12.75">
      <c r="A136" s="115">
        <f>+A135+1</f>
        <v>2002</v>
      </c>
      <c r="B136" s="124">
        <f>B122/B121-1</f>
        <v>-0.059297478960953276</v>
      </c>
      <c r="C136" s="124">
        <f aca="true" t="shared" si="17" ref="B136:F140">C122/C121-1</f>
        <v>-0.05008292798010616</v>
      </c>
      <c r="D136" s="124">
        <f t="shared" si="17"/>
        <v>0.016058996910765178</v>
      </c>
      <c r="E136" s="124">
        <f t="shared" si="17"/>
        <v>0.00627137746568418</v>
      </c>
      <c r="F136" s="124">
        <f t="shared" si="17"/>
        <v>0.17877881305230625</v>
      </c>
      <c r="G136" s="124" t="s">
        <v>139</v>
      </c>
      <c r="H136" s="124" t="s">
        <v>139</v>
      </c>
    </row>
    <row r="137" spans="1:8" ht="12.75">
      <c r="A137" s="88">
        <f aca="true" t="shared" si="18" ref="A137:A142">+A136+1</f>
        <v>2003</v>
      </c>
      <c r="B137" s="124">
        <f>B123/B122-1</f>
        <v>0.04667649882489888</v>
      </c>
      <c r="C137" s="124">
        <f t="shared" si="17"/>
        <v>0.05153412379869149</v>
      </c>
      <c r="D137" s="124">
        <f t="shared" si="17"/>
        <v>-0.0008058956602895462</v>
      </c>
      <c r="E137" s="124">
        <f t="shared" si="17"/>
        <v>-0.015867581307277612</v>
      </c>
      <c r="F137" s="124">
        <f t="shared" si="17"/>
        <v>-0.01633476202986328</v>
      </c>
      <c r="G137" s="124" t="s">
        <v>139</v>
      </c>
      <c r="H137" s="124" t="s">
        <v>139</v>
      </c>
    </row>
    <row r="138" spans="1:8" ht="12.75">
      <c r="A138" s="115">
        <f t="shared" si="18"/>
        <v>2004</v>
      </c>
      <c r="B138" s="124">
        <f t="shared" si="17"/>
        <v>-0.02045088105515125</v>
      </c>
      <c r="C138" s="124">
        <f t="shared" si="17"/>
        <v>-0.0016839339413174947</v>
      </c>
      <c r="D138" s="124">
        <f t="shared" si="17"/>
        <v>0.031702325222130234</v>
      </c>
      <c r="E138" s="124">
        <f t="shared" si="17"/>
        <v>0.02502682042098181</v>
      </c>
      <c r="F138" s="124">
        <f t="shared" si="17"/>
        <v>0.04475008298734573</v>
      </c>
      <c r="G138" s="124">
        <f>G124/G123-1</f>
        <v>-0.004226798870739956</v>
      </c>
      <c r="H138" s="124" t="s">
        <v>139</v>
      </c>
    </row>
    <row r="139" spans="1:8" ht="12.75">
      <c r="A139" s="88">
        <f t="shared" si="18"/>
        <v>2005</v>
      </c>
      <c r="B139" s="124">
        <f t="shared" si="17"/>
        <v>0.05925348126137875</v>
      </c>
      <c r="C139" s="124">
        <f t="shared" si="17"/>
        <v>0.013969601253473574</v>
      </c>
      <c r="D139" s="124">
        <f t="shared" si="17"/>
        <v>0.01715933716853324</v>
      </c>
      <c r="E139" s="124">
        <f t="shared" si="17"/>
        <v>-0.036839379855013954</v>
      </c>
      <c r="F139" s="124">
        <f t="shared" si="17"/>
        <v>0.04555360911047157</v>
      </c>
      <c r="G139" s="124">
        <f>G125/G124-1</f>
        <v>-0.009815785326235837</v>
      </c>
      <c r="H139" s="124" t="s">
        <v>139</v>
      </c>
    </row>
    <row r="140" spans="1:8" ht="12.75">
      <c r="A140" s="115">
        <f t="shared" si="18"/>
        <v>2006</v>
      </c>
      <c r="B140" s="124">
        <f t="shared" si="17"/>
        <v>-0.05125825813177509</v>
      </c>
      <c r="C140" s="124">
        <f t="shared" si="17"/>
        <v>-0.03550919191947732</v>
      </c>
      <c r="D140" s="124">
        <f t="shared" si="17"/>
        <v>-0.05974831816860782</v>
      </c>
      <c r="E140" s="124">
        <f t="shared" si="17"/>
        <v>-0.00398652889654727</v>
      </c>
      <c r="F140" s="124">
        <f t="shared" si="17"/>
        <v>-0.016538786957565388</v>
      </c>
      <c r="G140" s="124">
        <f>G126/G125-1</f>
        <v>-0.038813044154983656</v>
      </c>
      <c r="H140" s="124" t="s">
        <v>139</v>
      </c>
    </row>
    <row r="141" spans="1:8" ht="12.75">
      <c r="A141" s="88">
        <f t="shared" si="18"/>
        <v>2007</v>
      </c>
      <c r="B141" s="124">
        <f aca="true" t="shared" si="19" ref="B141:H141">B127/B126-1</f>
        <v>0.008982899669891742</v>
      </c>
      <c r="C141" s="124">
        <f t="shared" si="19"/>
        <v>0.006126843519797642</v>
      </c>
      <c r="D141" s="124">
        <f t="shared" si="19"/>
        <v>-0.00019393620951380086</v>
      </c>
      <c r="E141" s="124">
        <f t="shared" si="19"/>
        <v>-0.04494064892586069</v>
      </c>
      <c r="F141" s="124">
        <f t="shared" si="19"/>
        <v>-3.754606070427435E-05</v>
      </c>
      <c r="G141" s="124">
        <f t="shared" si="19"/>
        <v>-0.0012841231107552087</v>
      </c>
      <c r="H141" s="124">
        <f t="shared" si="19"/>
        <v>-0.1690475078526833</v>
      </c>
    </row>
    <row r="142" spans="1:8" ht="12.75">
      <c r="A142" s="115">
        <f t="shared" si="18"/>
        <v>2008</v>
      </c>
      <c r="B142" s="124">
        <f>B128/B127-1</f>
        <v>-0.01911250366578454</v>
      </c>
      <c r="C142" s="124">
        <f aca="true" t="shared" si="20" ref="C142:H142">C128/C127-1</f>
        <v>-0.01887893063668944</v>
      </c>
      <c r="D142" s="124">
        <f t="shared" si="20"/>
        <v>-0.023648550908863863</v>
      </c>
      <c r="E142" s="124">
        <f t="shared" si="20"/>
        <v>-0.025665769489869206</v>
      </c>
      <c r="F142" s="124">
        <f t="shared" si="20"/>
        <v>-0.08645479920911914</v>
      </c>
      <c r="G142" s="124">
        <f t="shared" si="20"/>
        <v>-0.003799282034244067</v>
      </c>
      <c r="H142" s="124">
        <f t="shared" si="20"/>
        <v>-0.04452525810175256</v>
      </c>
    </row>
    <row r="143" spans="1:8" ht="12.75">
      <c r="A143" s="112" t="s">
        <v>125</v>
      </c>
      <c r="B143" s="114">
        <f>'Rate Class Energy Model'!H54-1</f>
        <v>-0.00592243335842213</v>
      </c>
      <c r="C143" s="114">
        <f>'Rate Class Energy Model'!I54-1</f>
        <v>-0.005420838134588379</v>
      </c>
      <c r="D143" s="114">
        <f>'Rate Class Energy Model'!J54-1</f>
        <v>-0.003192772215453221</v>
      </c>
      <c r="E143" s="114">
        <f>'Rate Class Energy Model'!K54-1</f>
        <v>-0.013978031132935276</v>
      </c>
      <c r="F143" s="114">
        <f>'Rate Class Energy Model'!L54-1</f>
        <v>0.0186280222926114</v>
      </c>
      <c r="G143" s="114">
        <f>'Rate Class Energy Model'!M54-1</f>
        <v>-0.011686742582971532</v>
      </c>
      <c r="H143" s="114">
        <f>'Rate Class Energy Model'!N54-1</f>
        <v>-0.10895896953947015</v>
      </c>
    </row>
    <row r="146" spans="1:8" ht="12.75">
      <c r="A146" s="205" t="s">
        <v>131</v>
      </c>
      <c r="B146" s="205"/>
      <c r="C146" s="205"/>
      <c r="D146" s="205"/>
      <c r="E146" s="205"/>
      <c r="F146" s="205"/>
      <c r="G146" s="205"/>
      <c r="H146" s="205"/>
    </row>
    <row r="148" spans="1:8" ht="38.25">
      <c r="A148" s="169" t="s">
        <v>97</v>
      </c>
      <c r="B148" s="175" t="s">
        <v>1</v>
      </c>
      <c r="C148" s="176" t="s">
        <v>78</v>
      </c>
      <c r="D148" s="175" t="s">
        <v>79</v>
      </c>
      <c r="E148" s="172" t="s">
        <v>80</v>
      </c>
      <c r="F148" s="173" t="s">
        <v>88</v>
      </c>
      <c r="G148" s="175" t="s">
        <v>89</v>
      </c>
      <c r="H148" s="174" t="s">
        <v>2</v>
      </c>
    </row>
    <row r="149" spans="1:8" ht="12.75">
      <c r="A149" s="78" t="s">
        <v>131</v>
      </c>
      <c r="B149" s="79"/>
      <c r="C149" s="79"/>
      <c r="D149" s="79"/>
      <c r="E149" s="79"/>
      <c r="F149" s="79"/>
      <c r="G149" s="79"/>
      <c r="H149" s="80"/>
    </row>
    <row r="150" spans="1:8" ht="12.75">
      <c r="A150" s="115">
        <v>2009</v>
      </c>
      <c r="B150" s="24">
        <f>'Rate Class Energy Model'!H38</f>
        <v>8839.269161412598</v>
      </c>
      <c r="C150" s="116">
        <f>'Rate Class Energy Model'!I38</f>
        <v>37631.25018816201</v>
      </c>
      <c r="D150" s="24">
        <f>'Rate Class Energy Model'!J38</f>
        <v>691019.495352338</v>
      </c>
      <c r="E150" s="116">
        <f>'Rate Class Energy Model'!K38</f>
        <v>8799184.36985753</v>
      </c>
      <c r="F150" s="24">
        <f>'Rate Class Energy Model'!L38</f>
        <v>78195915.60870859</v>
      </c>
      <c r="G150" s="116">
        <f>'Rate Class Energy Model'!M38</f>
        <v>753.5272512883424</v>
      </c>
      <c r="H150" s="24">
        <f>'Rate Class Energy Model'!N38</f>
        <v>4109.357183210166</v>
      </c>
    </row>
    <row r="151" spans="1:8" ht="12.75">
      <c r="A151" s="92">
        <v>2010</v>
      </c>
      <c r="B151" s="126">
        <f>'Rate Class Energy Model'!H39</f>
        <v>8786.919178866976</v>
      </c>
      <c r="C151" s="94">
        <f>'Rate Class Energy Model'!I39</f>
        <v>37427.25727208979</v>
      </c>
      <c r="D151" s="94">
        <f>'Rate Class Energy Model'!J39</f>
        <v>688813.2275072405</v>
      </c>
      <c r="E151" s="94">
        <f>'Rate Class Energy Model'!K39</f>
        <v>8676189.096791223</v>
      </c>
      <c r="F151" s="126">
        <f>'Rate Class Energy Model'!L39</f>
        <v>79652550.86785877</v>
      </c>
      <c r="G151" s="94">
        <f>'Rate Class Energy Model'!M39</f>
        <v>744.7209722732815</v>
      </c>
      <c r="H151" s="126">
        <f>'Rate Class Energy Model'!N39</f>
        <v>3661.605859057967</v>
      </c>
    </row>
    <row r="154" spans="1:8" ht="12.75">
      <c r="A154" s="205" t="s">
        <v>133</v>
      </c>
      <c r="B154" s="205"/>
      <c r="C154" s="205"/>
      <c r="D154" s="205"/>
      <c r="E154" s="205"/>
      <c r="F154" s="205"/>
      <c r="G154" s="205"/>
      <c r="H154" s="205"/>
    </row>
    <row r="156" spans="1:9" ht="38.25">
      <c r="A156" s="169" t="s">
        <v>97</v>
      </c>
      <c r="B156" s="175" t="s">
        <v>1</v>
      </c>
      <c r="C156" s="176" t="s">
        <v>78</v>
      </c>
      <c r="D156" s="175" t="s">
        <v>79</v>
      </c>
      <c r="E156" s="172" t="s">
        <v>80</v>
      </c>
      <c r="F156" s="173" t="s">
        <v>88</v>
      </c>
      <c r="G156" s="175" t="s">
        <v>89</v>
      </c>
      <c r="H156" s="174" t="s">
        <v>2</v>
      </c>
      <c r="I156" s="175" t="s">
        <v>12</v>
      </c>
    </row>
    <row r="157" spans="1:9" ht="12.75">
      <c r="A157" s="137" t="s">
        <v>134</v>
      </c>
      <c r="B157" s="138"/>
      <c r="C157" s="138"/>
      <c r="D157" s="138"/>
      <c r="E157" s="138"/>
      <c r="F157" s="138"/>
      <c r="G157" s="138"/>
      <c r="H157" s="138"/>
      <c r="I157" s="139"/>
    </row>
    <row r="158" spans="1:9" ht="12.75">
      <c r="A158" s="115">
        <v>2009</v>
      </c>
      <c r="B158" s="24">
        <f>'Rate Class Energy Model'!H57/1000</f>
        <v>391712.2128879993</v>
      </c>
      <c r="C158" s="24">
        <f>'Rate Class Energy Model'!I57/1000</f>
        <v>172388.7571119702</v>
      </c>
      <c r="D158" s="24">
        <f>'Rate Class Energy Model'!J57/1000</f>
        <v>489932.8222048076</v>
      </c>
      <c r="E158" s="24">
        <f>'Rate Class Energy Model'!K57/1000</f>
        <v>219979.60924643822</v>
      </c>
      <c r="F158" s="24">
        <f>'Rate Class Energy Model'!L57/1000</f>
        <v>156391.83121741717</v>
      </c>
      <c r="G158" s="24">
        <f>'Rate Class Energy Model'!M57/1000</f>
        <v>9459.567369612705</v>
      </c>
      <c r="H158" s="24">
        <f>'Rate Class Energy Model'!N57/1000</f>
        <v>2210.8341645670694</v>
      </c>
      <c r="I158" s="24">
        <f>SUM(B158:H158)</f>
        <v>1442075.634202812</v>
      </c>
    </row>
    <row r="159" spans="1:9" ht="12.75">
      <c r="A159" s="92">
        <v>2010</v>
      </c>
      <c r="B159" s="24">
        <f>'Rate Class Energy Model'!H58/1000</f>
        <v>397323.7429001279</v>
      </c>
      <c r="C159" s="24">
        <f>'Rate Class Energy Model'!I58/1000</f>
        <v>171473.32556863333</v>
      </c>
      <c r="D159" s="24">
        <f>'Rate Class Energy Model'!J58/1000</f>
        <v>499032.1497636582</v>
      </c>
      <c r="E159" s="24">
        <f>'Rate Class Energy Model'!K58/1000</f>
        <v>216904.72741978054</v>
      </c>
      <c r="F159" s="24">
        <f>'Rate Class Energy Model'!L58/1000</f>
        <v>159305.10173571753</v>
      </c>
      <c r="G159" s="24">
        <f>'Rate Class Energy Model'!M58/1000</f>
        <v>9470.256834870426</v>
      </c>
      <c r="H159" s="24">
        <f>'Rate Class Energy Model'!N58/1000</f>
        <v>1855.9307105474857</v>
      </c>
      <c r="I159" s="24">
        <f>SUM(B159:H159)</f>
        <v>1455365.2349333353</v>
      </c>
    </row>
    <row r="162" spans="1:7" ht="12.75">
      <c r="A162" s="206" t="s">
        <v>135</v>
      </c>
      <c r="B162" s="206"/>
      <c r="C162" s="206"/>
      <c r="D162" s="206"/>
      <c r="E162" s="206"/>
      <c r="F162" s="206"/>
      <c r="G162" s="206"/>
    </row>
    <row r="163" ht="12.75">
      <c r="A163" s="102"/>
    </row>
    <row r="164" spans="1:7" ht="38.25">
      <c r="A164" s="175" t="s">
        <v>1</v>
      </c>
      <c r="B164" s="176" t="s">
        <v>78</v>
      </c>
      <c r="C164" s="175" t="s">
        <v>79</v>
      </c>
      <c r="D164" s="172" t="s">
        <v>80</v>
      </c>
      <c r="E164" s="173" t="s">
        <v>88</v>
      </c>
      <c r="F164" s="175" t="s">
        <v>89</v>
      </c>
      <c r="G164" s="174" t="s">
        <v>2</v>
      </c>
    </row>
    <row r="165" spans="1:7" ht="12.75">
      <c r="A165" s="85" t="s">
        <v>136</v>
      </c>
      <c r="B165" s="86"/>
      <c r="C165" s="86"/>
      <c r="D165" s="86"/>
      <c r="E165" s="86"/>
      <c r="F165" s="86"/>
      <c r="G165" s="87"/>
    </row>
    <row r="166" spans="1:7" ht="12.75">
      <c r="A166" s="142">
        <f>'Rate Class Energy Model'!H64</f>
        <v>1</v>
      </c>
      <c r="B166" s="142">
        <f>'Rate Class Energy Model'!I64</f>
        <v>1</v>
      </c>
      <c r="C166" s="136">
        <f>'Rate Class Energy Model'!J64</f>
        <v>0.4795537127072677</v>
      </c>
      <c r="D166" s="136">
        <f>'Rate Class Energy Model'!K64</f>
        <v>0.2284970408690982</v>
      </c>
      <c r="E166" s="136">
        <f>'Rate Class Energy Model'!L64</f>
        <v>0</v>
      </c>
      <c r="F166" s="136">
        <f>'Rate Class Energy Model'!M64</f>
        <v>0</v>
      </c>
      <c r="G166" s="136">
        <f>'Rate Class Energy Model'!N64</f>
        <v>0</v>
      </c>
    </row>
    <row r="167" spans="1:7" ht="12.75">
      <c r="A167" s="28"/>
      <c r="B167" s="28"/>
      <c r="C167" s="28"/>
      <c r="D167" s="28"/>
      <c r="E167" s="28"/>
      <c r="F167" s="28"/>
      <c r="G167" s="28"/>
    </row>
    <row r="173" spans="1:9" ht="12.75">
      <c r="A173" s="205" t="s">
        <v>137</v>
      </c>
      <c r="B173" s="205"/>
      <c r="C173" s="205"/>
      <c r="D173" s="205"/>
      <c r="E173" s="205"/>
      <c r="F173" s="205"/>
      <c r="G173" s="205"/>
      <c r="H173" s="205"/>
      <c r="I173" s="205"/>
    </row>
    <row r="175" spans="1:9" ht="38.25">
      <c r="A175" s="169" t="s">
        <v>97</v>
      </c>
      <c r="B175" s="175" t="s">
        <v>1</v>
      </c>
      <c r="C175" s="176" t="s">
        <v>78</v>
      </c>
      <c r="D175" s="175" t="s">
        <v>79</v>
      </c>
      <c r="E175" s="172" t="s">
        <v>80</v>
      </c>
      <c r="F175" s="173" t="s">
        <v>88</v>
      </c>
      <c r="G175" s="175" t="s">
        <v>89</v>
      </c>
      <c r="H175" s="174" t="s">
        <v>2</v>
      </c>
      <c r="I175" s="175" t="s">
        <v>12</v>
      </c>
    </row>
    <row r="176" spans="1:9" ht="12.75">
      <c r="A176" s="89" t="s">
        <v>140</v>
      </c>
      <c r="B176" s="90"/>
      <c r="C176" s="90"/>
      <c r="D176" s="90"/>
      <c r="E176" s="90"/>
      <c r="F176" s="90"/>
      <c r="G176" s="90"/>
      <c r="H176" s="90"/>
      <c r="I176" s="91"/>
    </row>
    <row r="177" spans="1:9" ht="12.75">
      <c r="A177" s="88">
        <v>2009</v>
      </c>
      <c r="B177" s="81">
        <f>B158</f>
        <v>391712.2128879993</v>
      </c>
      <c r="C177" s="81">
        <f aca="true" t="shared" si="21" ref="C177:H177">C158</f>
        <v>172388.7571119702</v>
      </c>
      <c r="D177" s="81">
        <f t="shared" si="21"/>
        <v>489932.8222048076</v>
      </c>
      <c r="E177" s="81">
        <f t="shared" si="21"/>
        <v>219979.60924643822</v>
      </c>
      <c r="F177" s="81">
        <f t="shared" si="21"/>
        <v>156391.83121741717</v>
      </c>
      <c r="G177" s="81">
        <f t="shared" si="21"/>
        <v>9459.567369612705</v>
      </c>
      <c r="H177" s="81">
        <f t="shared" si="21"/>
        <v>2210.8341645670694</v>
      </c>
      <c r="I177" s="93">
        <f>SUM(B177:H177)</f>
        <v>1442075.634202812</v>
      </c>
    </row>
    <row r="178" spans="1:9" ht="12.75">
      <c r="A178" s="108" t="s">
        <v>141</v>
      </c>
      <c r="B178" s="79"/>
      <c r="C178" s="79"/>
      <c r="D178" s="79"/>
      <c r="E178" s="79"/>
      <c r="F178" s="79"/>
      <c r="G178" s="79"/>
      <c r="H178" s="79"/>
      <c r="I178" s="80"/>
    </row>
    <row r="179" spans="1:9" ht="12.75">
      <c r="A179" s="88">
        <v>2009</v>
      </c>
      <c r="B179" s="81">
        <f>'Rate Class Energy Model'!H69/1000</f>
        <v>-5023.333247019956</v>
      </c>
      <c r="C179" s="81">
        <f>'Rate Class Energy Model'!I69/1000</f>
        <v>-2210.7203873692083</v>
      </c>
      <c r="D179" s="81">
        <f>'Rate Class Energy Model'!J69/1000</f>
        <v>-3012.9968021762797</v>
      </c>
      <c r="E179" s="81">
        <f>'Rate Class Energy Model'!K69/1000</f>
        <v>-644.5964127153896</v>
      </c>
      <c r="F179" s="81">
        <f>'Rate Class Energy Model'!L69/1000</f>
        <v>0</v>
      </c>
      <c r="G179" s="81">
        <f>'Rate Class Energy Model'!M69/1000</f>
        <v>0</v>
      </c>
      <c r="H179" s="81">
        <f>'Rate Class Energy Model'!N69/1000</f>
        <v>0</v>
      </c>
      <c r="I179" s="93">
        <f>SUM(B179:H179)</f>
        <v>-10891.646849280833</v>
      </c>
    </row>
    <row r="180" spans="1:9" ht="12.75">
      <c r="A180" s="103" t="s">
        <v>142</v>
      </c>
      <c r="B180" s="79"/>
      <c r="C180" s="79"/>
      <c r="D180" s="79"/>
      <c r="E180" s="79"/>
      <c r="F180" s="79"/>
      <c r="G180" s="79"/>
      <c r="H180" s="79"/>
      <c r="I180" s="80"/>
    </row>
    <row r="181" spans="1:9" ht="12.75">
      <c r="A181" s="115">
        <v>2009</v>
      </c>
      <c r="B181" s="116">
        <f>B177+B179</f>
        <v>386688.87964097934</v>
      </c>
      <c r="C181" s="116">
        <f aca="true" t="shared" si="22" ref="C181:I181">C177+C179</f>
        <v>170178.03672460097</v>
      </c>
      <c r="D181" s="116">
        <f t="shared" si="22"/>
        <v>486919.8254026313</v>
      </c>
      <c r="E181" s="116">
        <f t="shared" si="22"/>
        <v>219335.01283372284</v>
      </c>
      <c r="F181" s="116">
        <f t="shared" si="22"/>
        <v>156391.83121741717</v>
      </c>
      <c r="G181" s="116">
        <f t="shared" si="22"/>
        <v>9459.567369612705</v>
      </c>
      <c r="H181" s="116">
        <f t="shared" si="22"/>
        <v>2210.8341645670694</v>
      </c>
      <c r="I181" s="117">
        <f t="shared" si="22"/>
        <v>1431183.9873535312</v>
      </c>
    </row>
    <row r="184" spans="1:9" ht="12.75">
      <c r="A184" s="206" t="s">
        <v>138</v>
      </c>
      <c r="B184" s="205"/>
      <c r="C184" s="205"/>
      <c r="D184" s="205"/>
      <c r="E184" s="205"/>
      <c r="F184" s="205"/>
      <c r="G184" s="205"/>
      <c r="H184" s="205"/>
      <c r="I184" s="205"/>
    </row>
    <row r="186" spans="1:9" ht="38.25">
      <c r="A186" s="169" t="s">
        <v>97</v>
      </c>
      <c r="B186" s="175" t="s">
        <v>1</v>
      </c>
      <c r="C186" s="176" t="s">
        <v>78</v>
      </c>
      <c r="D186" s="175" t="s">
        <v>79</v>
      </c>
      <c r="E186" s="172" t="s">
        <v>80</v>
      </c>
      <c r="F186" s="173" t="s">
        <v>88</v>
      </c>
      <c r="G186" s="175" t="s">
        <v>89</v>
      </c>
      <c r="H186" s="174" t="s">
        <v>2</v>
      </c>
      <c r="I186" s="175" t="s">
        <v>12</v>
      </c>
    </row>
    <row r="187" spans="1:9" ht="12.75">
      <c r="A187" s="89" t="s">
        <v>140</v>
      </c>
      <c r="B187" s="90"/>
      <c r="C187" s="90"/>
      <c r="D187" s="90"/>
      <c r="E187" s="90"/>
      <c r="F187" s="90"/>
      <c r="G187" s="90"/>
      <c r="H187" s="90"/>
      <c r="I187" s="91"/>
    </row>
    <row r="188" spans="1:9" ht="12.75">
      <c r="A188" s="88">
        <v>2010</v>
      </c>
      <c r="B188" s="81">
        <f>B159</f>
        <v>397323.7429001279</v>
      </c>
      <c r="C188" s="81">
        <f aca="true" t="shared" si="23" ref="C188:H188">C159</f>
        <v>171473.32556863333</v>
      </c>
      <c r="D188" s="81">
        <f t="shared" si="23"/>
        <v>499032.1497636582</v>
      </c>
      <c r="E188" s="81">
        <f t="shared" si="23"/>
        <v>216904.72741978054</v>
      </c>
      <c r="F188" s="81">
        <f t="shared" si="23"/>
        <v>159305.10173571753</v>
      </c>
      <c r="G188" s="81">
        <f t="shared" si="23"/>
        <v>9470.256834870426</v>
      </c>
      <c r="H188" s="81">
        <f t="shared" si="23"/>
        <v>1855.9307105474857</v>
      </c>
      <c r="I188" s="93">
        <f>SUM(B188:H188)</f>
        <v>1455365.2349333353</v>
      </c>
    </row>
    <row r="189" spans="1:9" ht="12.75">
      <c r="A189" s="108" t="s">
        <v>141</v>
      </c>
      <c r="B189" s="79"/>
      <c r="C189" s="79"/>
      <c r="D189" s="79"/>
      <c r="E189" s="79"/>
      <c r="F189" s="79"/>
      <c r="G189" s="79"/>
      <c r="H189" s="79"/>
      <c r="I189" s="80"/>
    </row>
    <row r="190" spans="1:9" ht="12.75">
      <c r="A190" s="88">
        <v>2010</v>
      </c>
      <c r="B190" s="81">
        <f>'Rate Class Energy Model'!H70/1000</f>
        <v>-29000.755066711754</v>
      </c>
      <c r="C190" s="81">
        <f>'Rate Class Energy Model'!I70/1000</f>
        <v>-12515.879063739827</v>
      </c>
      <c r="D190" s="81">
        <f>'Rate Class Energy Model'!J70/1000</f>
        <v>-17467.492709131442</v>
      </c>
      <c r="E190" s="81">
        <f>'Rate Class Energy Model'!K70/1000</f>
        <v>-3617.5486891469004</v>
      </c>
      <c r="F190" s="81">
        <f>'Rate Class Energy Model'!L70/1000</f>
        <v>0</v>
      </c>
      <c r="G190" s="81">
        <f>'Rate Class Energy Model'!M70/1000</f>
        <v>0</v>
      </c>
      <c r="H190" s="81">
        <f>'Rate Class Energy Model'!N70/1000</f>
        <v>0</v>
      </c>
      <c r="I190" s="93">
        <f>SUM(B190:H190)</f>
        <v>-62601.675528729924</v>
      </c>
    </row>
    <row r="191" spans="1:9" ht="12.75">
      <c r="A191" s="103" t="s">
        <v>142</v>
      </c>
      <c r="B191" s="79"/>
      <c r="C191" s="79"/>
      <c r="D191" s="79"/>
      <c r="E191" s="79"/>
      <c r="F191" s="79"/>
      <c r="G191" s="79"/>
      <c r="H191" s="79"/>
      <c r="I191" s="80"/>
    </row>
    <row r="192" spans="1:9" ht="12.75">
      <c r="A192" s="115">
        <v>2009</v>
      </c>
      <c r="B192" s="116">
        <f>B188+B190</f>
        <v>368322.98783341615</v>
      </c>
      <c r="C192" s="116">
        <f aca="true" t="shared" si="24" ref="C192:I192">C188+C190</f>
        <v>158957.4465048935</v>
      </c>
      <c r="D192" s="116">
        <f t="shared" si="24"/>
        <v>481564.65705452673</v>
      </c>
      <c r="E192" s="116">
        <f t="shared" si="24"/>
        <v>213287.17873063363</v>
      </c>
      <c r="F192" s="116">
        <f t="shared" si="24"/>
        <v>159305.10173571753</v>
      </c>
      <c r="G192" s="116">
        <f t="shared" si="24"/>
        <v>9470.256834870426</v>
      </c>
      <c r="H192" s="116">
        <f t="shared" si="24"/>
        <v>1855.9307105474857</v>
      </c>
      <c r="I192" s="117">
        <f t="shared" si="24"/>
        <v>1392763.5594046053</v>
      </c>
    </row>
    <row r="194" spans="1:5" ht="12.75">
      <c r="A194" s="206" t="s">
        <v>143</v>
      </c>
      <c r="B194" s="205"/>
      <c r="C194" s="205"/>
      <c r="D194" s="205"/>
      <c r="E194" s="205"/>
    </row>
    <row r="196" spans="1:5" ht="38.25">
      <c r="A196" s="169" t="s">
        <v>97</v>
      </c>
      <c r="B196" s="175" t="s">
        <v>79</v>
      </c>
      <c r="C196" s="172" t="s">
        <v>80</v>
      </c>
      <c r="D196" s="173" t="s">
        <v>88</v>
      </c>
      <c r="E196" s="175" t="s">
        <v>89</v>
      </c>
    </row>
    <row r="197" spans="1:5" ht="12.75">
      <c r="A197" s="143">
        <f>'Rate Class Load Model'!A6</f>
        <v>2003</v>
      </c>
      <c r="B197" s="146">
        <f>'Rate Class Load Model'!B6</f>
        <v>1177153</v>
      </c>
      <c r="C197" s="144">
        <f>'Rate Class Load Model'!C6</f>
        <v>533526</v>
      </c>
      <c r="D197" s="146">
        <f>'Rate Class Load Model'!D6</f>
        <v>429237</v>
      </c>
      <c r="E197" s="145">
        <f>'Rate Class Load Model'!E6</f>
        <v>26537</v>
      </c>
    </row>
    <row r="198" spans="1:5" ht="12.75">
      <c r="A198" s="115">
        <f>'Rate Class Load Model'!A7</f>
        <v>2004</v>
      </c>
      <c r="B198" s="24">
        <f>'Rate Class Load Model'!B7</f>
        <v>1242905</v>
      </c>
      <c r="C198" s="116">
        <f>'Rate Class Load Model'!C7</f>
        <v>543249</v>
      </c>
      <c r="D198" s="24">
        <f>'Rate Class Load Model'!D7</f>
        <v>468620</v>
      </c>
      <c r="E198" s="117">
        <f>'Rate Class Load Model'!E7</f>
        <v>24497</v>
      </c>
    </row>
    <row r="199" spans="1:5" ht="12.75">
      <c r="A199" s="88">
        <f>'Rate Class Load Model'!A8</f>
        <v>2005</v>
      </c>
      <c r="B199" s="120">
        <f>'Rate Class Load Model'!B8</f>
        <v>1274085</v>
      </c>
      <c r="C199" s="81">
        <f>'Rate Class Load Model'!C8</f>
        <v>619353</v>
      </c>
      <c r="D199" s="120">
        <f>'Rate Class Load Model'!D8</f>
        <v>480781</v>
      </c>
      <c r="E199" s="93">
        <f>'Rate Class Load Model'!E8</f>
        <v>24664</v>
      </c>
    </row>
    <row r="200" spans="1:5" ht="12.75">
      <c r="A200" s="115">
        <f>'Rate Class Load Model'!A9</f>
        <v>2006</v>
      </c>
      <c r="B200" s="24">
        <f>'Rate Class Load Model'!B9</f>
        <v>1279604</v>
      </c>
      <c r="C200" s="116">
        <f>'Rate Class Load Model'!C9</f>
        <v>618222</v>
      </c>
      <c r="D200" s="24">
        <f>'Rate Class Load Model'!D9</f>
        <v>472853</v>
      </c>
      <c r="E200" s="117">
        <f>'Rate Class Load Model'!E9</f>
        <v>24008</v>
      </c>
    </row>
    <row r="201" spans="1:5" ht="12.75">
      <c r="A201" s="88">
        <f>'Rate Class Load Model'!A10</f>
        <v>2007</v>
      </c>
      <c r="B201" s="120">
        <f>'Rate Class Load Model'!B10</f>
        <v>1274858</v>
      </c>
      <c r="C201" s="81">
        <f>'Rate Class Load Model'!C10</f>
        <v>571091</v>
      </c>
      <c r="D201" s="120">
        <f>'Rate Class Load Model'!D10</f>
        <v>481509</v>
      </c>
      <c r="E201" s="93">
        <f>'Rate Class Load Model'!E10</f>
        <v>24182</v>
      </c>
    </row>
    <row r="202" spans="1:5" ht="12.75">
      <c r="A202" s="115">
        <f>'Rate Class Load Model'!A11</f>
        <v>2008</v>
      </c>
      <c r="B202" s="24">
        <f>'Rate Class Load Model'!B11</f>
        <v>1244174</v>
      </c>
      <c r="C202" s="116">
        <f>'Rate Class Load Model'!C11</f>
        <v>554036</v>
      </c>
      <c r="D202" s="24">
        <f>'Rate Class Load Model'!D11</f>
        <v>446448</v>
      </c>
      <c r="E202" s="117">
        <f>'Rate Class Load Model'!E11</f>
        <v>24090</v>
      </c>
    </row>
    <row r="205" spans="1:5" ht="12.75">
      <c r="A205" s="205" t="s">
        <v>144</v>
      </c>
      <c r="B205" s="205"/>
      <c r="C205" s="205"/>
      <c r="D205" s="205"/>
      <c r="E205" s="205"/>
    </row>
    <row r="207" spans="1:5" ht="38.25">
      <c r="A207" s="169" t="s">
        <v>97</v>
      </c>
      <c r="B207" s="175" t="s">
        <v>79</v>
      </c>
      <c r="C207" s="172" t="s">
        <v>80</v>
      </c>
      <c r="D207" s="173" t="s">
        <v>88</v>
      </c>
      <c r="E207" s="175" t="s">
        <v>89</v>
      </c>
    </row>
    <row r="208" spans="1:5" ht="12.75">
      <c r="A208" s="143">
        <f>'Rate Class Load Model'!A20</f>
        <v>2003</v>
      </c>
      <c r="B208" s="147">
        <f>'Rate Class Load Model'!B20</f>
        <v>0.002616876545338984</v>
      </c>
      <c r="C208" s="147">
        <f>'Rate Class Load Model'!C20</f>
        <v>0.002026158793654988</v>
      </c>
      <c r="D208" s="147">
        <f>'Rate Class Load Model'!D20</f>
        <v>0.0018290986807808411</v>
      </c>
      <c r="E208" s="147">
        <f>'Rate Class Load Model'!E20</f>
        <v>0.0028189864799764</v>
      </c>
    </row>
    <row r="209" spans="1:5" ht="12.75">
      <c r="A209" s="143">
        <f>'Rate Class Load Model'!A21</f>
        <v>2004</v>
      </c>
      <c r="B209" s="147">
        <f>'Rate Class Load Model'!B21</f>
        <v>0.002635968030525219</v>
      </c>
      <c r="C209" s="147">
        <f>'Rate Class Load Model'!C21</f>
        <v>0.0020127118184873455</v>
      </c>
      <c r="D209" s="147">
        <f>'Rate Class Load Model'!D21</f>
        <v>0.0019113859575333133</v>
      </c>
      <c r="E209" s="147">
        <f>'Rate Class Load Model'!E21</f>
        <v>0.002573753879487293</v>
      </c>
    </row>
    <row r="210" spans="1:5" ht="12.75">
      <c r="A210" s="143">
        <f>'Rate Class Load Model'!A22</f>
        <v>2005</v>
      </c>
      <c r="B210" s="147">
        <f>'Rate Class Load Model'!B22</f>
        <v>0.002669121006298415</v>
      </c>
      <c r="C210" s="147">
        <f>'Rate Class Load Model'!C22</f>
        <v>0.0021441970714009646</v>
      </c>
      <c r="D210" s="147">
        <f>'Rate Class Load Model'!D22</f>
        <v>0.0018755496366105252</v>
      </c>
      <c r="E210" s="147">
        <f>'Rate Class Load Model'!E22</f>
        <v>0.0025848435489247592</v>
      </c>
    </row>
    <row r="211" spans="1:5" ht="12.75">
      <c r="A211" s="143">
        <f>'Rate Class Load Model'!A23</f>
        <v>2006</v>
      </c>
      <c r="B211" s="147">
        <f>'Rate Class Load Model'!B23</f>
        <v>0.002721826383145217</v>
      </c>
      <c r="C211" s="147">
        <f>'Rate Class Load Model'!C23</f>
        <v>0.002222946206431466</v>
      </c>
      <c r="D211" s="147">
        <f>'Rate Class Load Model'!D23</f>
        <v>0.0018756429898945824</v>
      </c>
      <c r="E211" s="147">
        <f>'Rate Class Load Model'!E23</f>
        <v>0.002581350540366205</v>
      </c>
    </row>
    <row r="212" spans="1:5" ht="12.75">
      <c r="A212" s="143">
        <f>'Rate Class Load Model'!A24</f>
        <v>2007</v>
      </c>
      <c r="B212" s="147">
        <f>'Rate Class Load Model'!B24</f>
        <v>0.0026327189073916367</v>
      </c>
      <c r="C212" s="147">
        <f>'Rate Class Load Model'!C24</f>
        <v>0.002226893352707617</v>
      </c>
      <c r="D212" s="147">
        <f>'Rate Class Load Model'!D24</f>
        <v>0.0019100500388182851</v>
      </c>
      <c r="E212" s="147">
        <f>'Rate Class Load Model'!E24</f>
        <v>0.0025608843096378443</v>
      </c>
    </row>
    <row r="213" spans="1:5" ht="12.75">
      <c r="A213" s="118">
        <f>'Rate Class Load Model'!A25</f>
        <v>2008</v>
      </c>
      <c r="B213" s="148">
        <f>'Rate Class Load Model'!B25</f>
        <v>0.0026510219956009415</v>
      </c>
      <c r="C213" s="148">
        <f>'Rate Class Load Model'!C25</f>
        <v>0.002217298317422176</v>
      </c>
      <c r="D213" s="148">
        <f>'Rate Class Load Model'!D25</f>
        <v>0.0019385686143000424</v>
      </c>
      <c r="E213" s="148">
        <f>'Rate Class Load Model'!E25</f>
        <v>0.002549505823065918</v>
      </c>
    </row>
    <row r="214" spans="1:5" ht="12.75">
      <c r="A214" s="92" t="s">
        <v>16</v>
      </c>
      <c r="B214" s="148">
        <f>'Rate Class Load Model'!B27</f>
        <v>0.002654588811383402</v>
      </c>
      <c r="C214" s="148">
        <f>'Rate Class Load Model'!C27</f>
        <v>0.002141700926684093</v>
      </c>
      <c r="D214" s="148">
        <f>'Rate Class Load Model'!D27</f>
        <v>0.0018900493196562652</v>
      </c>
      <c r="E214" s="148">
        <f>'Rate Class Load Model'!E27</f>
        <v>0.002611554096909737</v>
      </c>
    </row>
    <row r="216" ht="12.75">
      <c r="B216" s="102" t="s">
        <v>145</v>
      </c>
    </row>
    <row r="218" spans="1:5" ht="38.25">
      <c r="A218" s="169" t="s">
        <v>97</v>
      </c>
      <c r="B218" s="175" t="s">
        <v>79</v>
      </c>
      <c r="C218" s="172" t="s">
        <v>80</v>
      </c>
      <c r="D218" s="173" t="s">
        <v>88</v>
      </c>
      <c r="E218" s="175" t="s">
        <v>89</v>
      </c>
    </row>
    <row r="219" spans="1:9" ht="12.75">
      <c r="A219" s="115">
        <v>2009</v>
      </c>
      <c r="B219" s="24">
        <f>Summary!K22</f>
        <v>1292571.9205545846</v>
      </c>
      <c r="C219" s="24">
        <f>Summary!K27</f>
        <v>469750.0002402517</v>
      </c>
      <c r="D219" s="116">
        <f>Summary!K32</f>
        <v>295588.2741922768</v>
      </c>
      <c r="E219" s="24">
        <f>Summary!K37</f>
        <v>24704.171919105724</v>
      </c>
      <c r="G219" s="74"/>
      <c r="H219" s="74"/>
      <c r="I219" s="74"/>
    </row>
    <row r="220" spans="1:9" ht="12.75">
      <c r="A220" s="115">
        <v>2010</v>
      </c>
      <c r="B220" s="24">
        <f>Summary!L22</f>
        <v>1278356.1505746318</v>
      </c>
      <c r="C220" s="116">
        <f>Summary!L27</f>
        <v>456797.3483372339</v>
      </c>
      <c r="D220" s="24">
        <f>Summary!L32</f>
        <v>301094.49915336503</v>
      </c>
      <c r="E220" s="117">
        <f>Summary!L37</f>
        <v>24732.0880358933</v>
      </c>
      <c r="G220" s="74"/>
      <c r="H220" s="74"/>
      <c r="I220" s="74"/>
    </row>
  </sheetData>
  <mergeCells count="16">
    <mergeCell ref="A194:E194"/>
    <mergeCell ref="A205:E205"/>
    <mergeCell ref="A1:G1"/>
    <mergeCell ref="A16:I16"/>
    <mergeCell ref="A40:H40"/>
    <mergeCell ref="A64:D64"/>
    <mergeCell ref="A78:I78"/>
    <mergeCell ref="A109:I109"/>
    <mergeCell ref="A117:I117"/>
    <mergeCell ref="A93:H93"/>
    <mergeCell ref="A173:I173"/>
    <mergeCell ref="A184:I184"/>
    <mergeCell ref="A131:H131"/>
    <mergeCell ref="A146:H146"/>
    <mergeCell ref="A154:H154"/>
    <mergeCell ref="A162:G16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3"/>
  <sheetViews>
    <sheetView workbookViewId="0" topLeftCell="A7">
      <selection activeCell="C106" sqref="C106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16.140625" style="0" customWidth="1"/>
    <col min="4" max="4" width="12.7109375" style="0" customWidth="1"/>
  </cols>
  <sheetData>
    <row r="2" ht="12.75">
      <c r="A2" s="20" t="s">
        <v>112</v>
      </c>
    </row>
    <row r="4" spans="1:3" ht="12.75">
      <c r="A4" s="45" t="s">
        <v>113</v>
      </c>
      <c r="B4" s="1" t="s">
        <v>114</v>
      </c>
      <c r="C4" s="46" t="s">
        <v>115</v>
      </c>
    </row>
    <row r="6" spans="1:3" ht="12.75">
      <c r="A6" s="45">
        <v>1996</v>
      </c>
      <c r="B6" s="96">
        <f>'Purchased Power Model'!B246/1000</f>
        <v>1126778.593</v>
      </c>
      <c r="C6" s="96">
        <f>'Purchased Power Model'!K246/1000</f>
        <v>1144747.2425400852</v>
      </c>
    </row>
    <row r="7" spans="1:3" ht="12.75">
      <c r="A7" s="45">
        <v>1997</v>
      </c>
      <c r="B7" s="96">
        <f>'Purchased Power Model'!B247/1000</f>
        <v>1202822.244</v>
      </c>
      <c r="C7" s="96">
        <f>'Purchased Power Model'!K247/1000</f>
        <v>1206275.9610049496</v>
      </c>
    </row>
    <row r="8" spans="1:3" ht="12.75">
      <c r="A8" s="45">
        <v>1998</v>
      </c>
      <c r="B8" s="96">
        <f>'Purchased Power Model'!B248/1000</f>
        <v>1272551.157</v>
      </c>
      <c r="C8" s="96">
        <f>'Purchased Power Model'!K248/1000</f>
        <v>1255414.5346028754</v>
      </c>
    </row>
    <row r="9" spans="1:3" ht="12.75">
      <c r="A9" s="45">
        <v>1999</v>
      </c>
      <c r="B9" s="96">
        <f>'Purchased Power Model'!B249/1000</f>
        <v>1350815.3901000002</v>
      </c>
      <c r="C9" s="96">
        <f>'Purchased Power Model'!K249/1000</f>
        <v>1333186.0025325753</v>
      </c>
    </row>
    <row r="10" spans="1:3" ht="12.75">
      <c r="A10" s="45">
        <v>2000</v>
      </c>
      <c r="B10" s="96">
        <f>'Purchased Power Model'!B250/1000</f>
        <v>1392173.5918</v>
      </c>
      <c r="C10" s="96">
        <f>'Purchased Power Model'!K250/1000</f>
        <v>1393923.2667943325</v>
      </c>
    </row>
    <row r="11" spans="1:3" ht="12.75">
      <c r="A11" s="45">
        <v>2001</v>
      </c>
      <c r="B11" s="96">
        <f>'Purchased Power Model'!B251/1000</f>
        <v>1420977.73</v>
      </c>
      <c r="C11" s="96">
        <f>'Purchased Power Model'!K251/1000</f>
        <v>1443778.9879166384</v>
      </c>
    </row>
    <row r="12" spans="1:3" ht="12.75">
      <c r="A12" s="45">
        <v>2002</v>
      </c>
      <c r="B12" s="96">
        <f>'Purchased Power Model'!B252/1000</f>
        <v>1519144.756</v>
      </c>
      <c r="C12" s="96">
        <f>'Purchased Power Model'!K252/1000</f>
        <v>1514089.910745773</v>
      </c>
    </row>
    <row r="13" spans="1:3" ht="12.75">
      <c r="A13" s="45">
        <v>2003</v>
      </c>
      <c r="B13" s="96">
        <f>'Purchased Power Model'!B253/1000</f>
        <v>1523717.53</v>
      </c>
      <c r="C13" s="96">
        <f>'Purchased Power Model'!K253/1000</f>
        <v>1530916.9274622435</v>
      </c>
    </row>
    <row r="14" spans="1:3" ht="12.75">
      <c r="A14" s="45">
        <v>2004</v>
      </c>
      <c r="B14" s="96">
        <f>'Purchased Power Model'!B254/1000</f>
        <v>1570405.93</v>
      </c>
      <c r="C14" s="96">
        <f>'Purchased Power Model'!K254/1000</f>
        <v>1549059.11648762</v>
      </c>
    </row>
    <row r="15" spans="1:3" ht="12.75">
      <c r="A15" s="45">
        <v>2005</v>
      </c>
      <c r="B15" s="96">
        <f>'Purchased Power Model'!B255/1000</f>
        <v>1640988.662</v>
      </c>
      <c r="C15" s="96">
        <f>'Purchased Power Model'!K255/1000</f>
        <v>1636434.6596133076</v>
      </c>
    </row>
    <row r="16" spans="1:3" ht="12.75">
      <c r="A16" s="45">
        <v>2006</v>
      </c>
      <c r="B16" s="96">
        <f>'Purchased Power Model'!B256/1000</f>
        <v>1599360.044</v>
      </c>
      <c r="C16" s="96">
        <f>'Purchased Power Model'!K256/1000</f>
        <v>1613343.0908662796</v>
      </c>
    </row>
    <row r="17" spans="1:3" ht="12.75">
      <c r="A17" s="45">
        <v>2007</v>
      </c>
      <c r="B17" s="96">
        <f>'Purchased Power Model'!B257/1000</f>
        <v>1609193.923</v>
      </c>
      <c r="C17" s="96">
        <f>'Purchased Power Model'!K257/1000</f>
        <v>1617555.8442285052</v>
      </c>
    </row>
    <row r="18" spans="1:3" ht="12.75">
      <c r="A18" s="45">
        <v>2008</v>
      </c>
      <c r="B18" s="96">
        <f>'Purchased Power Model'!B258/1000</f>
        <v>1557523.229</v>
      </c>
      <c r="C18" s="96">
        <f>'Purchased Power Model'!K258/1000</f>
        <v>1547727.2351048137</v>
      </c>
    </row>
    <row r="19" spans="1:3" ht="12.75">
      <c r="A19" s="45">
        <v>2009</v>
      </c>
      <c r="B19" s="96"/>
      <c r="C19" s="96">
        <f>'Purchased Power Model'!K259/1000</f>
        <v>1468651.648210675</v>
      </c>
    </row>
    <row r="20" spans="1:3" ht="12.75">
      <c r="A20" s="45">
        <v>2010</v>
      </c>
      <c r="B20" s="96"/>
      <c r="C20" s="96">
        <f>'Purchased Power Model'!K260/1000</f>
        <v>1429225.3932142858</v>
      </c>
    </row>
    <row r="21" spans="2:3" ht="12.75">
      <c r="B21" s="69"/>
      <c r="C21" s="69"/>
    </row>
    <row r="46" ht="12.75">
      <c r="A46" s="20" t="s">
        <v>112</v>
      </c>
    </row>
    <row r="48" spans="1:4" ht="27.75" customHeight="1">
      <c r="A48" s="184" t="s">
        <v>113</v>
      </c>
      <c r="B48" s="178" t="s">
        <v>116</v>
      </c>
      <c r="C48" s="179" t="s">
        <v>115</v>
      </c>
      <c r="D48" s="185" t="s">
        <v>117</v>
      </c>
    </row>
    <row r="49" spans="1:4" ht="12.75">
      <c r="A49" s="88">
        <v>1996</v>
      </c>
      <c r="B49" s="104">
        <f aca="true" t="shared" si="0" ref="B49:C63">B6</f>
        <v>1126778.593</v>
      </c>
      <c r="C49" s="104">
        <f t="shared" si="0"/>
        <v>1144747.2425400852</v>
      </c>
      <c r="D49" s="83">
        <f>C49/B49-1</f>
        <v>0.015946921295553196</v>
      </c>
    </row>
    <row r="50" spans="1:4" ht="12.75">
      <c r="A50" s="88">
        <v>1997</v>
      </c>
      <c r="B50" s="104">
        <f t="shared" si="0"/>
        <v>1202822.244</v>
      </c>
      <c r="C50" s="104">
        <f t="shared" si="0"/>
        <v>1206275.9610049496</v>
      </c>
      <c r="D50" s="83">
        <f aca="true" t="shared" si="1" ref="D50:D61">C50/B50-1</f>
        <v>0.002871344475193771</v>
      </c>
    </row>
    <row r="51" spans="1:4" ht="12.75">
      <c r="A51" s="88">
        <v>1998</v>
      </c>
      <c r="B51" s="104">
        <f t="shared" si="0"/>
        <v>1272551.157</v>
      </c>
      <c r="C51" s="104">
        <f t="shared" si="0"/>
        <v>1255414.5346028754</v>
      </c>
      <c r="D51" s="83">
        <f t="shared" si="1"/>
        <v>-0.01346635245495642</v>
      </c>
    </row>
    <row r="52" spans="1:6" ht="12.75">
      <c r="A52" s="88">
        <v>1999</v>
      </c>
      <c r="B52" s="104">
        <f t="shared" si="0"/>
        <v>1350815.3901000002</v>
      </c>
      <c r="C52" s="104">
        <f t="shared" si="0"/>
        <v>1333186.0025325753</v>
      </c>
      <c r="D52" s="83">
        <f t="shared" si="1"/>
        <v>-0.013050922943748655</v>
      </c>
      <c r="F52" s="98"/>
    </row>
    <row r="53" spans="1:4" ht="12.75">
      <c r="A53" s="88">
        <v>2000</v>
      </c>
      <c r="B53" s="104">
        <f t="shared" si="0"/>
        <v>1392173.5918</v>
      </c>
      <c r="C53" s="104">
        <f t="shared" si="0"/>
        <v>1393923.2667943325</v>
      </c>
      <c r="D53" s="83">
        <f t="shared" si="1"/>
        <v>0.0012567936963021609</v>
      </c>
    </row>
    <row r="54" spans="1:4" ht="12.75">
      <c r="A54" s="88">
        <v>2001</v>
      </c>
      <c r="B54" s="104">
        <f t="shared" si="0"/>
        <v>1420977.73</v>
      </c>
      <c r="C54" s="104">
        <f t="shared" si="0"/>
        <v>1443778.9879166384</v>
      </c>
      <c r="D54" s="83">
        <f t="shared" si="1"/>
        <v>0.016046175415175945</v>
      </c>
    </row>
    <row r="55" spans="1:4" ht="12.75">
      <c r="A55" s="88">
        <v>2002</v>
      </c>
      <c r="B55" s="104">
        <f t="shared" si="0"/>
        <v>1519144.756</v>
      </c>
      <c r="C55" s="104">
        <f t="shared" si="0"/>
        <v>1514089.910745773</v>
      </c>
      <c r="D55" s="83">
        <f t="shared" si="1"/>
        <v>-0.0033274283008662975</v>
      </c>
    </row>
    <row r="56" spans="1:4" ht="12.75">
      <c r="A56" s="88">
        <v>2003</v>
      </c>
      <c r="B56" s="104">
        <f t="shared" si="0"/>
        <v>1523717.53</v>
      </c>
      <c r="C56" s="104">
        <f t="shared" si="0"/>
        <v>1530916.9274622435</v>
      </c>
      <c r="D56" s="83">
        <f t="shared" si="1"/>
        <v>0.004724889830626022</v>
      </c>
    </row>
    <row r="57" spans="1:4" ht="12.75">
      <c r="A57" s="88">
        <v>2004</v>
      </c>
      <c r="B57" s="104">
        <f t="shared" si="0"/>
        <v>1570405.93</v>
      </c>
      <c r="C57" s="104">
        <f t="shared" si="0"/>
        <v>1549059.11648762</v>
      </c>
      <c r="D57" s="83">
        <f t="shared" si="1"/>
        <v>-0.013593181931234821</v>
      </c>
    </row>
    <row r="58" spans="1:4" ht="12.75">
      <c r="A58" s="88">
        <v>2005</v>
      </c>
      <c r="B58" s="104">
        <f t="shared" si="0"/>
        <v>1640988.662</v>
      </c>
      <c r="C58" s="104">
        <f t="shared" si="0"/>
        <v>1636434.6596133076</v>
      </c>
      <c r="D58" s="83">
        <f t="shared" si="1"/>
        <v>-0.002775157740055434</v>
      </c>
    </row>
    <row r="59" spans="1:4" ht="12.75">
      <c r="A59" s="88">
        <v>2006</v>
      </c>
      <c r="B59" s="104">
        <f t="shared" si="0"/>
        <v>1599360.044</v>
      </c>
      <c r="C59" s="104">
        <f t="shared" si="0"/>
        <v>1613343.0908662796</v>
      </c>
      <c r="D59" s="83">
        <f t="shared" si="1"/>
        <v>0.00874290121147947</v>
      </c>
    </row>
    <row r="60" spans="1:4" ht="12.75">
      <c r="A60" s="88">
        <v>2007</v>
      </c>
      <c r="B60" s="104">
        <f t="shared" si="0"/>
        <v>1609193.923</v>
      </c>
      <c r="C60" s="104">
        <f t="shared" si="0"/>
        <v>1617555.8442285052</v>
      </c>
      <c r="D60" s="83">
        <f t="shared" si="1"/>
        <v>0.005196341540313565</v>
      </c>
    </row>
    <row r="61" spans="1:4" ht="12.75">
      <c r="A61" s="88">
        <v>2008</v>
      </c>
      <c r="B61" s="104">
        <f t="shared" si="0"/>
        <v>1557523.229</v>
      </c>
      <c r="C61" s="104">
        <f t="shared" si="0"/>
        <v>1547727.2351048137</v>
      </c>
      <c r="D61" s="83">
        <f t="shared" si="1"/>
        <v>-0.006289468890602556</v>
      </c>
    </row>
    <row r="62" spans="1:4" ht="12.75">
      <c r="A62" s="88" t="s">
        <v>118</v>
      </c>
      <c r="B62" s="104">
        <f t="shared" si="0"/>
        <v>0</v>
      </c>
      <c r="C62" s="104">
        <f t="shared" si="0"/>
        <v>1468651.648210675</v>
      </c>
      <c r="D62" s="83"/>
    </row>
    <row r="63" spans="1:4" ht="12.75">
      <c r="A63" s="92" t="s">
        <v>119</v>
      </c>
      <c r="B63" s="105">
        <f t="shared" si="0"/>
        <v>0</v>
      </c>
      <c r="C63" s="105">
        <f t="shared" si="0"/>
        <v>1429225.3932142858</v>
      </c>
      <c r="D63" s="10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pane xSplit="1" ySplit="3" topLeftCell="B37" activePane="bottomRight" state="frozen"/>
      <selection pane="topLeft" activeCell="C106" sqref="C106"/>
      <selection pane="topRight" activeCell="C106" sqref="C106"/>
      <selection pane="bottomLeft" activeCell="C106" sqref="C106"/>
      <selection pane="bottomRight" activeCell="C106" sqref="C106"/>
    </sheetView>
  </sheetViews>
  <sheetFormatPr defaultColWidth="9.140625" defaultRowHeight="12.75"/>
  <cols>
    <col min="1" max="1" width="32.7109375" style="0" customWidth="1"/>
    <col min="2" max="2" width="14.140625" style="1" bestFit="1" customWidth="1"/>
    <col min="3" max="3" width="12.7109375" style="1" customWidth="1"/>
    <col min="4" max="4" width="13.00390625" style="1" customWidth="1"/>
    <col min="5" max="5" width="14.28125" style="1" bestFit="1" customWidth="1"/>
    <col min="6" max="6" width="12.8515625" style="1" customWidth="1"/>
    <col min="7" max="7" width="14.00390625" style="0" bestFit="1" customWidth="1"/>
    <col min="8" max="8" width="12.7109375" style="0" bestFit="1" customWidth="1"/>
    <col min="9" max="9" width="10.57421875" style="0" bestFit="1" customWidth="1"/>
  </cols>
  <sheetData>
    <row r="1" ht="15.75">
      <c r="A1" s="48" t="s">
        <v>90</v>
      </c>
    </row>
    <row r="3" spans="1:7" ht="38.25">
      <c r="A3" s="180"/>
      <c r="B3" s="181" t="s">
        <v>146</v>
      </c>
      <c r="C3" s="182" t="s">
        <v>68</v>
      </c>
      <c r="D3" s="181" t="s">
        <v>69</v>
      </c>
      <c r="E3" s="182" t="s">
        <v>84</v>
      </c>
      <c r="F3" s="181" t="s">
        <v>26</v>
      </c>
      <c r="G3" s="183" t="s">
        <v>85</v>
      </c>
    </row>
    <row r="4" spans="1:7" ht="12.75">
      <c r="A4" s="158" t="s">
        <v>73</v>
      </c>
      <c r="B4" s="163">
        <f>B50</f>
        <v>1519110995.2789378</v>
      </c>
      <c r="C4" s="159">
        <f>'Purchased Power Model'!B256</f>
        <v>1599360044</v>
      </c>
      <c r="D4" s="163">
        <f>'Purchased Power Model'!B257</f>
        <v>1609193923</v>
      </c>
      <c r="E4" s="159">
        <f>'Purchased Power Model'!B258</f>
        <v>1557523229</v>
      </c>
      <c r="F4" s="165"/>
      <c r="G4" s="87"/>
    </row>
    <row r="5" spans="1:7" ht="12.75">
      <c r="A5" s="158" t="s">
        <v>74</v>
      </c>
      <c r="B5" s="163">
        <f>B4</f>
        <v>1519110995.2789378</v>
      </c>
      <c r="C5" s="159">
        <f>'Purchased Power Model'!K256</f>
        <v>1613343090.8662796</v>
      </c>
      <c r="D5" s="163">
        <f>'Purchased Power Model'!K257</f>
        <v>1617555844.2285051</v>
      </c>
      <c r="E5" s="159">
        <f>'Purchased Power Model'!K258</f>
        <v>1547727235.1048138</v>
      </c>
      <c r="F5" s="163">
        <f>'Purchased Power Model'!K259</f>
        <v>1468651648.210675</v>
      </c>
      <c r="G5" s="161">
        <f>'Purchased Power Model'!K260</f>
        <v>1429225393.2142859</v>
      </c>
    </row>
    <row r="6" spans="1:7" ht="12.75">
      <c r="A6" s="151" t="s">
        <v>11</v>
      </c>
      <c r="B6" s="164"/>
      <c r="C6" s="154">
        <f>(C5-C4)/C4</f>
        <v>0.00874290121147956</v>
      </c>
      <c r="D6" s="164">
        <f>(D5-D4)/D4</f>
        <v>0.005196341540313619</v>
      </c>
      <c r="E6" s="154">
        <f>(E5-E4)/E4</f>
        <v>-0.006289468890602457</v>
      </c>
      <c r="F6" s="168"/>
      <c r="G6" s="80"/>
    </row>
    <row r="7" spans="1:7" ht="12.75">
      <c r="A7" s="158"/>
      <c r="B7" s="165"/>
      <c r="C7" s="160"/>
      <c r="D7" s="165"/>
      <c r="E7" s="160"/>
      <c r="F7" s="165"/>
      <c r="G7" s="87"/>
    </row>
    <row r="8" spans="1:9" ht="12.75">
      <c r="A8" s="151" t="s">
        <v>76</v>
      </c>
      <c r="B8" s="166">
        <f>B50</f>
        <v>1519110995.2789378</v>
      </c>
      <c r="C8" s="152">
        <f>'Rate Class Energy Model'!G17</f>
        <v>1561102859.585294</v>
      </c>
      <c r="D8" s="166">
        <f>'Rate Class Energy Model'!G18</f>
        <v>1566589591.6161513</v>
      </c>
      <c r="E8" s="152">
        <f>'Rate Class Energy Model'!G19</f>
        <v>1518625683.1198359</v>
      </c>
      <c r="F8" s="166">
        <f>'Rate Class Energy Model'!G20</f>
        <v>1431183987.3535314</v>
      </c>
      <c r="G8" s="153">
        <f>'Rate Class Energy Model'!G21</f>
        <v>1392763559.4046054</v>
      </c>
      <c r="I8" s="74"/>
    </row>
    <row r="9" spans="1:9" ht="12.75">
      <c r="A9" s="158"/>
      <c r="B9" s="165"/>
      <c r="C9" s="160"/>
      <c r="D9" s="165"/>
      <c r="E9" s="160"/>
      <c r="F9" s="118"/>
      <c r="G9" s="87"/>
      <c r="I9" s="149"/>
    </row>
    <row r="10" spans="1:7" ht="15.75">
      <c r="A10" s="156" t="s">
        <v>75</v>
      </c>
      <c r="B10" s="167"/>
      <c r="C10" s="155"/>
      <c r="D10" s="167"/>
      <c r="E10" s="155"/>
      <c r="F10" s="167"/>
      <c r="G10" s="80"/>
    </row>
    <row r="11" spans="1:7" ht="12.75">
      <c r="A11" s="162" t="str">
        <f>'Rate Class Energy Model'!H2</f>
        <v>Residential </v>
      </c>
      <c r="B11" s="118"/>
      <c r="C11" s="122"/>
      <c r="D11" s="118"/>
      <c r="E11" s="122"/>
      <c r="F11" s="118"/>
      <c r="G11" s="87"/>
    </row>
    <row r="12" spans="1:7" ht="12.75">
      <c r="A12" s="78" t="s">
        <v>59</v>
      </c>
      <c r="B12" s="120">
        <f>'[6]7-1 ALLOCATION - Base Rev. Req.'!$H$16</f>
        <v>41372</v>
      </c>
      <c r="C12" s="81">
        <f>'Rate Class Customer Model'!B10</f>
        <v>42471</v>
      </c>
      <c r="D12" s="120">
        <f>'Rate Class Customer Model'!B11</f>
        <v>43304</v>
      </c>
      <c r="E12" s="81">
        <f>'Rate Class Customer Model'!B12</f>
        <v>43558</v>
      </c>
      <c r="F12" s="120">
        <f>'Rate Class Customer Model'!B13</f>
        <v>44315</v>
      </c>
      <c r="G12" s="93">
        <f>'Rate Class Customer Model'!B14</f>
        <v>45217.63940377571</v>
      </c>
    </row>
    <row r="13" spans="1:7" ht="12.75">
      <c r="A13" s="85" t="s">
        <v>60</v>
      </c>
      <c r="B13" s="24">
        <f>'[6]7-1 ALLOCATION - Base Rev. Req.'!$M$16</f>
        <v>387204414.57922834</v>
      </c>
      <c r="C13" s="116">
        <f>'Rate Class Energy Model'!H17</f>
        <v>381579968.59043884</v>
      </c>
      <c r="D13" s="24">
        <f>'Rate Class Energy Model'!H18</f>
        <v>392558966.01605856</v>
      </c>
      <c r="E13" s="116">
        <f>'Rate Class Energy Model'!H19</f>
        <v>387314731.8207535</v>
      </c>
      <c r="F13" s="24">
        <f>'Rate Class Energy Model'!H61</f>
        <v>386688879.64097935</v>
      </c>
      <c r="G13" s="117">
        <f>'Rate Class Energy Model'!H62</f>
        <v>368322987.8334161</v>
      </c>
    </row>
    <row r="14" spans="1:7" ht="12.75">
      <c r="A14" s="78"/>
      <c r="B14" s="167"/>
      <c r="C14" s="155"/>
      <c r="D14" s="167"/>
      <c r="E14" s="155"/>
      <c r="F14" s="167"/>
      <c r="G14" s="80"/>
    </row>
    <row r="15" spans="1:7" ht="12.75">
      <c r="A15" s="162" t="str">
        <f>'Rate Class Energy Model'!I2</f>
        <v>General Service &lt; 50 kW</v>
      </c>
      <c r="B15" s="118"/>
      <c r="C15" s="122"/>
      <c r="D15" s="118"/>
      <c r="E15" s="122"/>
      <c r="F15" s="118"/>
      <c r="G15" s="87"/>
    </row>
    <row r="16" spans="1:7" ht="12.75">
      <c r="A16" s="78" t="s">
        <v>59</v>
      </c>
      <c r="B16" s="120">
        <f>'[6]7-1 ALLOCATION - Base Rev. Req.'!$H$54</f>
        <v>4403</v>
      </c>
      <c r="C16" s="81">
        <f>'Rate Class Customer Model'!C10</f>
        <v>4354</v>
      </c>
      <c r="D16" s="120">
        <f>'Rate Class Customer Model'!C11</f>
        <v>4398</v>
      </c>
      <c r="E16" s="81">
        <f>'Rate Class Customer Model'!C12</f>
        <v>4500</v>
      </c>
      <c r="F16" s="120">
        <f>'Rate Class Customer Model'!C13</f>
        <v>4581</v>
      </c>
      <c r="G16" s="93">
        <f>'Rate Class Customer Model'!C14</f>
        <v>4581.509254660352</v>
      </c>
    </row>
    <row r="17" spans="1:7" ht="12.75">
      <c r="A17" s="85" t="s">
        <v>60</v>
      </c>
      <c r="B17" s="24">
        <f>'[6]7-1 ALLOCATION - Base Rev. Req.'!$M$54</f>
        <v>162488362.729449</v>
      </c>
      <c r="C17" s="116">
        <f>'Rate Class Energy Model'!I17</f>
        <v>166886949.8713199</v>
      </c>
      <c r="D17" s="24">
        <f>'Rate Class Energy Model'!I18</f>
        <v>169606274.12815455</v>
      </c>
      <c r="E17" s="116">
        <f>'Rate Class Energy Model'!I19</f>
        <v>170263597.24762118</v>
      </c>
      <c r="F17" s="24">
        <f>'Rate Class Energy Model'!I61</f>
        <v>170178036.72460097</v>
      </c>
      <c r="G17" s="117">
        <f>'Rate Class Energy Model'!I62</f>
        <v>158957446.50489348</v>
      </c>
    </row>
    <row r="18" spans="1:7" ht="12.75">
      <c r="A18" s="78"/>
      <c r="B18" s="167"/>
      <c r="C18" s="155"/>
      <c r="D18" s="167"/>
      <c r="E18" s="155"/>
      <c r="F18" s="167"/>
      <c r="G18" s="93"/>
    </row>
    <row r="19" spans="1:7" ht="12.75">
      <c r="A19" s="162" t="str">
        <f>'Rate Class Energy Model'!J2</f>
        <v>General Service &gt; 50 to 999 kW</v>
      </c>
      <c r="B19" s="118"/>
      <c r="C19" s="122"/>
      <c r="D19" s="118"/>
      <c r="E19" s="122"/>
      <c r="F19" s="118"/>
      <c r="G19" s="117"/>
    </row>
    <row r="20" spans="1:7" ht="12.75">
      <c r="A20" s="78" t="s">
        <v>59</v>
      </c>
      <c r="B20" s="120">
        <f>'[6]7-1 ALLOCATION - Base Rev. Req.'!$H$66</f>
        <v>654</v>
      </c>
      <c r="C20" s="81">
        <f>'Rate Class Customer Model'!D10</f>
        <v>662</v>
      </c>
      <c r="D20" s="120">
        <f>'Rate Class Customer Model'!D11</f>
        <v>682</v>
      </c>
      <c r="E20" s="81">
        <f>'Rate Class Customer Model'!D12</f>
        <v>677</v>
      </c>
      <c r="F20" s="120">
        <f>'Rate Class Customer Model'!D13</f>
        <v>709</v>
      </c>
      <c r="G20" s="93">
        <f>'Rate Class Customer Model'!D14</f>
        <v>724.4810782301834</v>
      </c>
    </row>
    <row r="21" spans="1:7" ht="12.75">
      <c r="A21" s="85" t="s">
        <v>60</v>
      </c>
      <c r="B21" s="24">
        <f>'[6]7-1 ALLOCATION - Base Rev. Req.'!$M$66</f>
        <v>454023069.90038174</v>
      </c>
      <c r="C21" s="116">
        <f>'Rate Class Energy Model'!J17</f>
        <v>470126973.53655183</v>
      </c>
      <c r="D21" s="24">
        <f>'Rate Class Energy Model'!J18</f>
        <v>484236276.2012691</v>
      </c>
      <c r="E21" s="116">
        <f>'Rate Class Energy Model'!J19</f>
        <v>469318625.82225275</v>
      </c>
      <c r="F21" s="24">
        <f>'Rate Class Energy Model'!J61</f>
        <v>486919825.4026313</v>
      </c>
      <c r="G21" s="117">
        <f>'Rate Class Energy Model'!J62</f>
        <v>481564657.05452675</v>
      </c>
    </row>
    <row r="22" spans="1:7" ht="12.75">
      <c r="A22" s="78" t="s">
        <v>61</v>
      </c>
      <c r="B22" s="120">
        <f>'[6]7-1 ALLOCATION - Base Rev. Req.'!$S$66</f>
        <v>1522376.8050994799</v>
      </c>
      <c r="C22" s="81">
        <f>'Rate Class Load Model'!B9</f>
        <v>1279604</v>
      </c>
      <c r="D22" s="120">
        <f>'Rate Class Load Model'!B10</f>
        <v>1274858</v>
      </c>
      <c r="E22" s="81">
        <f>'Rate Class Load Model'!B11</f>
        <v>1244174</v>
      </c>
      <c r="F22" s="120">
        <f>'Rate Class Load Model'!B12</f>
        <v>1292571.9205545846</v>
      </c>
      <c r="G22" s="93">
        <f>'Rate Class Load Model'!B13</f>
        <v>1278356.1505746318</v>
      </c>
    </row>
    <row r="23" spans="1:7" ht="12.75">
      <c r="A23" s="85"/>
      <c r="B23" s="118"/>
      <c r="C23" s="122"/>
      <c r="D23" s="118"/>
      <c r="E23" s="122"/>
      <c r="F23" s="118"/>
      <c r="G23" s="87"/>
    </row>
    <row r="24" spans="1:7" ht="12.75">
      <c r="A24" s="157" t="str">
        <f>'Rate Class Energy Model'!K2</f>
        <v>General Service &gt; 1000 to 4999 kW</v>
      </c>
      <c r="B24" s="167"/>
      <c r="C24" s="155"/>
      <c r="D24" s="167"/>
      <c r="E24" s="155"/>
      <c r="F24" s="167"/>
      <c r="G24" s="93"/>
    </row>
    <row r="25" spans="1:7" ht="12.75">
      <c r="A25" s="85" t="s">
        <v>59</v>
      </c>
      <c r="B25" s="24">
        <f>'[6]7-1 ALLOCATION - Base Rev. Req.'!$H$70</f>
        <v>27</v>
      </c>
      <c r="C25" s="116">
        <f>'Rate Class Customer Model'!E10</f>
        <v>29</v>
      </c>
      <c r="D25" s="24">
        <f>'Rate Class Customer Model'!E11</f>
        <v>28</v>
      </c>
      <c r="E25" s="116">
        <f>'Rate Class Customer Model'!E12</f>
        <v>28</v>
      </c>
      <c r="F25" s="24">
        <f>'Rate Class Customer Model'!E13</f>
        <v>25</v>
      </c>
      <c r="G25" s="117">
        <f>'Rate Class Customer Model'!E14</f>
        <v>25</v>
      </c>
    </row>
    <row r="26" spans="1:7" ht="12.75">
      <c r="A26" s="78" t="s">
        <v>60</v>
      </c>
      <c r="B26" s="120">
        <f>'[6]7-1 ALLOCATION - Base Rev. Req.'!$M$70</f>
        <v>263549349.0928205</v>
      </c>
      <c r="C26" s="81">
        <f>'Rate Class Energy Model'!K17</f>
        <v>278109293.96822536</v>
      </c>
      <c r="D26" s="120">
        <f>'Rate Class Energy Model'!K18</f>
        <v>256451885.89998102</v>
      </c>
      <c r="E26" s="81">
        <f>'Rate Class Energy Model'!K19</f>
        <v>249869850.91122985</v>
      </c>
      <c r="F26" s="120">
        <f>'Rate Class Energy Model'!K61</f>
        <v>219335012.83372286</v>
      </c>
      <c r="G26" s="93">
        <f>'Rate Class Energy Model'!K62</f>
        <v>213287178.73063365</v>
      </c>
    </row>
    <row r="27" spans="1:7" ht="12.75">
      <c r="A27" s="85" t="s">
        <v>61</v>
      </c>
      <c r="B27" s="24">
        <f>'[6]7-1 ALLOCATION - Base Rev. Req.'!$S$70</f>
        <v>748240.4051282052</v>
      </c>
      <c r="C27" s="116">
        <f>'Rate Class Load Model'!C9</f>
        <v>618222</v>
      </c>
      <c r="D27" s="24">
        <f>'Rate Class Load Model'!C10</f>
        <v>571091</v>
      </c>
      <c r="E27" s="116">
        <f>'Rate Class Load Model'!C11</f>
        <v>554036</v>
      </c>
      <c r="F27" s="24">
        <f>'Rate Class Load Model'!C12</f>
        <v>469750.0002402517</v>
      </c>
      <c r="G27" s="117">
        <f>'Rate Class Load Model'!C13</f>
        <v>456797.3483372339</v>
      </c>
    </row>
    <row r="28" spans="1:7" ht="12.75">
      <c r="A28" s="78"/>
      <c r="B28" s="167"/>
      <c r="C28" s="155"/>
      <c r="D28" s="167"/>
      <c r="E28" s="155"/>
      <c r="F28" s="167"/>
      <c r="G28" s="80"/>
    </row>
    <row r="29" spans="1:7" ht="12.75">
      <c r="A29" s="162" t="str">
        <f>'Rate Class Energy Model'!L2</f>
        <v>General Service &gt; 5000 kW</v>
      </c>
      <c r="B29" s="118"/>
      <c r="C29" s="122"/>
      <c r="D29" s="118"/>
      <c r="E29" s="122"/>
      <c r="F29" s="118"/>
      <c r="G29" s="87"/>
    </row>
    <row r="30" spans="1:7" ht="12.75">
      <c r="A30" s="78" t="s">
        <v>59</v>
      </c>
      <c r="B30" s="120">
        <f>'[6]7-1 ALLOCATION - Base Rev. Req.'!$H$90</f>
        <v>3</v>
      </c>
      <c r="C30" s="81">
        <f>'Rate Class Customer Model'!F10</f>
        <v>3</v>
      </c>
      <c r="D30" s="120">
        <f>'Rate Class Customer Model'!F11</f>
        <v>3</v>
      </c>
      <c r="E30" s="81">
        <f>'Rate Class Customer Model'!F12</f>
        <v>3</v>
      </c>
      <c r="F30" s="120">
        <f>'Rate Class Customer Model'!F13</f>
        <v>2</v>
      </c>
      <c r="G30" s="93">
        <f>'Rate Class Customer Model'!F14</f>
        <v>2</v>
      </c>
    </row>
    <row r="31" spans="1:7" ht="12.75">
      <c r="A31" s="85" t="s">
        <v>60</v>
      </c>
      <c r="B31" s="24">
        <f>'[6]7-1 ALLOCATION - Base Rev. Req.'!$M$90</f>
        <v>239081405.3333333</v>
      </c>
      <c r="C31" s="116">
        <f>'Rate Class Energy Model'!L17</f>
        <v>252101813.91</v>
      </c>
      <c r="D31" s="24">
        <f>'Rate Class Energy Model'!L18</f>
        <v>252092348.4799913</v>
      </c>
      <c r="E31" s="116">
        <f>'Rate Class Energy Model'!L19</f>
        <v>230297755.10999835</v>
      </c>
      <c r="F31" s="24">
        <f>'Rate Class Energy Model'!L61</f>
        <v>156391831.21741718</v>
      </c>
      <c r="G31" s="117">
        <f>'Rate Class Energy Model'!L62</f>
        <v>159305101.73571754</v>
      </c>
    </row>
    <row r="32" spans="1:7" ht="12.75">
      <c r="A32" s="78" t="s">
        <v>61</v>
      </c>
      <c r="B32" s="120">
        <f>'[6]7-1 ALLOCATION - Base Rev. Req.'!$S$90</f>
        <v>435330.0000000001</v>
      </c>
      <c r="C32" s="81">
        <f>'Rate Class Load Model'!D9</f>
        <v>472853</v>
      </c>
      <c r="D32" s="120">
        <f>'Rate Class Load Model'!D10</f>
        <v>481509</v>
      </c>
      <c r="E32" s="81">
        <f>'Rate Class Load Model'!D11</f>
        <v>446448</v>
      </c>
      <c r="F32" s="120">
        <f>'Rate Class Load Model'!D12</f>
        <v>295588.2741922768</v>
      </c>
      <c r="G32" s="93">
        <f>'Rate Class Load Model'!D13</f>
        <v>301094.49915336503</v>
      </c>
    </row>
    <row r="33" spans="1:7" ht="12.75">
      <c r="A33" s="85"/>
      <c r="B33" s="118"/>
      <c r="C33" s="122"/>
      <c r="D33" s="118"/>
      <c r="E33" s="122"/>
      <c r="F33" s="118"/>
      <c r="G33" s="117"/>
    </row>
    <row r="34" spans="1:7" ht="12.75">
      <c r="A34" s="157" t="str">
        <f>'Rate Class Energy Model'!M2</f>
        <v>Street Lights</v>
      </c>
      <c r="B34" s="167"/>
      <c r="C34" s="155"/>
      <c r="D34" s="167"/>
      <c r="E34" s="155"/>
      <c r="F34" s="167"/>
      <c r="G34" s="80"/>
    </row>
    <row r="35" spans="1:7" ht="12.75">
      <c r="A35" s="85" t="s">
        <v>70</v>
      </c>
      <c r="B35" s="24">
        <f>'[6]7-1 ALLOCATION - Base Rev. Req.'!$H$103</f>
        <v>11889</v>
      </c>
      <c r="C35" s="116">
        <f>'Rate Class Customer Model'!G10</f>
        <v>12136.5</v>
      </c>
      <c r="D35" s="24">
        <f>'Rate Class Customer Model'!G11</f>
        <v>12338</v>
      </c>
      <c r="E35" s="116">
        <f>'Rate Class Customer Model'!G12</f>
        <v>12393</v>
      </c>
      <c r="F35" s="24">
        <f>'Rate Class Customer Model'!G13</f>
        <v>12553.7163432898</v>
      </c>
      <c r="G35" s="117">
        <f>'Rate Class Customer Model'!G14</f>
        <v>12716.516906945972</v>
      </c>
    </row>
    <row r="36" spans="1:7" ht="12.75">
      <c r="A36" s="78" t="s">
        <v>60</v>
      </c>
      <c r="B36" s="120">
        <f>'[6]7-1 ALLOCATION - Base Rev. Req.'!$M$103</f>
        <v>9206583.63205185</v>
      </c>
      <c r="C36" s="81">
        <f>'Rate Class Energy Model'!M17</f>
        <v>9300557.837679066</v>
      </c>
      <c r="D36" s="120">
        <f>'Rate Class Energy Model'!M18</f>
        <v>9442831.87998437</v>
      </c>
      <c r="E36" s="81">
        <f>'Rate Class Energy Model'!M19</f>
        <v>9448889.96999053</v>
      </c>
      <c r="F36" s="120">
        <f>'Rate Class Energy Model'!M61</f>
        <v>9459567.369612705</v>
      </c>
      <c r="G36" s="93">
        <f>'Rate Class Energy Model'!M62</f>
        <v>9470256.834870426</v>
      </c>
    </row>
    <row r="37" spans="1:7" ht="12.75">
      <c r="A37" s="85" t="s">
        <v>61</v>
      </c>
      <c r="B37" s="24">
        <f>'[6]7-1 ALLOCATION - Base Rev. Req.'!$S$103</f>
        <v>24171.162569892873</v>
      </c>
      <c r="C37" s="116">
        <f>'Rate Class Load Model'!E9</f>
        <v>24008</v>
      </c>
      <c r="D37" s="24">
        <f>'Rate Class Load Model'!E10</f>
        <v>24182</v>
      </c>
      <c r="E37" s="116">
        <f>'Rate Class Load Model'!E11</f>
        <v>24090</v>
      </c>
      <c r="F37" s="24">
        <f>'Rate Class Load Model'!E12</f>
        <v>24704.171919105724</v>
      </c>
      <c r="G37" s="117">
        <f>'Rate Class Load Model'!E13</f>
        <v>24732.0880358933</v>
      </c>
    </row>
    <row r="38" spans="1:7" ht="12.75">
      <c r="A38" s="78"/>
      <c r="B38" s="167"/>
      <c r="C38" s="155"/>
      <c r="D38" s="167"/>
      <c r="E38" s="155"/>
      <c r="F38" s="167"/>
      <c r="G38" s="80"/>
    </row>
    <row r="39" spans="1:7" ht="12.75">
      <c r="A39" s="162" t="str">
        <f>'Rate Class Energy Model'!N2</f>
        <v>Unmetered Loads </v>
      </c>
      <c r="B39" s="118"/>
      <c r="C39" s="122"/>
      <c r="D39" s="118"/>
      <c r="E39" s="122"/>
      <c r="F39" s="118"/>
      <c r="G39" s="87"/>
    </row>
    <row r="40" spans="1:8" ht="12.75">
      <c r="A40" s="85" t="s">
        <v>70</v>
      </c>
      <c r="B40" s="24">
        <f>'[6]7-1 ALLOCATION - Base Rev. Req.'!$H$94</f>
        <v>537</v>
      </c>
      <c r="C40" s="116">
        <f>'Rate Class Customer Model'!H10</f>
        <v>516</v>
      </c>
      <c r="D40" s="24">
        <f>'Rate Class Customer Model'!H11</f>
        <v>456</v>
      </c>
      <c r="E40" s="116">
        <f>'Rate Class Customer Model'!H12</f>
        <v>458</v>
      </c>
      <c r="F40" s="24">
        <f>'Rate Class Customer Model'!H13</f>
        <v>538</v>
      </c>
      <c r="G40" s="117">
        <f>'Rate Class Customer Model'!H14</f>
        <v>506.86250295245236</v>
      </c>
      <c r="H40" s="6"/>
    </row>
    <row r="41" spans="1:7" ht="12.75">
      <c r="A41" s="78" t="s">
        <v>60</v>
      </c>
      <c r="B41" s="120">
        <f>'[6]7-1 ALLOCATION - Base Rev. Req.'!$M$94</f>
        <v>3557810.0116731515</v>
      </c>
      <c r="C41" s="81">
        <f>'Rate Class Energy Model'!N17</f>
        <v>2997301.8710786607</v>
      </c>
      <c r="D41" s="120">
        <f>'Rate Class Energy Model'!N18</f>
        <v>2201009.0107126483</v>
      </c>
      <c r="E41" s="81">
        <f>'Rate Class Energy Model'!N19</f>
        <v>2112232.2379896585</v>
      </c>
      <c r="F41" s="120">
        <f>'Rate Class Energy Model'!N61</f>
        <v>2210834.164567069</v>
      </c>
      <c r="G41" s="93">
        <f>'Rate Class Energy Model'!N62</f>
        <v>1855930.7105474856</v>
      </c>
    </row>
    <row r="42" spans="1:7" ht="12.75">
      <c r="A42" s="85"/>
      <c r="B42" s="24"/>
      <c r="C42" s="116"/>
      <c r="D42" s="24"/>
      <c r="E42" s="116"/>
      <c r="F42" s="24"/>
      <c r="G42" s="117"/>
    </row>
    <row r="43" spans="1:7" ht="12.75">
      <c r="A43" s="157" t="s">
        <v>91</v>
      </c>
      <c r="B43" s="167"/>
      <c r="C43" s="155"/>
      <c r="D43" s="167"/>
      <c r="E43" s="155"/>
      <c r="F43" s="167"/>
      <c r="G43" s="80"/>
    </row>
    <row r="44" spans="1:7" ht="12.75">
      <c r="A44" s="85" t="s">
        <v>59</v>
      </c>
      <c r="B44" s="24"/>
      <c r="C44" s="116"/>
      <c r="D44" s="24"/>
      <c r="E44" s="116"/>
      <c r="F44" s="24">
        <v>2</v>
      </c>
      <c r="G44" s="117">
        <v>2</v>
      </c>
    </row>
    <row r="45" spans="1:7" ht="12.75">
      <c r="A45" s="78" t="s">
        <v>60</v>
      </c>
      <c r="B45" s="120"/>
      <c r="C45" s="81"/>
      <c r="D45" s="120"/>
      <c r="E45" s="81"/>
      <c r="F45" s="120">
        <f>(F31/F32)*F46</f>
        <v>54636669.49113292</v>
      </c>
      <c r="G45" s="93">
        <f>(G31/G32)*G46</f>
        <v>54636669.49113292</v>
      </c>
    </row>
    <row r="46" spans="1:7" ht="12.75">
      <c r="A46" s="85" t="s">
        <v>61</v>
      </c>
      <c r="B46" s="24"/>
      <c r="C46" s="116"/>
      <c r="D46" s="24"/>
      <c r="E46" s="116"/>
      <c r="F46" s="24">
        <f>F60</f>
        <v>103266</v>
      </c>
      <c r="G46" s="117">
        <f>G60</f>
        <v>103266</v>
      </c>
    </row>
    <row r="47" spans="1:7" ht="12.75">
      <c r="A47" s="78"/>
      <c r="B47" s="167"/>
      <c r="C47" s="155"/>
      <c r="D47" s="167"/>
      <c r="E47" s="155"/>
      <c r="F47" s="167"/>
      <c r="G47" s="80"/>
    </row>
    <row r="48" spans="1:7" ht="12.75">
      <c r="A48" s="162" t="s">
        <v>12</v>
      </c>
      <c r="B48" s="118"/>
      <c r="C48" s="122"/>
      <c r="D48" s="118"/>
      <c r="E48" s="122"/>
      <c r="F48" s="118"/>
      <c r="G48" s="87"/>
    </row>
    <row r="49" spans="1:7" ht="12.75">
      <c r="A49" s="78" t="s">
        <v>72</v>
      </c>
      <c r="B49" s="120">
        <f aca="true" t="shared" si="0" ref="B49:E51">B12+B16+B20+B25+B30+B35+B40</f>
        <v>58885</v>
      </c>
      <c r="C49" s="81">
        <f t="shared" si="0"/>
        <v>60171.5</v>
      </c>
      <c r="D49" s="120">
        <f t="shared" si="0"/>
        <v>61209</v>
      </c>
      <c r="E49" s="81">
        <f t="shared" si="0"/>
        <v>61617</v>
      </c>
      <c r="F49" s="120">
        <f>F12+F16+F20+F25+F30+F35+F40+F44</f>
        <v>62725.7163432898</v>
      </c>
      <c r="G49" s="93">
        <f>G12+G16+G20+G25+G30+G35+G40+G44</f>
        <v>63776.009146564684</v>
      </c>
    </row>
    <row r="50" spans="1:8" ht="12.75">
      <c r="A50" s="85" t="s">
        <v>60</v>
      </c>
      <c r="B50" s="24">
        <f t="shared" si="0"/>
        <v>1519110995.2789378</v>
      </c>
      <c r="C50" s="116">
        <f>C13+C17+C21+C26+C31+C36+C41</f>
        <v>1561102859.585294</v>
      </c>
      <c r="D50" s="24">
        <f>D13+D17+D21+D26+D31+D36+D41</f>
        <v>1566589591.6161513</v>
      </c>
      <c r="E50" s="116">
        <f>E13+E17+E21+E26+E31+E36+E41</f>
        <v>1518625683.1198359</v>
      </c>
      <c r="F50" s="24">
        <f>F13+F17+F21+F26+F31+F36+F41+F45</f>
        <v>1485820656.8446643</v>
      </c>
      <c r="G50" s="117">
        <f>G13+G17+G21+G26+G31+G36+G41+G45</f>
        <v>1447400228.8957384</v>
      </c>
      <c r="H50" s="74">
        <f>G50-G45</f>
        <v>1392763559.4046054</v>
      </c>
    </row>
    <row r="51" spans="1:7" ht="12.75">
      <c r="A51" s="84" t="s">
        <v>71</v>
      </c>
      <c r="B51" s="126">
        <f t="shared" si="0"/>
        <v>2730118.372797578</v>
      </c>
      <c r="C51" s="94">
        <f>C22+C27+C32+C37</f>
        <v>2394687</v>
      </c>
      <c r="D51" s="126">
        <f>D22+D27+D32+D37</f>
        <v>2351640</v>
      </c>
      <c r="E51" s="94">
        <f>E22+E27+E32+E37</f>
        <v>2268748</v>
      </c>
      <c r="F51" s="126">
        <f>F22+F27+F32+F37+F46</f>
        <v>2185880.366906219</v>
      </c>
      <c r="G51" s="95">
        <f>G22+G27+G32+G37+G46</f>
        <v>2164246.086101124</v>
      </c>
    </row>
    <row r="52" spans="2:6" ht="12.75">
      <c r="B52" s="6"/>
      <c r="C52" s="6"/>
      <c r="E52" s="6"/>
      <c r="F52" s="6"/>
    </row>
    <row r="53" spans="2:7" ht="12.75">
      <c r="B53" s="6"/>
      <c r="C53" s="6">
        <f>'Rate Class Customer Model'!I10</f>
        <v>60171.5</v>
      </c>
      <c r="D53" s="6">
        <f>'Rate Class Customer Model'!I11</f>
        <v>61209</v>
      </c>
      <c r="E53" s="6">
        <f>'Rate Class Customer Model'!I12</f>
        <v>61617</v>
      </c>
      <c r="F53" s="6">
        <f>'Rate Class Customer Model'!I13</f>
        <v>62723.7163432898</v>
      </c>
      <c r="G53" s="6">
        <f>'Rate Class Customer Model'!I14</f>
        <v>63774.009146564684</v>
      </c>
    </row>
    <row r="54" spans="2:7" ht="12.75">
      <c r="B54" s="6"/>
      <c r="C54" s="6">
        <f>'Rate Class Energy Model'!G17</f>
        <v>1561102859.585294</v>
      </c>
      <c r="D54" s="6">
        <f>'Rate Class Energy Model'!G18</f>
        <v>1566589591.6161513</v>
      </c>
      <c r="E54" s="6">
        <f>'Rate Class Energy Model'!G19</f>
        <v>1518625683.1198359</v>
      </c>
      <c r="F54" s="6">
        <f>'Rate Class Energy Model'!G20</f>
        <v>1431183987.3535314</v>
      </c>
      <c r="G54" s="6">
        <f>'Rate Class Energy Model'!G21</f>
        <v>1392763559.4046054</v>
      </c>
    </row>
    <row r="55" spans="2:7" ht="12.75">
      <c r="B55" s="6"/>
      <c r="C55" s="6">
        <f>'Rate Class Load Model'!F9</f>
        <v>2394687</v>
      </c>
      <c r="D55" s="6">
        <f>'Rate Class Load Model'!F10</f>
        <v>2351640</v>
      </c>
      <c r="E55" s="6">
        <f>'Rate Class Load Model'!F11</f>
        <v>2268748</v>
      </c>
      <c r="F55" s="6">
        <f>'Rate Class Load Model'!F12</f>
        <v>2082614.366906219</v>
      </c>
      <c r="G55" s="6">
        <f>'Rate Class Load Model'!F13</f>
        <v>2060980.0861011238</v>
      </c>
    </row>
    <row r="57" ht="12.75">
      <c r="A57" t="s">
        <v>92</v>
      </c>
    </row>
    <row r="58" spans="1:7" ht="12.75">
      <c r="A58" t="s">
        <v>93</v>
      </c>
      <c r="F58" s="150">
        <f>76261</f>
        <v>76261</v>
      </c>
      <c r="G58" s="150">
        <f>76261</f>
        <v>76261</v>
      </c>
    </row>
    <row r="59" spans="1:7" ht="12.75">
      <c r="A59" t="s">
        <v>94</v>
      </c>
      <c r="F59" s="150">
        <v>27005</v>
      </c>
      <c r="G59" s="150">
        <v>27005</v>
      </c>
    </row>
    <row r="60" spans="2:7" ht="12.75">
      <c r="B60" s="6"/>
      <c r="F60" s="72">
        <f>SUM(F58:F59)</f>
        <v>103266</v>
      </c>
      <c r="G60" s="72">
        <f>SUM(G58:G59)</f>
        <v>103266</v>
      </c>
    </row>
    <row r="61" ht="12.75">
      <c r="B61" s="6"/>
    </row>
    <row r="62" ht="12.75">
      <c r="B62" s="6"/>
    </row>
  </sheetData>
  <printOptions/>
  <pageMargins left="0.38" right="0.75" top="0.73" bottom="0.74" header="0.5" footer="0.5"/>
  <pageSetup fitToHeight="1" fitToWidth="1" horizontalDpi="600" verticalDpi="600" orientation="landscape" scale="65" r:id="rId1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8">
      <selection activeCell="C106" sqref="C106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21.57421875" style="0" customWidth="1"/>
    <col min="4" max="4" width="12.7109375" style="0" customWidth="1"/>
  </cols>
  <sheetData>
    <row r="1" spans="3:4" ht="12.75">
      <c r="C1" s="184" t="s">
        <v>30</v>
      </c>
      <c r="D1" s="178" t="s">
        <v>154</v>
      </c>
    </row>
    <row r="2" spans="1:4" ht="12.75">
      <c r="A2" s="20"/>
      <c r="C2" s="198" t="s">
        <v>31</v>
      </c>
      <c r="D2" s="201">
        <f>'Purchased Power Model'!O112</f>
        <v>0.9781821764540304</v>
      </c>
    </row>
    <row r="3" spans="3:4" ht="12.75">
      <c r="C3" s="198" t="s">
        <v>32</v>
      </c>
      <c r="D3" s="201">
        <f>'Purchased Power Model'!O113</f>
        <v>0.9568403703323439</v>
      </c>
    </row>
    <row r="4" spans="3:4" ht="12.75">
      <c r="C4" s="198" t="s">
        <v>33</v>
      </c>
      <c r="D4" s="201">
        <f>'Purchased Power Model'!O114</f>
        <v>0.95449154694907</v>
      </c>
    </row>
    <row r="5" spans="1:4" ht="12.75">
      <c r="A5" s="45"/>
      <c r="B5" s="1"/>
      <c r="C5" s="198" t="s">
        <v>152</v>
      </c>
      <c r="D5" s="202">
        <f>'Purchased Power Model'!R120</f>
        <v>407.37008033302857</v>
      </c>
    </row>
    <row r="6" spans="3:4" ht="12.75">
      <c r="C6" s="118"/>
      <c r="D6" s="199"/>
    </row>
    <row r="7" spans="1:4" ht="12.75">
      <c r="A7" s="45"/>
      <c r="B7" s="196"/>
      <c r="C7" s="198" t="s">
        <v>153</v>
      </c>
      <c r="D7" s="199"/>
    </row>
    <row r="8" spans="1:4" ht="12.75">
      <c r="A8" s="45"/>
      <c r="B8" s="196"/>
      <c r="C8" s="200" t="s">
        <v>39</v>
      </c>
      <c r="D8" s="203">
        <f>'Purchased Power Model'!Q125</f>
        <v>-6.896419192626087</v>
      </c>
    </row>
    <row r="9" spans="1:4" ht="12.75">
      <c r="A9" s="45"/>
      <c r="B9" s="196"/>
      <c r="C9" s="200" t="s">
        <v>4</v>
      </c>
      <c r="D9" s="203">
        <f>'Purchased Power Model'!Q126</f>
        <v>12.912605656773806</v>
      </c>
    </row>
    <row r="10" spans="1:4" ht="12.75">
      <c r="A10" s="45"/>
      <c r="B10" s="196"/>
      <c r="C10" s="200" t="s">
        <v>5</v>
      </c>
      <c r="D10" s="203">
        <f>'Purchased Power Model'!Q127</f>
        <v>5.743011667381623</v>
      </c>
    </row>
    <row r="11" spans="1:4" ht="12.75">
      <c r="A11" s="45"/>
      <c r="B11" s="196"/>
      <c r="C11" s="200" t="s">
        <v>8</v>
      </c>
      <c r="D11" s="203">
        <f>'Purchased Power Model'!Q128</f>
        <v>4.074994252712496</v>
      </c>
    </row>
    <row r="12" spans="1:4" ht="12.75">
      <c r="A12" s="45"/>
      <c r="B12" s="196"/>
      <c r="C12" s="200" t="s">
        <v>6</v>
      </c>
      <c r="D12" s="203">
        <f>'Purchased Power Model'!Q129</f>
        <v>7.474426224775108</v>
      </c>
    </row>
    <row r="13" spans="1:4" ht="12.75">
      <c r="A13" s="45"/>
      <c r="B13" s="196"/>
      <c r="C13" s="200" t="s">
        <v>28</v>
      </c>
      <c r="D13" s="203">
        <f>'Purchased Power Model'!Q130</f>
        <v>0.1309087220626931</v>
      </c>
    </row>
    <row r="14" spans="1:4" ht="12.75">
      <c r="A14" s="45"/>
      <c r="B14" s="196"/>
      <c r="C14" s="200" t="s">
        <v>87</v>
      </c>
      <c r="D14" s="203">
        <f>'Purchased Power Model'!Q131</f>
        <v>2.013693336484257</v>
      </c>
    </row>
    <row r="15" spans="1:4" ht="12.75">
      <c r="A15" s="45"/>
      <c r="B15" s="196"/>
      <c r="C15" s="200" t="s">
        <v>7</v>
      </c>
      <c r="D15" s="203">
        <f>'Purchased Power Model'!Q132</f>
        <v>8.77763076683747</v>
      </c>
    </row>
    <row r="16" spans="1:4" ht="12.75">
      <c r="A16" s="45"/>
      <c r="B16" s="196"/>
      <c r="C16" s="200" t="s">
        <v>151</v>
      </c>
      <c r="D16" s="203">
        <f>'Purchased Power Model'!Q133</f>
        <v>-6.828642236950027</v>
      </c>
    </row>
    <row r="17" spans="1:4" ht="12.75">
      <c r="A17" s="45"/>
      <c r="B17" s="196"/>
      <c r="C17" s="200" t="s">
        <v>157</v>
      </c>
      <c r="D17" s="199"/>
    </row>
    <row r="18" spans="1:4" ht="12.75">
      <c r="A18" s="45"/>
      <c r="B18" s="196"/>
      <c r="C18" s="200" t="s">
        <v>155</v>
      </c>
      <c r="D18" s="204">
        <f>'Rate Class Energy Model'!C20</f>
        <v>1468651648.210675</v>
      </c>
    </row>
    <row r="19" spans="1:4" ht="12.75">
      <c r="A19" s="45"/>
      <c r="B19" s="196"/>
      <c r="C19" s="200" t="s">
        <v>156</v>
      </c>
      <c r="D19" s="204">
        <f>'Rate Class Energy Model'!C21</f>
        <v>1429225393.2142859</v>
      </c>
    </row>
    <row r="20" spans="1:3" ht="12.75">
      <c r="A20" s="45"/>
      <c r="B20" s="196"/>
      <c r="C20" s="196"/>
    </row>
    <row r="21" spans="1:3" ht="12.75">
      <c r="A21" s="45"/>
      <c r="B21" s="196"/>
      <c r="C21" s="196"/>
    </row>
    <row r="22" spans="1:3" ht="12.75">
      <c r="A22" s="45"/>
      <c r="B22" s="196"/>
      <c r="C22" s="196"/>
    </row>
    <row r="23" spans="1:3" ht="12.75">
      <c r="A23" s="45"/>
      <c r="B23" s="196"/>
      <c r="C23" s="196"/>
    </row>
    <row r="24" spans="2:3" ht="12.75">
      <c r="B24" s="197"/>
      <c r="C24" s="197"/>
    </row>
    <row r="49" ht="12.75">
      <c r="A49" s="20" t="s">
        <v>112</v>
      </c>
    </row>
    <row r="51" ht="27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Ravi Baichan</cp:lastModifiedBy>
  <cp:lastPrinted>2009-11-15T16:05:25Z</cp:lastPrinted>
  <dcterms:created xsi:type="dcterms:W3CDTF">2008-02-06T18:24:44Z</dcterms:created>
  <dcterms:modified xsi:type="dcterms:W3CDTF">2010-01-13T20:22:52Z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