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2"/>
  </bookViews>
  <sheets>
    <sheet name="included J F 2010" sheetId="1" r:id="rId1"/>
    <sheet name="Interest Calc" sheetId="2" r:id="rId2"/>
    <sheet name="Refund" sheetId="3" r:id="rId3"/>
  </sheets>
  <definedNames/>
  <calcPr fullCalcOnLoad="1"/>
</workbook>
</file>

<file path=xl/sharedStrings.xml><?xml version="1.0" encoding="utf-8"?>
<sst xmlns="http://schemas.openxmlformats.org/spreadsheetml/2006/main" count="279" uniqueCount="70">
  <si>
    <t>Dutton Rates</t>
  </si>
  <si>
    <t>Residential</t>
  </si>
  <si>
    <t>General Service less</t>
  </si>
  <si>
    <t>Street Lighting</t>
  </si>
  <si>
    <t>2005 Rates</t>
  </si>
  <si>
    <t>Difference</t>
  </si>
  <si>
    <t xml:space="preserve">No. of </t>
  </si>
  <si>
    <t>Customers</t>
  </si>
  <si>
    <t xml:space="preserve">Additional </t>
  </si>
  <si>
    <t>Income</t>
  </si>
  <si>
    <t>Volume</t>
  </si>
  <si>
    <t>Service Charge</t>
  </si>
  <si>
    <t>Volumetric Charge</t>
  </si>
  <si>
    <t>Residential - kwh</t>
  </si>
  <si>
    <t>General Service less - kwh</t>
  </si>
  <si>
    <t>Street Lighting - kw</t>
  </si>
  <si>
    <t>Amount</t>
  </si>
  <si>
    <t>12 Months</t>
  </si>
  <si>
    <t>8 Months</t>
  </si>
  <si>
    <t>StreetLight</t>
  </si>
  <si>
    <t>Sentinel Light</t>
  </si>
  <si>
    <t xml:space="preserve">Amount </t>
  </si>
  <si>
    <t>with Interest</t>
  </si>
  <si>
    <t>Total</t>
  </si>
  <si>
    <t>Dutton Hydro - Customer Refund</t>
  </si>
  <si>
    <t>Interest Calcuation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</si>
  <si>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</si>
  <si>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</si>
  <si>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</si>
  <si>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</si>
  <si>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</si>
  <si>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</si>
  <si>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</si>
  <si>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</si>
  <si>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</si>
  <si>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</si>
  <si>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</si>
  <si>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</si>
  <si>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</si>
  <si>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2005 Refund Amount</t>
  </si>
  <si>
    <t>Opening Balance</t>
  </si>
  <si>
    <t>Addtions</t>
  </si>
  <si>
    <t>Monthly Refund Amount</t>
  </si>
  <si>
    <t>Monthly Interest</t>
  </si>
  <si>
    <t>Street Light</t>
  </si>
  <si>
    <t>2006 Refund Amount</t>
  </si>
  <si>
    <t>2007 Refund Amount</t>
  </si>
  <si>
    <t>2008 Refund Amount</t>
  </si>
  <si>
    <t>2009 Refund Amount</t>
  </si>
  <si>
    <t>Total Refund Amount plus Interest</t>
  </si>
  <si>
    <t>Interest</t>
  </si>
  <si>
    <t>Balance- Additions</t>
  </si>
  <si>
    <t>No of Customers</t>
  </si>
  <si>
    <t>2 Months</t>
  </si>
  <si>
    <t>2010 Refund Amount</t>
  </si>
  <si>
    <t>Refund Amount</t>
  </si>
  <si>
    <t xml:space="preserve">Middlesex Power Distribution - Dutton Hydro </t>
  </si>
  <si>
    <t>Refund Rider and Regulatory Asset Recovery Rider</t>
  </si>
  <si>
    <t>Revenue Refund</t>
  </si>
  <si>
    <t>Residential Customers</t>
  </si>
  <si>
    <t>General Service &lt; 50 kW Customers</t>
  </si>
  <si>
    <t>Sentinel Lighting Connections</t>
  </si>
  <si>
    <t>Street Lighting Connections</t>
  </si>
  <si>
    <t>2008 kWh</t>
  </si>
  <si>
    <t>kW</t>
  </si>
  <si>
    <t>Proportion</t>
  </si>
  <si>
    <t>Rate</t>
  </si>
  <si>
    <t>Total Refund plus Interest</t>
  </si>
  <si>
    <t>2004 Rates</t>
  </si>
  <si>
    <t>Total of the Service and Volumetric Charge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</si>
</sst>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[$-1009]mmmm\ d\,\ yyyy"/>
    <numFmt numFmtId="168" formatCode="[$-409]h:mm:ss\ AM/PM"/>
    <numFmt numFmtId="169" formatCode="0.000"/>
    <numFmt numFmtId="170" formatCode="#,##0.0"/>
    <numFmt numFmtId="171" formatCode="#,##0.0000"/>
    <numFmt numFmtId="172" formatCode="_(&quot;$&quot;* #,##0.00_);_(&quot;$&quot;* \(#,##0.00\);_(&quot;$&quot;* &quot;-&quot;??_);_(@_)"/>
    <numFmt numFmtId="173" formatCode="_-&quot;$&quot;* #,##0.0000_-;\-&quot;$&quot;* #,##0.0000_-;_-&quot;$&quot;* &quot;-&quot;??_-;_-@_-"/>
    <numFmt numFmtId="174" formatCode="_-&quot;$&quot;* #,##0.0_-;\-&quot;$&quot;* #,##0.0_-;_-&quot;$&quot;* &quot;-&quot;??_-;_-@_-"/>
    <numFmt numFmtId="175" formatCode="_-&quot;$&quot;* #,##0_-;\-&quot;$&quot;* #,##0_-;_-&quot;$&quot;* &quot;-&quot;??_-;_-@_-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43" fontId="46" fillId="0" borderId="0" xfId="42" applyFont="1" applyBorder="1" applyAlignment="1">
      <alignment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66" fontId="46" fillId="0" borderId="0" xfId="42" applyNumberFormat="1" applyFont="1" applyAlignment="1">
      <alignment/>
    </xf>
    <xf numFmtId="166" fontId="46" fillId="0" borderId="0" xfId="42" applyNumberFormat="1" applyFont="1" applyBorder="1" applyAlignment="1">
      <alignment/>
    </xf>
    <xf numFmtId="0" fontId="46" fillId="0" borderId="0" xfId="0" applyFont="1" applyBorder="1" applyAlignment="1">
      <alignment/>
    </xf>
    <xf numFmtId="43" fontId="46" fillId="0" borderId="0" xfId="0" applyNumberFormat="1" applyFont="1" applyBorder="1" applyAlignment="1">
      <alignment/>
    </xf>
    <xf numFmtId="1" fontId="46" fillId="0" borderId="0" xfId="42" applyNumberFormat="1" applyFont="1" applyAlignment="1">
      <alignment/>
    </xf>
    <xf numFmtId="171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5" fillId="0" borderId="0" xfId="58" applyFont="1">
      <alignment/>
      <protection/>
    </xf>
    <xf numFmtId="0" fontId="2" fillId="0" borderId="0" xfId="58">
      <alignment/>
      <protection/>
    </xf>
    <xf numFmtId="0" fontId="2" fillId="0" borderId="0" xfId="58" applyAlignment="1">
      <alignment horizontal="center"/>
      <protection/>
    </xf>
    <xf numFmtId="10" fontId="2" fillId="0" borderId="0" xfId="62" applyNumberFormat="1" applyAlignment="1">
      <alignment horizontal="center"/>
    </xf>
    <xf numFmtId="0" fontId="6" fillId="0" borderId="11" xfId="58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>
      <alignment/>
      <protection/>
    </xf>
    <xf numFmtId="0" fontId="2" fillId="0" borderId="0" xfId="58" applyFont="1" applyAlignment="1">
      <alignment horizontal="center" wrapText="1"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2" fontId="2" fillId="0" borderId="0" xfId="46" applyNumberFormat="1" applyAlignment="1">
      <alignment/>
    </xf>
    <xf numFmtId="172" fontId="2" fillId="0" borderId="0" xfId="46" applyNumberFormat="1" applyBorder="1" applyAlignment="1">
      <alignment/>
    </xf>
    <xf numFmtId="172" fontId="2" fillId="0" borderId="0" xfId="58" applyNumberFormat="1" applyBorder="1">
      <alignment/>
      <protection/>
    </xf>
    <xf numFmtId="0" fontId="2" fillId="33" borderId="0" xfId="58" applyFill="1">
      <alignment/>
      <protection/>
    </xf>
    <xf numFmtId="172" fontId="2" fillId="33" borderId="0" xfId="58" applyNumberFormat="1" applyFill="1" applyBorder="1">
      <alignment/>
      <protection/>
    </xf>
    <xf numFmtId="172" fontId="2" fillId="0" borderId="0" xfId="58" applyNumberFormat="1" applyFont="1">
      <alignment/>
      <protection/>
    </xf>
    <xf numFmtId="44" fontId="2" fillId="0" borderId="0" xfId="58" applyNumberFormat="1">
      <alignment/>
      <protection/>
    </xf>
    <xf numFmtId="172" fontId="2" fillId="33" borderId="0" xfId="46" applyNumberFormat="1" applyFill="1" applyAlignment="1">
      <alignment/>
    </xf>
    <xf numFmtId="172" fontId="2" fillId="33" borderId="0" xfId="46" applyNumberFormat="1" applyFill="1" applyBorder="1" applyAlignment="1">
      <alignment/>
    </xf>
    <xf numFmtId="172" fontId="2" fillId="0" borderId="0" xfId="58" applyNumberFormat="1">
      <alignment/>
      <protection/>
    </xf>
    <xf numFmtId="0" fontId="46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2" fillId="0" borderId="12" xfId="58" applyBorder="1">
      <alignment/>
      <protection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horizontal="center"/>
      <protection/>
    </xf>
    <xf numFmtId="0" fontId="2" fillId="0" borderId="12" xfId="58" applyBorder="1" applyAlignment="1">
      <alignment horizontal="center"/>
      <protection/>
    </xf>
    <xf numFmtId="0" fontId="46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Alignment="1">
      <alignment horizontal="center"/>
    </xf>
    <xf numFmtId="166" fontId="0" fillId="0" borderId="0" xfId="42" applyNumberFormat="1" applyFont="1" applyAlignment="1">
      <alignment/>
    </xf>
    <xf numFmtId="173" fontId="0" fillId="0" borderId="0" xfId="44" applyNumberFormat="1" applyFont="1" applyAlignment="1">
      <alignment/>
    </xf>
    <xf numFmtId="166" fontId="0" fillId="0" borderId="13" xfId="0" applyNumberFormat="1" applyBorder="1" applyAlignment="1">
      <alignment/>
    </xf>
    <xf numFmtId="0" fontId="2" fillId="0" borderId="14" xfId="58" applyFont="1" applyBorder="1">
      <alignment/>
      <protection/>
    </xf>
    <xf numFmtId="0" fontId="2" fillId="0" borderId="14" xfId="58" applyBorder="1">
      <alignment/>
      <protection/>
    </xf>
    <xf numFmtId="0" fontId="46" fillId="0" borderId="11" xfId="0" applyFont="1" applyBorder="1" applyAlignment="1">
      <alignment/>
    </xf>
    <xf numFmtId="0" fontId="46" fillId="0" borderId="0" xfId="0" applyFont="1" applyBorder="1" applyAlignment="1" quotePrefix="1">
      <alignment/>
    </xf>
    <xf numFmtId="0" fontId="2" fillId="0" borderId="0" xfId="58" applyBorder="1">
      <alignment/>
      <protection/>
    </xf>
    <xf numFmtId="0" fontId="2" fillId="0" borderId="0" xfId="58" applyBorder="1" applyAlignment="1">
      <alignment horizontal="center"/>
      <protection/>
    </xf>
    <xf numFmtId="44" fontId="2" fillId="0" borderId="0" xfId="58" applyNumberFormat="1" applyBorder="1">
      <alignment/>
      <protection/>
    </xf>
    <xf numFmtId="0" fontId="2" fillId="0" borderId="0" xfId="58" applyFont="1" applyBorder="1" applyAlignment="1">
      <alignment horizontal="right"/>
      <protection/>
    </xf>
    <xf numFmtId="175" fontId="0" fillId="0" borderId="0" xfId="0" applyNumberFormat="1" applyAlignment="1">
      <alignment/>
    </xf>
    <xf numFmtId="175" fontId="0" fillId="0" borderId="13" xfId="44" applyNumberFormat="1" applyFont="1" applyBorder="1" applyAlignment="1">
      <alignment/>
    </xf>
    <xf numFmtId="166" fontId="46" fillId="0" borderId="0" xfId="0" applyNumberFormat="1" applyFont="1" applyAlignment="1">
      <alignment/>
    </xf>
    <xf numFmtId="166" fontId="46" fillId="0" borderId="0" xfId="0" applyNumberFormat="1" applyFont="1" applyBorder="1" applyAlignment="1">
      <alignment/>
    </xf>
    <xf numFmtId="177" fontId="2" fillId="0" borderId="0" xfId="46" applyNumberFormat="1" applyAlignment="1">
      <alignment/>
    </xf>
    <xf numFmtId="177" fontId="2" fillId="0" borderId="0" xfId="46" applyNumberFormat="1" applyBorder="1" applyAlignment="1">
      <alignment/>
    </xf>
    <xf numFmtId="177" fontId="2" fillId="0" borderId="0" xfId="58" applyNumberFormat="1" applyFont="1">
      <alignment/>
      <protection/>
    </xf>
    <xf numFmtId="177" fontId="2" fillId="0" borderId="0" xfId="58" applyNumberFormat="1">
      <alignment/>
      <protection/>
    </xf>
    <xf numFmtId="177" fontId="2" fillId="0" borderId="0" xfId="58" applyNumberFormat="1" applyBorder="1">
      <alignment/>
      <protection/>
    </xf>
    <xf numFmtId="177" fontId="2" fillId="0" borderId="14" xfId="58" applyNumberFormat="1" applyBorder="1">
      <alignment/>
      <protection/>
    </xf>
    <xf numFmtId="177" fontId="2" fillId="0" borderId="12" xfId="58" applyNumberFormat="1" applyFont="1" applyBorder="1" applyAlignment="1">
      <alignment horizontal="center"/>
      <protection/>
    </xf>
    <xf numFmtId="0" fontId="2" fillId="0" borderId="12" xfId="58" applyNumberFormat="1" applyBorder="1">
      <alignment/>
      <protection/>
    </xf>
    <xf numFmtId="0" fontId="2" fillId="0" borderId="12" xfId="42" applyNumberFormat="1" applyFont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71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  <xf numFmtId="171" fontId="46" fillId="0" borderId="10" xfId="0" applyNumberFormat="1" applyFont="1" applyBorder="1" applyAlignment="1">
      <alignment horizontal="center"/>
    </xf>
    <xf numFmtId="44" fontId="46" fillId="0" borderId="0" xfId="44" applyFont="1" applyAlignment="1">
      <alignment/>
    </xf>
    <xf numFmtId="175" fontId="46" fillId="0" borderId="0" xfId="44" applyNumberFormat="1" applyFont="1" applyAlignment="1">
      <alignment/>
    </xf>
    <xf numFmtId="175" fontId="0" fillId="0" borderId="0" xfId="44" applyNumberFormat="1" applyFont="1" applyAlignment="1">
      <alignment/>
    </xf>
    <xf numFmtId="175" fontId="46" fillId="0" borderId="13" xfId="44" applyNumberFormat="1" applyFont="1" applyBorder="1" applyAlignment="1">
      <alignment/>
    </xf>
    <xf numFmtId="44" fontId="46" fillId="0" borderId="14" xfId="44" applyFont="1" applyBorder="1" applyAlignment="1">
      <alignment/>
    </xf>
    <xf numFmtId="175" fontId="46" fillId="0" borderId="14" xfId="44" applyNumberFormat="1" applyFont="1" applyBorder="1" applyAlignment="1">
      <alignment/>
    </xf>
    <xf numFmtId="44" fontId="3" fillId="0" borderId="0" xfId="44" applyFont="1" applyFill="1" applyBorder="1" applyAlignment="1" applyProtection="1">
      <alignment vertical="center"/>
      <protection locked="0"/>
    </xf>
    <xf numFmtId="175" fontId="3" fillId="0" borderId="0" xfId="44" applyNumberFormat="1" applyFont="1" applyFill="1" applyBorder="1" applyAlignment="1" applyProtection="1">
      <alignment vertical="center"/>
      <protection locked="0"/>
    </xf>
    <xf numFmtId="44" fontId="4" fillId="0" borderId="0" xfId="44" applyFont="1" applyFill="1" applyBorder="1" applyAlignment="1" applyProtection="1">
      <alignment vertical="center"/>
      <protection locked="0"/>
    </xf>
    <xf numFmtId="178" fontId="0" fillId="0" borderId="0" xfId="61" applyNumberFormat="1" applyFont="1" applyAlignment="1">
      <alignment/>
    </xf>
    <xf numFmtId="10" fontId="0" fillId="0" borderId="13" xfId="0" applyNumberForma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PageLayoutView="0" workbookViewId="0" topLeftCell="A10">
      <selection activeCell="H36" sqref="H36"/>
    </sheetView>
  </sheetViews>
  <sheetFormatPr defaultColWidth="9.140625" defaultRowHeight="15"/>
  <cols>
    <col min="1" max="1" width="24.8515625" style="2" customWidth="1"/>
    <col min="2" max="2" width="11.00390625" style="2" customWidth="1"/>
    <col min="3" max="3" width="11.421875" style="2" customWidth="1"/>
    <col min="4" max="4" width="12.140625" style="2" customWidth="1"/>
    <col min="5" max="13" width="12.00390625" style="2" customWidth="1"/>
    <col min="14" max="14" width="15.28125" style="2" customWidth="1"/>
    <col min="15" max="15" width="13.28125" style="2" customWidth="1"/>
    <col min="16" max="16" width="15.28125" style="2" customWidth="1"/>
    <col min="17" max="17" width="16.140625" style="2" customWidth="1"/>
    <col min="18" max="16384" width="9.140625" style="2" customWidth="1"/>
  </cols>
  <sheetData>
    <row r="1" ht="15">
      <c r="A1" s="1" t="s">
        <v>0</v>
      </c>
    </row>
    <row r="4" spans="1:16" ht="15">
      <c r="A4" s="2" t="s">
        <v>11</v>
      </c>
      <c r="E4" s="3">
        <v>2005</v>
      </c>
      <c r="F4" s="3"/>
      <c r="G4" s="3">
        <v>2006</v>
      </c>
      <c r="H4" s="3"/>
      <c r="I4" s="3">
        <v>2007</v>
      </c>
      <c r="J4" s="3"/>
      <c r="K4" s="3">
        <v>2008</v>
      </c>
      <c r="L4" s="3"/>
      <c r="M4" s="3">
        <v>2009</v>
      </c>
      <c r="N4" s="3"/>
      <c r="O4" s="3">
        <v>2010</v>
      </c>
      <c r="P4" s="3"/>
    </row>
    <row r="5" spans="2:17" ht="15">
      <c r="B5" s="3"/>
      <c r="C5" s="3"/>
      <c r="D5" s="3"/>
      <c r="E5" s="3" t="s">
        <v>6</v>
      </c>
      <c r="F5" s="3" t="s">
        <v>18</v>
      </c>
      <c r="G5" s="3" t="s">
        <v>6</v>
      </c>
      <c r="H5" s="3" t="s">
        <v>17</v>
      </c>
      <c r="I5" s="3" t="s">
        <v>6</v>
      </c>
      <c r="J5" s="3" t="s">
        <v>17</v>
      </c>
      <c r="K5" s="3" t="s">
        <v>6</v>
      </c>
      <c r="L5" s="3" t="s">
        <v>17</v>
      </c>
      <c r="M5" s="3" t="s">
        <v>6</v>
      </c>
      <c r="N5" s="3" t="s">
        <v>17</v>
      </c>
      <c r="O5" s="72" t="s">
        <v>52</v>
      </c>
      <c r="P5" s="38" t="s">
        <v>53</v>
      </c>
      <c r="Q5" s="4" t="s">
        <v>8</v>
      </c>
    </row>
    <row r="6" spans="1:17" ht="15.75" thickBot="1">
      <c r="A6" s="5"/>
      <c r="B6" s="6" t="s">
        <v>68</v>
      </c>
      <c r="C6" s="6" t="s">
        <v>4</v>
      </c>
      <c r="D6" s="6" t="s">
        <v>5</v>
      </c>
      <c r="E6" s="6" t="s">
        <v>7</v>
      </c>
      <c r="F6" s="6" t="s">
        <v>16</v>
      </c>
      <c r="G6" s="6" t="s">
        <v>7</v>
      </c>
      <c r="H6" s="6" t="s">
        <v>16</v>
      </c>
      <c r="I6" s="6" t="s">
        <v>7</v>
      </c>
      <c r="J6" s="6" t="s">
        <v>16</v>
      </c>
      <c r="K6" s="6" t="s">
        <v>7</v>
      </c>
      <c r="L6" s="6" t="s">
        <v>16</v>
      </c>
      <c r="M6" s="6" t="s">
        <v>7</v>
      </c>
      <c r="N6" s="6" t="s">
        <v>16</v>
      </c>
      <c r="O6" s="73"/>
      <c r="P6" s="39" t="s">
        <v>16</v>
      </c>
      <c r="Q6" s="7" t="s">
        <v>9</v>
      </c>
    </row>
    <row r="7" spans="1:17" ht="15">
      <c r="A7" s="2" t="s">
        <v>1</v>
      </c>
      <c r="B7" s="2">
        <v>7.29</v>
      </c>
      <c r="C7" s="2">
        <v>8.45</v>
      </c>
      <c r="D7" s="2">
        <f>+C7-B7</f>
        <v>1.1599999999999993</v>
      </c>
      <c r="E7" s="11">
        <v>495</v>
      </c>
      <c r="F7" s="78">
        <f>(+E7*D7)*8</f>
        <v>4593.599999999997</v>
      </c>
      <c r="G7" s="11">
        <v>506</v>
      </c>
      <c r="H7" s="78">
        <f>(D7*G7)*12</f>
        <v>7043.519999999995</v>
      </c>
      <c r="I7" s="11">
        <v>497</v>
      </c>
      <c r="J7" s="78">
        <f>(+I7*D7)*12</f>
        <v>6918.239999999996</v>
      </c>
      <c r="K7" s="11">
        <v>499</v>
      </c>
      <c r="L7" s="78">
        <f>(+K7*D7)*12</f>
        <v>6946.0799999999945</v>
      </c>
      <c r="M7" s="11">
        <v>512</v>
      </c>
      <c r="N7" s="78">
        <f>(+M7*D7)*12</f>
        <v>7127.039999999995</v>
      </c>
      <c r="O7" s="11">
        <v>511</v>
      </c>
      <c r="P7" s="78">
        <f>(+O7*D7)*2</f>
        <v>1185.5199999999993</v>
      </c>
      <c r="Q7" s="78">
        <f>+F7+H7+J7+L7+N7+P7</f>
        <v>33813.99999999997</v>
      </c>
    </row>
    <row r="8" spans="1:17" ht="15">
      <c r="A8" s="2" t="s">
        <v>2</v>
      </c>
      <c r="B8" s="2">
        <v>14.89</v>
      </c>
      <c r="C8" s="2">
        <v>17.26</v>
      </c>
      <c r="D8" s="2">
        <f>+C8-B8</f>
        <v>2.370000000000001</v>
      </c>
      <c r="E8" s="11">
        <v>90</v>
      </c>
      <c r="F8" s="78">
        <f>(+E8*D8)*8</f>
        <v>1706.4000000000008</v>
      </c>
      <c r="G8" s="11">
        <v>93</v>
      </c>
      <c r="H8" s="78">
        <f>(D8*G8)*12</f>
        <v>2644.920000000001</v>
      </c>
      <c r="I8" s="11">
        <v>86</v>
      </c>
      <c r="J8" s="78">
        <f>(+I8*D8)*12</f>
        <v>2445.840000000001</v>
      </c>
      <c r="K8" s="11">
        <v>82</v>
      </c>
      <c r="L8" s="78">
        <f>(+K8*D8)*12</f>
        <v>2332.080000000001</v>
      </c>
      <c r="M8" s="11">
        <v>87</v>
      </c>
      <c r="N8" s="78">
        <f>(+M8*D8)*12</f>
        <v>2474.280000000001</v>
      </c>
      <c r="O8" s="11">
        <v>87</v>
      </c>
      <c r="P8" s="78">
        <f>(+O8*D8)*2</f>
        <v>412.38000000000017</v>
      </c>
      <c r="Q8" s="78">
        <f>+F8+H8+J8+L8+N8+P8</f>
        <v>12015.900000000005</v>
      </c>
    </row>
    <row r="9" spans="1:17" ht="15">
      <c r="A9" s="2" t="s">
        <v>3</v>
      </c>
      <c r="B9" s="2">
        <v>0.36</v>
      </c>
      <c r="C9" s="2">
        <v>0.42</v>
      </c>
      <c r="D9" s="2">
        <f>+C9-B9</f>
        <v>0.06</v>
      </c>
      <c r="E9" s="11">
        <v>207</v>
      </c>
      <c r="F9" s="78">
        <f>(+E9*D9)*8</f>
        <v>99.36</v>
      </c>
      <c r="G9" s="11">
        <v>207</v>
      </c>
      <c r="H9" s="78">
        <f>(D9*G9)*12</f>
        <v>149.04</v>
      </c>
      <c r="I9" s="11">
        <v>207</v>
      </c>
      <c r="J9" s="78">
        <f>(+I9*D9)*12</f>
        <v>149.04</v>
      </c>
      <c r="K9" s="11">
        <v>207</v>
      </c>
      <c r="L9" s="78">
        <f>(+K9*D9)*12</f>
        <v>149.04</v>
      </c>
      <c r="M9" s="11">
        <v>207</v>
      </c>
      <c r="N9" s="78">
        <f>(+M9*D9)*12</f>
        <v>149.04</v>
      </c>
      <c r="O9" s="11">
        <v>207</v>
      </c>
      <c r="P9" s="78">
        <f>(+O9*D9)*2</f>
        <v>24.84</v>
      </c>
      <c r="Q9" s="78">
        <f>+F9+H9+J9+L9+N9+P9</f>
        <v>720.3599999999999</v>
      </c>
    </row>
    <row r="10" spans="1:17" ht="15">
      <c r="A10" s="2" t="s">
        <v>20</v>
      </c>
      <c r="B10" s="2">
        <v>0.53</v>
      </c>
      <c r="C10" s="2">
        <v>0.62</v>
      </c>
      <c r="D10" s="2">
        <f>+C10-B10</f>
        <v>0.08999999999999997</v>
      </c>
      <c r="E10" s="11">
        <v>1</v>
      </c>
      <c r="F10" s="78">
        <f>(+E10*D10)*8</f>
        <v>0.7199999999999998</v>
      </c>
      <c r="G10" s="11">
        <v>1</v>
      </c>
      <c r="H10" s="78">
        <f>(D10*G10)*12</f>
        <v>1.0799999999999996</v>
      </c>
      <c r="I10" s="11">
        <v>1</v>
      </c>
      <c r="J10" s="78">
        <f>(+I10*D10)*12</f>
        <v>1.0799999999999996</v>
      </c>
      <c r="K10" s="11">
        <v>1</v>
      </c>
      <c r="L10" s="78">
        <f>(+K10*D10)*12</f>
        <v>1.0799999999999996</v>
      </c>
      <c r="M10" s="11">
        <v>1</v>
      </c>
      <c r="N10" s="78">
        <f>(+M10*D10)*12</f>
        <v>1.0799999999999996</v>
      </c>
      <c r="O10" s="11">
        <v>1</v>
      </c>
      <c r="P10" s="78">
        <f>(+O10*D10)*2</f>
        <v>0.17999999999999994</v>
      </c>
      <c r="Q10" s="78">
        <f>+F10+H10+J10+L10+N10+P10</f>
        <v>5.219999999999998</v>
      </c>
    </row>
    <row r="11" spans="5:17" ht="15.75" thickBot="1">
      <c r="E11" s="11"/>
      <c r="F11" s="82">
        <f>SUM(F7:F10)</f>
        <v>6400.079999999997</v>
      </c>
      <c r="G11" s="11"/>
      <c r="H11" s="82">
        <f>SUM(H7:H10)</f>
        <v>9838.559999999996</v>
      </c>
      <c r="I11" s="11"/>
      <c r="J11" s="82">
        <f>SUM(J7:J10)</f>
        <v>9514.199999999999</v>
      </c>
      <c r="K11" s="11"/>
      <c r="L11" s="82">
        <f>SUM(L7:L10)</f>
        <v>9428.279999999997</v>
      </c>
      <c r="M11" s="12"/>
      <c r="N11" s="82">
        <f>SUM(N7:N10)</f>
        <v>9751.439999999997</v>
      </c>
      <c r="O11" s="12"/>
      <c r="P11" s="82">
        <f>SUM(P7:P10)</f>
        <v>1622.9199999999994</v>
      </c>
      <c r="Q11" s="82">
        <f>SUM(Q7:Q10)</f>
        <v>46555.47999999998</v>
      </c>
    </row>
    <row r="12" ht="15.75" thickTop="1">
      <c r="F12" s="78"/>
    </row>
    <row r="16" spans="1:17" ht="15">
      <c r="A16" s="2" t="s">
        <v>12</v>
      </c>
      <c r="B16" s="3"/>
      <c r="C16" s="3"/>
      <c r="D16" s="3"/>
      <c r="E16" s="3">
        <v>2005</v>
      </c>
      <c r="F16" s="3"/>
      <c r="G16" s="3">
        <v>2006</v>
      </c>
      <c r="H16" s="3"/>
      <c r="I16" s="3">
        <v>2007</v>
      </c>
      <c r="J16" s="3"/>
      <c r="K16" s="3">
        <v>2008</v>
      </c>
      <c r="L16" s="3"/>
      <c r="M16" s="3">
        <v>2009</v>
      </c>
      <c r="N16" s="3"/>
      <c r="O16" s="3">
        <v>2010</v>
      </c>
      <c r="P16" s="44" t="s">
        <v>53</v>
      </c>
      <c r="Q16" s="4" t="s">
        <v>8</v>
      </c>
    </row>
    <row r="17" spans="1:17" ht="15.75" thickBot="1">
      <c r="A17" s="5"/>
      <c r="B17" s="6" t="s">
        <v>68</v>
      </c>
      <c r="C17" s="6" t="s">
        <v>4</v>
      </c>
      <c r="D17" s="6" t="s">
        <v>5</v>
      </c>
      <c r="E17" s="6" t="s">
        <v>10</v>
      </c>
      <c r="F17" s="6" t="s">
        <v>16</v>
      </c>
      <c r="G17" s="6" t="s">
        <v>10</v>
      </c>
      <c r="H17" s="6" t="s">
        <v>16</v>
      </c>
      <c r="I17" s="6" t="s">
        <v>10</v>
      </c>
      <c r="J17" s="6" t="s">
        <v>16</v>
      </c>
      <c r="K17" s="6" t="s">
        <v>10</v>
      </c>
      <c r="L17" s="6" t="s">
        <v>16</v>
      </c>
      <c r="M17" s="6" t="s">
        <v>10</v>
      </c>
      <c r="N17" s="6" t="s">
        <v>16</v>
      </c>
      <c r="O17" s="6" t="s">
        <v>10</v>
      </c>
      <c r="P17" s="6" t="s">
        <v>16</v>
      </c>
      <c r="Q17" s="7" t="s">
        <v>9</v>
      </c>
    </row>
    <row r="18" spans="1:17" ht="15">
      <c r="A18" s="2" t="s">
        <v>13</v>
      </c>
      <c r="B18" s="2">
        <v>0.0069</v>
      </c>
      <c r="C18" s="2">
        <v>0.008</v>
      </c>
      <c r="D18" s="2">
        <f>+C18-B18</f>
        <v>0.0011000000000000003</v>
      </c>
      <c r="E18" s="9">
        <v>4976691</v>
      </c>
      <c r="F18" s="84">
        <f>(+E18/12*8)*D18</f>
        <v>3649.573400000001</v>
      </c>
      <c r="G18" s="10">
        <v>4091958</v>
      </c>
      <c r="H18" s="85">
        <f>+G18*D18</f>
        <v>4501.153800000001</v>
      </c>
      <c r="I18" s="9">
        <f>3693205+572435</f>
        <v>4265640</v>
      </c>
      <c r="J18" s="83">
        <f>+I18*D18</f>
        <v>4692.2040000000015</v>
      </c>
      <c r="K18" s="11">
        <v>4539327</v>
      </c>
      <c r="L18" s="77">
        <f>+K18*D18</f>
        <v>4993.259700000001</v>
      </c>
      <c r="M18" s="11">
        <v>4839865</v>
      </c>
      <c r="N18" s="78">
        <f>+M18*D18</f>
        <v>5323.851500000002</v>
      </c>
      <c r="O18" s="15">
        <v>390433</v>
      </c>
      <c r="P18" s="78">
        <f>(O18*D18)*2</f>
        <v>858.9526000000002</v>
      </c>
      <c r="Q18" s="78">
        <f>+F18+H18+J18+L18+N18+P18</f>
        <v>24018.995000000006</v>
      </c>
    </row>
    <row r="19" spans="1:17" ht="15">
      <c r="A19" s="2" t="s">
        <v>14</v>
      </c>
      <c r="B19" s="2">
        <v>0.0033</v>
      </c>
      <c r="C19" s="2">
        <v>0.0038</v>
      </c>
      <c r="D19" s="2">
        <f>+C19-B19</f>
        <v>0.0005</v>
      </c>
      <c r="E19" s="9">
        <v>3870180</v>
      </c>
      <c r="F19" s="84">
        <f>(+E19/12*8)*D19</f>
        <v>1290.06</v>
      </c>
      <c r="G19" s="10">
        <v>3316830</v>
      </c>
      <c r="H19" s="85">
        <f>+G19*D19</f>
        <v>1658.415</v>
      </c>
      <c r="I19" s="9">
        <f>133776+3158347+808-1</f>
        <v>3292930</v>
      </c>
      <c r="J19" s="83">
        <f>+I19*D19</f>
        <v>1646.4650000000001</v>
      </c>
      <c r="K19" s="9">
        <v>3429634</v>
      </c>
      <c r="L19" s="77">
        <f>+K19*D19</f>
        <v>1714.817</v>
      </c>
      <c r="M19" s="11">
        <v>3604921</v>
      </c>
      <c r="N19" s="78">
        <f>+M19*D19</f>
        <v>1802.4605000000001</v>
      </c>
      <c r="O19" s="15">
        <v>322762</v>
      </c>
      <c r="P19" s="78">
        <f>(O19*D19)*2</f>
        <v>322.762</v>
      </c>
      <c r="Q19" s="78">
        <f>+F19+H19+J19+L19+N19+P19</f>
        <v>8434.979500000001</v>
      </c>
    </row>
    <row r="20" spans="1:17" ht="15">
      <c r="A20" s="2" t="s">
        <v>15</v>
      </c>
      <c r="B20" s="2">
        <v>1.6977</v>
      </c>
      <c r="C20" s="2">
        <v>1.9467</v>
      </c>
      <c r="D20" s="2">
        <f>+C20-B20</f>
        <v>0.2490000000000001</v>
      </c>
      <c r="E20" s="9">
        <v>343.2</v>
      </c>
      <c r="F20" s="84">
        <f>(+E20/12*8)*D20</f>
        <v>56.971200000000024</v>
      </c>
      <c r="G20" s="9">
        <v>343.2</v>
      </c>
      <c r="H20" s="85">
        <f>+G20*D20</f>
        <v>85.45680000000003</v>
      </c>
      <c r="I20" s="9">
        <v>343.2</v>
      </c>
      <c r="J20" s="83">
        <f>+I20*D20</f>
        <v>85.45680000000003</v>
      </c>
      <c r="K20" s="9">
        <v>343.2</v>
      </c>
      <c r="L20" s="77">
        <f>+K20*D20</f>
        <v>85.45680000000003</v>
      </c>
      <c r="M20" s="12">
        <v>343</v>
      </c>
      <c r="N20" s="78">
        <f>+M20*D20</f>
        <v>85.40700000000004</v>
      </c>
      <c r="O20" s="15">
        <v>343</v>
      </c>
      <c r="P20" s="78">
        <f>(O20*D20)*2</f>
        <v>170.81400000000008</v>
      </c>
      <c r="Q20" s="78">
        <f>+F20+H20+J20+L20+N20+P20</f>
        <v>569.5626000000002</v>
      </c>
    </row>
    <row r="21" spans="1:17" ht="15">
      <c r="A21" s="2" t="s">
        <v>20</v>
      </c>
      <c r="B21" s="2">
        <v>2.8341</v>
      </c>
      <c r="C21" s="2">
        <v>3.2841</v>
      </c>
      <c r="D21" s="2">
        <f>+C21-B21</f>
        <v>0.4500000000000002</v>
      </c>
      <c r="E21" s="9">
        <v>1</v>
      </c>
      <c r="F21" s="84">
        <f>(+E21/12*8)*D21</f>
        <v>0.3000000000000001</v>
      </c>
      <c r="G21" s="9">
        <v>1</v>
      </c>
      <c r="H21" s="85">
        <f>+G21*D21</f>
        <v>0.4500000000000002</v>
      </c>
      <c r="I21" s="9">
        <v>1</v>
      </c>
      <c r="J21" s="83">
        <f>+I21*D21</f>
        <v>0.4500000000000002</v>
      </c>
      <c r="K21" s="9">
        <v>1</v>
      </c>
      <c r="L21" s="77">
        <f>+K21*D21</f>
        <v>0.4500000000000002</v>
      </c>
      <c r="M21" s="12">
        <v>1</v>
      </c>
      <c r="N21" s="78">
        <f>+M21*D21</f>
        <v>0.4500000000000002</v>
      </c>
      <c r="O21" s="15">
        <v>1</v>
      </c>
      <c r="P21" s="78">
        <f>(O21*D21)*2</f>
        <v>0.9000000000000004</v>
      </c>
      <c r="Q21" s="78">
        <f>+F21+H21+J21+L21+N21+P21</f>
        <v>3.000000000000001</v>
      </c>
    </row>
    <row r="22" spans="6:17" ht="15.75" thickBot="1">
      <c r="F22" s="82">
        <f>SUM(F18:F21)</f>
        <v>4996.904600000001</v>
      </c>
      <c r="G22" s="61"/>
      <c r="H22" s="81">
        <f>SUM(H18:H21)</f>
        <v>6245.475600000001</v>
      </c>
      <c r="I22" s="61"/>
      <c r="J22" s="81">
        <f>SUM(J18:J21)</f>
        <v>6424.575800000001</v>
      </c>
      <c r="K22" s="61"/>
      <c r="L22" s="81">
        <f>SUM(L18:L21)</f>
        <v>6793.983500000001</v>
      </c>
      <c r="M22" s="12"/>
      <c r="N22" s="82">
        <f>SUM(N18:N21)</f>
        <v>7212.169000000002</v>
      </c>
      <c r="O22" s="12"/>
      <c r="P22" s="82">
        <f>SUM(P18:P21)</f>
        <v>1353.4286000000004</v>
      </c>
      <c r="Q22" s="82">
        <f>SUM(Q18:Q21)</f>
        <v>33026.53710000001</v>
      </c>
    </row>
    <row r="23" spans="6:17" ht="15.75" thickTop="1">
      <c r="F23" s="78"/>
      <c r="G23" s="61"/>
      <c r="H23" s="61"/>
      <c r="I23" s="61"/>
      <c r="J23" s="61"/>
      <c r="K23" s="61"/>
      <c r="L23" s="61"/>
      <c r="M23" s="62"/>
      <c r="N23" s="78"/>
      <c r="O23" s="62"/>
      <c r="P23" s="78"/>
      <c r="Q23" s="78"/>
    </row>
    <row r="24" spans="6:16" ht="15">
      <c r="F24" s="16"/>
      <c r="H24" s="16"/>
      <c r="J24" s="16"/>
      <c r="L24" s="16"/>
      <c r="N24" s="78"/>
      <c r="O24" s="16"/>
      <c r="P24" s="16"/>
    </row>
    <row r="25" spans="1:17" ht="15">
      <c r="A25" s="2" t="s">
        <v>69</v>
      </c>
      <c r="F25" s="3">
        <v>2005</v>
      </c>
      <c r="G25" s="3"/>
      <c r="H25" s="3">
        <v>2006</v>
      </c>
      <c r="I25" s="3"/>
      <c r="J25" s="3">
        <v>2007</v>
      </c>
      <c r="K25" s="3"/>
      <c r="L25" s="3">
        <v>2008</v>
      </c>
      <c r="M25" s="3"/>
      <c r="N25" s="3">
        <v>2009</v>
      </c>
      <c r="O25" s="74"/>
      <c r="P25" s="75">
        <v>2010</v>
      </c>
      <c r="Q25" s="3" t="s">
        <v>23</v>
      </c>
    </row>
    <row r="26" spans="1:17" ht="15.75" thickBot="1">
      <c r="A26" s="5"/>
      <c r="B26" s="5"/>
      <c r="C26" s="5"/>
      <c r="D26" s="5"/>
      <c r="E26" s="5"/>
      <c r="F26" s="76" t="s">
        <v>16</v>
      </c>
      <c r="G26" s="6"/>
      <c r="H26" s="76" t="s">
        <v>16</v>
      </c>
      <c r="I26" s="6"/>
      <c r="J26" s="76" t="s">
        <v>16</v>
      </c>
      <c r="K26" s="6"/>
      <c r="L26" s="76" t="s">
        <v>16</v>
      </c>
      <c r="M26" s="5"/>
      <c r="N26" s="76" t="s">
        <v>16</v>
      </c>
      <c r="O26" s="76"/>
      <c r="P26" s="76" t="s">
        <v>16</v>
      </c>
      <c r="Q26" s="76" t="s">
        <v>16</v>
      </c>
    </row>
    <row r="27" spans="1:17" ht="15">
      <c r="A27" s="2" t="s">
        <v>1</v>
      </c>
      <c r="F27" s="78">
        <f>+F7+F18</f>
        <v>8243.173399999998</v>
      </c>
      <c r="G27" s="78"/>
      <c r="H27" s="78">
        <f>+H7+H18</f>
        <v>11544.673799999997</v>
      </c>
      <c r="I27" s="78"/>
      <c r="J27" s="78">
        <f>+J7+J18</f>
        <v>11610.443999999998</v>
      </c>
      <c r="K27" s="78"/>
      <c r="L27" s="78">
        <f>+L7+L18</f>
        <v>11939.339699999997</v>
      </c>
      <c r="M27" s="78"/>
      <c r="N27" s="78">
        <f>+N7+N18</f>
        <v>12450.891499999998</v>
      </c>
      <c r="O27" s="78"/>
      <c r="P27" s="78">
        <f>+P7+P18</f>
        <v>2044.4725999999996</v>
      </c>
      <c r="Q27" s="78">
        <f>+F27+H27+J27+L27+N27+P27</f>
        <v>57832.99499999999</v>
      </c>
    </row>
    <row r="28" spans="1:17" ht="15">
      <c r="A28" s="2" t="s">
        <v>2</v>
      </c>
      <c r="F28" s="78">
        <f>+F8+F19</f>
        <v>2996.460000000001</v>
      </c>
      <c r="G28" s="78"/>
      <c r="H28" s="78">
        <f>+H8+H19</f>
        <v>4303.335000000001</v>
      </c>
      <c r="I28" s="78"/>
      <c r="J28" s="78">
        <f>+J8+J19</f>
        <v>4092.305000000001</v>
      </c>
      <c r="K28" s="78"/>
      <c r="L28" s="78">
        <f>+L8+L19</f>
        <v>4046.897000000001</v>
      </c>
      <c r="M28" s="78"/>
      <c r="N28" s="78">
        <f>+N8+N19</f>
        <v>4276.740500000002</v>
      </c>
      <c r="O28" s="78"/>
      <c r="P28" s="78">
        <f>+P8+P19</f>
        <v>735.1420000000002</v>
      </c>
      <c r="Q28" s="78">
        <f>+F28+H28+J28+L28+N28+P28</f>
        <v>20450.879500000003</v>
      </c>
    </row>
    <row r="29" spans="1:17" ht="15">
      <c r="A29" s="2" t="s">
        <v>3</v>
      </c>
      <c r="F29" s="78">
        <f>+F9+F20</f>
        <v>156.33120000000002</v>
      </c>
      <c r="G29" s="78"/>
      <c r="H29" s="78">
        <f>+H9+H20</f>
        <v>234.4968</v>
      </c>
      <c r="I29" s="78"/>
      <c r="J29" s="78">
        <f>+J9+J20</f>
        <v>234.4968</v>
      </c>
      <c r="K29" s="78"/>
      <c r="L29" s="78">
        <f>+L9+L20</f>
        <v>234.4968</v>
      </c>
      <c r="M29" s="78"/>
      <c r="N29" s="78">
        <f>+N9+N20</f>
        <v>234.44700000000003</v>
      </c>
      <c r="O29" s="78"/>
      <c r="P29" s="78">
        <f>+P9+P20</f>
        <v>195.65400000000008</v>
      </c>
      <c r="Q29" s="78">
        <f>+F29+H29+J29+L29+N29+P29</f>
        <v>1289.9226</v>
      </c>
    </row>
    <row r="30" spans="1:17" ht="15">
      <c r="A30" s="2" t="s">
        <v>20</v>
      </c>
      <c r="F30" s="78">
        <f>+F10+F21</f>
        <v>1.0199999999999998</v>
      </c>
      <c r="G30" s="78"/>
      <c r="H30" s="78">
        <f>+H10+H21</f>
        <v>1.5299999999999998</v>
      </c>
      <c r="I30" s="78"/>
      <c r="J30" s="78">
        <f>+J10+J21</f>
        <v>1.5299999999999998</v>
      </c>
      <c r="K30" s="78"/>
      <c r="L30" s="78">
        <f>+L10+L21</f>
        <v>1.5299999999999998</v>
      </c>
      <c r="M30" s="78"/>
      <c r="N30" s="78">
        <f>+N10+N21</f>
        <v>1.5299999999999998</v>
      </c>
      <c r="O30" s="78"/>
      <c r="P30" s="78">
        <f>+P10+P21</f>
        <v>1.0800000000000003</v>
      </c>
      <c r="Q30" s="78">
        <f>+F30+H30+J30+L30+N30+P30</f>
        <v>8.219999999999999</v>
      </c>
    </row>
    <row r="31" spans="6:17" ht="15.75" thickBot="1">
      <c r="F31" s="82">
        <f>SUM(F27:F30)</f>
        <v>11396.9846</v>
      </c>
      <c r="G31" s="78"/>
      <c r="H31" s="82">
        <f>SUM(H27:H30)</f>
        <v>16084.0356</v>
      </c>
      <c r="I31" s="78"/>
      <c r="J31" s="82">
        <f>SUM(J27:J30)</f>
        <v>15938.775800000001</v>
      </c>
      <c r="K31" s="78"/>
      <c r="L31" s="82">
        <f>SUM(L27:L30)</f>
        <v>16222.2635</v>
      </c>
      <c r="M31" s="78"/>
      <c r="N31" s="82">
        <f>SUM(N27:N30)</f>
        <v>16963.608999999997</v>
      </c>
      <c r="O31" s="78"/>
      <c r="P31" s="82">
        <f>SUM(P27:P30)</f>
        <v>2976.3486</v>
      </c>
      <c r="Q31" s="82">
        <f>SUM(Q27:Q30)</f>
        <v>79582.0171</v>
      </c>
    </row>
    <row r="32" spans="6:16" ht="15.75" thickTop="1">
      <c r="F32" s="16"/>
      <c r="H32" s="16"/>
      <c r="J32" s="16"/>
      <c r="L32" s="16"/>
      <c r="N32" s="16"/>
      <c r="O32" s="16"/>
      <c r="P32" s="16"/>
    </row>
    <row r="33" spans="3:16" ht="15">
      <c r="C33" s="2" t="s">
        <v>21</v>
      </c>
      <c r="F33" s="16"/>
      <c r="H33" s="16"/>
      <c r="J33" s="16"/>
      <c r="L33" s="16"/>
      <c r="N33" s="16"/>
      <c r="O33" s="16"/>
      <c r="P33" s="16"/>
    </row>
    <row r="34" spans="1:16" ht="15">
      <c r="A34" s="53"/>
      <c r="B34" s="53" t="s">
        <v>16</v>
      </c>
      <c r="C34" s="53" t="s">
        <v>22</v>
      </c>
      <c r="F34" s="16"/>
      <c r="H34" s="16"/>
      <c r="J34" s="16"/>
      <c r="L34" s="16"/>
      <c r="N34" s="16"/>
      <c r="O34" s="16"/>
      <c r="P34" s="16"/>
    </row>
    <row r="35" spans="1:16" ht="15">
      <c r="A35" s="2" t="s">
        <v>1</v>
      </c>
      <c r="B35" s="78">
        <f>+Q7+Q18</f>
        <v>57832.99499999998</v>
      </c>
      <c r="C35" s="79">
        <f>-'Interest Calc'!I167-'Interest Calc'!I175</f>
        <v>62071.19653191666</v>
      </c>
      <c r="F35" s="16"/>
      <c r="H35" s="16"/>
      <c r="J35" s="16"/>
      <c r="L35" s="16"/>
      <c r="N35" s="16"/>
      <c r="O35" s="16"/>
      <c r="P35" s="16"/>
    </row>
    <row r="36" spans="1:16" ht="15">
      <c r="A36" s="2" t="s">
        <v>2</v>
      </c>
      <c r="B36" s="78">
        <f>+Q8+Q19</f>
        <v>20450.879500000006</v>
      </c>
      <c r="C36" s="79">
        <f>-'Interest Calc'!I168-'Interest Calc'!I176</f>
        <v>21957.270886416667</v>
      </c>
      <c r="F36" s="16"/>
      <c r="H36" s="16"/>
      <c r="J36" s="16"/>
      <c r="L36" s="16"/>
      <c r="N36" s="16"/>
      <c r="O36" s="16"/>
      <c r="P36" s="16"/>
    </row>
    <row r="37" spans="1:6" ht="15">
      <c r="A37" s="2" t="s">
        <v>19</v>
      </c>
      <c r="B37" s="78">
        <f>+Q9+Q20</f>
        <v>1289.9226</v>
      </c>
      <c r="C37" s="79">
        <f>-'Interest Calc'!I169-'Interest Calc'!I177</f>
        <v>1364.796186913889</v>
      </c>
      <c r="F37" s="17"/>
    </row>
    <row r="38" spans="1:3" ht="15">
      <c r="A38" s="2" t="s">
        <v>20</v>
      </c>
      <c r="B38" s="78">
        <f>+Q10+Q21</f>
        <v>8.219999999999999</v>
      </c>
      <c r="C38" s="79">
        <f>-'Interest Calc'!I170-'Interest Calc'!I178</f>
        <v>8.717773575</v>
      </c>
    </row>
    <row r="39" spans="2:4" ht="15.75" thickBot="1">
      <c r="B39" s="80">
        <f>SUM(B35:B38)</f>
        <v>79582.0171</v>
      </c>
      <c r="C39" s="80">
        <f>SUM(C35:C38)</f>
        <v>85401.98137882222</v>
      </c>
      <c r="D39" s="14"/>
    </row>
    <row r="42" s="13" customFormat="1" ht="15"/>
    <row r="43" s="13" customFormat="1" ht="15"/>
    <row r="44" spans="2:3" s="13" customFormat="1" ht="15">
      <c r="B44" s="8"/>
      <c r="C44" s="54"/>
    </row>
    <row r="45" spans="2:3" s="13" customFormat="1" ht="15">
      <c r="B45" s="8"/>
      <c r="C45" s="54"/>
    </row>
    <row r="46" s="13" customFormat="1" ht="15">
      <c r="B46" s="8"/>
    </row>
    <row r="47" s="13" customFormat="1" ht="15"/>
    <row r="48" s="13" customFormat="1" ht="15"/>
    <row r="49" s="13" customFormat="1" ht="15"/>
    <row r="50" s="13" customFormat="1" ht="15"/>
    <row r="51" spans="2:3" s="13" customFormat="1" ht="15">
      <c r="B51" s="8"/>
      <c r="C51" s="54"/>
    </row>
    <row r="52" spans="2:3" s="13" customFormat="1" ht="15">
      <c r="B52" s="8"/>
      <c r="C52" s="54"/>
    </row>
    <row r="53" s="13" customFormat="1" ht="15">
      <c r="B53" s="8"/>
    </row>
    <row r="54" s="13" customFormat="1" ht="15"/>
    <row r="55" s="13" customFormat="1" ht="15"/>
    <row r="56" s="13" customFormat="1" ht="15"/>
    <row r="57" spans="2:3" s="13" customFormat="1" ht="15">
      <c r="B57" s="14"/>
      <c r="C57" s="54"/>
    </row>
    <row r="58" spans="2:3" s="13" customFormat="1" ht="15">
      <c r="B58" s="14"/>
      <c r="C58" s="54"/>
    </row>
    <row r="59" s="13" customFormat="1" ht="15">
      <c r="B59" s="14"/>
    </row>
    <row r="60" s="13" customFormat="1" ht="15"/>
    <row r="61" s="13" customFormat="1" ht="15">
      <c r="B61" s="14"/>
    </row>
    <row r="62" s="13" customFormat="1" ht="15"/>
    <row r="63" s="13" customFormat="1" ht="15"/>
  </sheetData>
  <sheetProtection/>
  <mergeCells count="1">
    <mergeCell ref="O5:O6"/>
  </mergeCells>
  <printOptions/>
  <pageMargins left="0.7" right="0.7" top="0.75" bottom="0.75" header="0.3" footer="0.3"/>
  <pageSetup horizontalDpi="300" verticalDpi="3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7"/>
  <sheetViews>
    <sheetView showGridLines="0" zoomScalePageLayoutView="0" workbookViewId="0" topLeftCell="A146">
      <selection activeCell="D187" sqref="D187"/>
    </sheetView>
  </sheetViews>
  <sheetFormatPr defaultColWidth="9.140625" defaultRowHeight="15"/>
  <cols>
    <col min="1" max="1" width="23.57421875" style="19" customWidth="1"/>
    <col min="2" max="2" width="12.57421875" style="19" customWidth="1"/>
    <col min="3" max="3" width="14.00390625" style="19" customWidth="1"/>
    <col min="4" max="4" width="15.140625" style="19" customWidth="1"/>
    <col min="5" max="16" width="12.7109375" style="19" customWidth="1"/>
    <col min="17" max="17" width="11.28125" style="19" bestFit="1" customWidth="1"/>
    <col min="18" max="16384" width="9.140625" style="19" customWidth="1"/>
  </cols>
  <sheetData>
    <row r="1" spans="1:2" ht="15.75">
      <c r="A1" s="18" t="s">
        <v>24</v>
      </c>
      <c r="B1" s="18"/>
    </row>
    <row r="2" spans="1:2" ht="15.75">
      <c r="A2" s="18" t="s">
        <v>25</v>
      </c>
      <c r="B2" s="18"/>
    </row>
    <row r="3" spans="1:2" ht="15.75">
      <c r="A3" s="18"/>
      <c r="B3" s="18"/>
    </row>
    <row r="4" spans="1:2" ht="15.75">
      <c r="A4" s="18"/>
      <c r="B4" s="18"/>
    </row>
    <row r="5" spans="4:15" s="20" customFormat="1" ht="12.75">
      <c r="D5" s="21">
        <v>0</v>
      </c>
      <c r="E5" s="21">
        <v>0</v>
      </c>
      <c r="F5" s="21">
        <v>0</v>
      </c>
      <c r="G5" s="21">
        <v>0</v>
      </c>
      <c r="H5" s="21">
        <f aca="true" t="shared" si="0" ref="H5:O5">7.25%</f>
        <v>0.0725</v>
      </c>
      <c r="I5" s="21">
        <f t="shared" si="0"/>
        <v>0.0725</v>
      </c>
      <c r="J5" s="21">
        <f t="shared" si="0"/>
        <v>0.0725</v>
      </c>
      <c r="K5" s="21">
        <f t="shared" si="0"/>
        <v>0.0725</v>
      </c>
      <c r="L5" s="21">
        <f t="shared" si="0"/>
        <v>0.0725</v>
      </c>
      <c r="M5" s="21">
        <f t="shared" si="0"/>
        <v>0.0725</v>
      </c>
      <c r="N5" s="21">
        <f t="shared" si="0"/>
        <v>0.0725</v>
      </c>
      <c r="O5" s="21">
        <f t="shared" si="0"/>
        <v>0.0725</v>
      </c>
    </row>
    <row r="6" spans="1:16" s="23" customFormat="1" ht="12.75">
      <c r="A6" s="22"/>
      <c r="B6" s="22"/>
      <c r="C6" s="22"/>
      <c r="D6" s="22" t="s">
        <v>26</v>
      </c>
      <c r="E6" s="22" t="s">
        <v>27</v>
      </c>
      <c r="F6" s="22" t="s">
        <v>28</v>
      </c>
      <c r="G6" s="22" t="s">
        <v>29</v>
      </c>
      <c r="H6" s="22" t="s">
        <v>30</v>
      </c>
      <c r="I6" s="22" t="s">
        <v>31</v>
      </c>
      <c r="J6" s="22" t="s">
        <v>32</v>
      </c>
      <c r="K6" s="22" t="s">
        <v>33</v>
      </c>
      <c r="L6" s="22" t="s">
        <v>34</v>
      </c>
      <c r="M6" s="22" t="s">
        <v>35</v>
      </c>
      <c r="N6" s="22" t="s">
        <v>36</v>
      </c>
      <c r="O6" s="22" t="s">
        <v>37</v>
      </c>
      <c r="P6" s="22" t="s">
        <v>38</v>
      </c>
    </row>
    <row r="7" spans="1:3" ht="25.5">
      <c r="A7" s="24" t="s">
        <v>39</v>
      </c>
      <c r="B7" s="25" t="s">
        <v>40</v>
      </c>
      <c r="C7" s="26" t="s">
        <v>41</v>
      </c>
    </row>
    <row r="9" spans="1:16" ht="12.75">
      <c r="A9" s="27" t="s">
        <v>1</v>
      </c>
      <c r="B9" s="27"/>
      <c r="C9" s="63">
        <v>-8243.17</v>
      </c>
      <c r="D9" s="63"/>
      <c r="E9" s="63"/>
      <c r="F9" s="63"/>
      <c r="G9" s="63"/>
      <c r="H9" s="63">
        <f aca="true" t="shared" si="1" ref="H9:O9">ROUND((($C9)/8),2)</f>
        <v>-1030.4</v>
      </c>
      <c r="I9" s="63">
        <f t="shared" si="1"/>
        <v>-1030.4</v>
      </c>
      <c r="J9" s="63">
        <f t="shared" si="1"/>
        <v>-1030.4</v>
      </c>
      <c r="K9" s="63">
        <f t="shared" si="1"/>
        <v>-1030.4</v>
      </c>
      <c r="L9" s="63">
        <f t="shared" si="1"/>
        <v>-1030.4</v>
      </c>
      <c r="M9" s="63">
        <f t="shared" si="1"/>
        <v>-1030.4</v>
      </c>
      <c r="N9" s="63">
        <f t="shared" si="1"/>
        <v>-1030.4</v>
      </c>
      <c r="O9" s="63">
        <f t="shared" si="1"/>
        <v>-1030.4</v>
      </c>
      <c r="P9" s="64">
        <f>SUM(D9:O9)</f>
        <v>-8243.199999999999</v>
      </c>
    </row>
    <row r="10" spans="1:16" ht="12.75">
      <c r="A10" s="27" t="s">
        <v>42</v>
      </c>
      <c r="B10" s="27"/>
      <c r="C10" s="63"/>
      <c r="D10" s="63"/>
      <c r="E10" s="63"/>
      <c r="F10" s="63"/>
      <c r="G10" s="63"/>
      <c r="H10" s="63">
        <f aca="true" t="shared" si="2" ref="H10:O10">+G10+H9</f>
        <v>-1030.4</v>
      </c>
      <c r="I10" s="63">
        <f t="shared" si="2"/>
        <v>-2060.8</v>
      </c>
      <c r="J10" s="63">
        <f t="shared" si="2"/>
        <v>-3091.2000000000003</v>
      </c>
      <c r="K10" s="63">
        <f t="shared" si="2"/>
        <v>-4121.6</v>
      </c>
      <c r="L10" s="63">
        <f t="shared" si="2"/>
        <v>-5152</v>
      </c>
      <c r="M10" s="63">
        <f t="shared" si="2"/>
        <v>-6182.4</v>
      </c>
      <c r="N10" s="63">
        <f t="shared" si="2"/>
        <v>-7212.799999999999</v>
      </c>
      <c r="O10" s="63">
        <f t="shared" si="2"/>
        <v>-8243.199999999999</v>
      </c>
      <c r="P10" s="64"/>
    </row>
    <row r="11" spans="1:16" ht="12.75">
      <c r="A11" s="27" t="s">
        <v>43</v>
      </c>
      <c r="B11" s="27"/>
      <c r="C11" s="63"/>
      <c r="D11" s="63"/>
      <c r="E11" s="63"/>
      <c r="F11" s="63"/>
      <c r="G11" s="63"/>
      <c r="H11" s="63">
        <f>+G10*G5</f>
        <v>0</v>
      </c>
      <c r="I11" s="63">
        <f aca="true" t="shared" si="3" ref="I11:O11">+H10*(H5/12)</f>
        <v>-6.225333333333333</v>
      </c>
      <c r="J11" s="63">
        <f t="shared" si="3"/>
        <v>-12.450666666666667</v>
      </c>
      <c r="K11" s="63">
        <f t="shared" si="3"/>
        <v>-18.676000000000002</v>
      </c>
      <c r="L11" s="63">
        <f t="shared" si="3"/>
        <v>-24.901333333333334</v>
      </c>
      <c r="M11" s="63">
        <f t="shared" si="3"/>
        <v>-31.126666666666665</v>
      </c>
      <c r="N11" s="63">
        <f t="shared" si="3"/>
        <v>-37.352</v>
      </c>
      <c r="O11" s="63">
        <f t="shared" si="3"/>
        <v>-43.57733333333333</v>
      </c>
      <c r="P11" s="64">
        <f>SUM(E11:O11)</f>
        <v>-174.3093333333333</v>
      </c>
    </row>
    <row r="12" spans="1:16" ht="12.75">
      <c r="A12" s="27"/>
      <c r="B12" s="27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</row>
    <row r="13" spans="1:16" ht="12.75">
      <c r="A13" s="27" t="s">
        <v>2</v>
      </c>
      <c r="B13" s="27"/>
      <c r="C13" s="63">
        <v>-2996.46</v>
      </c>
      <c r="D13" s="63"/>
      <c r="E13" s="63"/>
      <c r="F13" s="63"/>
      <c r="G13" s="63"/>
      <c r="H13" s="63">
        <f aca="true" t="shared" si="4" ref="H13:O13">ROUND((($C13)/12),2)</f>
        <v>-249.71</v>
      </c>
      <c r="I13" s="63">
        <f t="shared" si="4"/>
        <v>-249.71</v>
      </c>
      <c r="J13" s="63">
        <f t="shared" si="4"/>
        <v>-249.71</v>
      </c>
      <c r="K13" s="63">
        <f t="shared" si="4"/>
        <v>-249.71</v>
      </c>
      <c r="L13" s="63">
        <f t="shared" si="4"/>
        <v>-249.71</v>
      </c>
      <c r="M13" s="63">
        <f t="shared" si="4"/>
        <v>-249.71</v>
      </c>
      <c r="N13" s="63">
        <f t="shared" si="4"/>
        <v>-249.71</v>
      </c>
      <c r="O13" s="63">
        <f t="shared" si="4"/>
        <v>-249.71</v>
      </c>
      <c r="P13" s="64">
        <f>SUM(D13:O13)</f>
        <v>-1997.68</v>
      </c>
    </row>
    <row r="14" spans="1:16" ht="12.75">
      <c r="A14" s="27" t="s">
        <v>42</v>
      </c>
      <c r="B14" s="27"/>
      <c r="C14" s="63"/>
      <c r="D14" s="63"/>
      <c r="E14" s="63"/>
      <c r="F14" s="63"/>
      <c r="G14" s="63"/>
      <c r="H14" s="63">
        <f aca="true" t="shared" si="5" ref="H14:O14">+G14+H13</f>
        <v>-249.71</v>
      </c>
      <c r="I14" s="63">
        <f t="shared" si="5"/>
        <v>-499.42</v>
      </c>
      <c r="J14" s="63">
        <f t="shared" si="5"/>
        <v>-749.13</v>
      </c>
      <c r="K14" s="63">
        <f t="shared" si="5"/>
        <v>-998.84</v>
      </c>
      <c r="L14" s="63">
        <f t="shared" si="5"/>
        <v>-1248.55</v>
      </c>
      <c r="M14" s="63">
        <f t="shared" si="5"/>
        <v>-1498.26</v>
      </c>
      <c r="N14" s="63">
        <f t="shared" si="5"/>
        <v>-1747.97</v>
      </c>
      <c r="O14" s="63">
        <f t="shared" si="5"/>
        <v>-1997.68</v>
      </c>
      <c r="P14" s="64"/>
    </row>
    <row r="15" spans="1:16" ht="12.75">
      <c r="A15" s="27" t="s">
        <v>43</v>
      </c>
      <c r="B15" s="27"/>
      <c r="C15" s="63"/>
      <c r="D15" s="63"/>
      <c r="E15" s="63"/>
      <c r="F15" s="63"/>
      <c r="G15" s="63"/>
      <c r="H15" s="63">
        <f>+G14*G5</f>
        <v>0</v>
      </c>
      <c r="I15" s="63">
        <f>+H14*(H5/12)</f>
        <v>-1.5086645833333334</v>
      </c>
      <c r="J15" s="63">
        <f aca="true" t="shared" si="6" ref="J15:O15">+I14*(I5/12)</f>
        <v>-3.017329166666667</v>
      </c>
      <c r="K15" s="63">
        <f t="shared" si="6"/>
        <v>-4.52599375</v>
      </c>
      <c r="L15" s="63">
        <f t="shared" si="6"/>
        <v>-6.034658333333334</v>
      </c>
      <c r="M15" s="63">
        <f t="shared" si="6"/>
        <v>-7.543322916666666</v>
      </c>
      <c r="N15" s="63">
        <f t="shared" si="6"/>
        <v>-9.0519875</v>
      </c>
      <c r="O15" s="63">
        <f t="shared" si="6"/>
        <v>-10.560652083333334</v>
      </c>
      <c r="P15" s="64">
        <f>SUM(E15:O15)</f>
        <v>-42.24260833333333</v>
      </c>
    </row>
    <row r="16" spans="1:16" ht="12.75">
      <c r="A16" s="27"/>
      <c r="B16" s="27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</row>
    <row r="17" spans="1:16" ht="12.75">
      <c r="A17" s="27" t="s">
        <v>44</v>
      </c>
      <c r="B17" s="27"/>
      <c r="C17" s="63">
        <v>-156.33</v>
      </c>
      <c r="D17" s="63"/>
      <c r="E17" s="63"/>
      <c r="F17" s="63"/>
      <c r="G17" s="63"/>
      <c r="H17" s="63">
        <f aca="true" t="shared" si="7" ref="H17:O17">ROUND((($C17)/12),2)</f>
        <v>-13.03</v>
      </c>
      <c r="I17" s="63">
        <f t="shared" si="7"/>
        <v>-13.03</v>
      </c>
      <c r="J17" s="63">
        <f t="shared" si="7"/>
        <v>-13.03</v>
      </c>
      <c r="K17" s="63">
        <f t="shared" si="7"/>
        <v>-13.03</v>
      </c>
      <c r="L17" s="63">
        <f t="shared" si="7"/>
        <v>-13.03</v>
      </c>
      <c r="M17" s="63">
        <f t="shared" si="7"/>
        <v>-13.03</v>
      </c>
      <c r="N17" s="63">
        <f t="shared" si="7"/>
        <v>-13.03</v>
      </c>
      <c r="O17" s="63">
        <f t="shared" si="7"/>
        <v>-13.03</v>
      </c>
      <c r="P17" s="64">
        <f>SUM(D17:O17)</f>
        <v>-104.24</v>
      </c>
    </row>
    <row r="18" spans="1:16" ht="12.75">
      <c r="A18" s="27" t="s">
        <v>42</v>
      </c>
      <c r="B18" s="27"/>
      <c r="C18" s="63"/>
      <c r="D18" s="63"/>
      <c r="E18" s="63"/>
      <c r="F18" s="63"/>
      <c r="G18" s="63"/>
      <c r="H18" s="63">
        <f aca="true" t="shared" si="8" ref="H18:O18">+G18+H17</f>
        <v>-13.03</v>
      </c>
      <c r="I18" s="63">
        <f t="shared" si="8"/>
        <v>-26.06</v>
      </c>
      <c r="J18" s="63">
        <f t="shared" si="8"/>
        <v>-39.089999999999996</v>
      </c>
      <c r="K18" s="63">
        <f t="shared" si="8"/>
        <v>-52.12</v>
      </c>
      <c r="L18" s="63">
        <f t="shared" si="8"/>
        <v>-65.14999999999999</v>
      </c>
      <c r="M18" s="63">
        <f t="shared" si="8"/>
        <v>-78.17999999999999</v>
      </c>
      <c r="N18" s="63">
        <f t="shared" si="8"/>
        <v>-91.21</v>
      </c>
      <c r="O18" s="63">
        <f t="shared" si="8"/>
        <v>-104.24</v>
      </c>
      <c r="P18" s="64"/>
    </row>
    <row r="19" spans="1:16" ht="12.75">
      <c r="A19" s="27" t="s">
        <v>43</v>
      </c>
      <c r="B19" s="27"/>
      <c r="C19" s="63"/>
      <c r="D19" s="63"/>
      <c r="E19" s="63"/>
      <c r="F19" s="63"/>
      <c r="G19" s="63"/>
      <c r="H19" s="63">
        <f>+G18*G5</f>
        <v>0</v>
      </c>
      <c r="I19" s="63">
        <f>+H18*(H5/12)</f>
        <v>-0.07872291666666666</v>
      </c>
      <c r="J19" s="63">
        <f aca="true" t="shared" si="9" ref="J19:O19">+I18*(I5/12)</f>
        <v>-0.1574458333333333</v>
      </c>
      <c r="K19" s="63">
        <f t="shared" si="9"/>
        <v>-0.23616874999999998</v>
      </c>
      <c r="L19" s="63">
        <f t="shared" si="9"/>
        <v>-0.3148916666666666</v>
      </c>
      <c r="M19" s="63">
        <f t="shared" si="9"/>
        <v>-0.39361458333333327</v>
      </c>
      <c r="N19" s="63">
        <f t="shared" si="9"/>
        <v>-0.47233749999999997</v>
      </c>
      <c r="O19" s="63">
        <f t="shared" si="9"/>
        <v>-0.5510604166666666</v>
      </c>
      <c r="P19" s="64">
        <f>SUM(E19:O19)</f>
        <v>-2.2042416666666664</v>
      </c>
    </row>
    <row r="20" spans="1:16" ht="12.75">
      <c r="A20" s="27"/>
      <c r="B20" s="27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</row>
    <row r="21" spans="1:16" ht="12.75">
      <c r="A21" s="27" t="s">
        <v>20</v>
      </c>
      <c r="B21" s="27"/>
      <c r="C21" s="63">
        <f>-0.72-0.3</f>
        <v>-1.02</v>
      </c>
      <c r="D21" s="63"/>
      <c r="E21" s="63"/>
      <c r="F21" s="63"/>
      <c r="G21" s="63"/>
      <c r="H21" s="63">
        <f aca="true" t="shared" si="10" ref="H21:O21">ROUND((($C21)/12),2)</f>
        <v>-0.09</v>
      </c>
      <c r="I21" s="63">
        <f t="shared" si="10"/>
        <v>-0.09</v>
      </c>
      <c r="J21" s="63">
        <f t="shared" si="10"/>
        <v>-0.09</v>
      </c>
      <c r="K21" s="63">
        <f t="shared" si="10"/>
        <v>-0.09</v>
      </c>
      <c r="L21" s="63">
        <f t="shared" si="10"/>
        <v>-0.09</v>
      </c>
      <c r="M21" s="63">
        <f t="shared" si="10"/>
        <v>-0.09</v>
      </c>
      <c r="N21" s="63">
        <f t="shared" si="10"/>
        <v>-0.09</v>
      </c>
      <c r="O21" s="63">
        <f t="shared" si="10"/>
        <v>-0.09</v>
      </c>
      <c r="P21" s="64">
        <f>SUM(D21:O21)</f>
        <v>-0.7199999999999999</v>
      </c>
    </row>
    <row r="22" spans="1:16" ht="12.75">
      <c r="A22" s="27" t="s">
        <v>42</v>
      </c>
      <c r="B22" s="27"/>
      <c r="C22" s="63"/>
      <c r="D22" s="63"/>
      <c r="E22" s="63"/>
      <c r="F22" s="63"/>
      <c r="G22" s="63"/>
      <c r="H22" s="63">
        <f aca="true" t="shared" si="11" ref="H22:O22">+G22+H21</f>
        <v>-0.09</v>
      </c>
      <c r="I22" s="63">
        <f t="shared" si="11"/>
        <v>-0.18</v>
      </c>
      <c r="J22" s="63">
        <f t="shared" si="11"/>
        <v>-0.27</v>
      </c>
      <c r="K22" s="63">
        <f t="shared" si="11"/>
        <v>-0.36</v>
      </c>
      <c r="L22" s="63">
        <f t="shared" si="11"/>
        <v>-0.44999999999999996</v>
      </c>
      <c r="M22" s="63">
        <f t="shared" si="11"/>
        <v>-0.5399999999999999</v>
      </c>
      <c r="N22" s="63">
        <f t="shared" si="11"/>
        <v>-0.6299999999999999</v>
      </c>
      <c r="O22" s="63">
        <f t="shared" si="11"/>
        <v>-0.7199999999999999</v>
      </c>
      <c r="P22" s="64"/>
    </row>
    <row r="23" spans="1:16" ht="12.75">
      <c r="A23" s="27" t="s">
        <v>43</v>
      </c>
      <c r="B23" s="27"/>
      <c r="C23" s="63"/>
      <c r="D23" s="63"/>
      <c r="E23" s="63"/>
      <c r="F23" s="63"/>
      <c r="G23" s="63"/>
      <c r="H23" s="63">
        <f>+G22*G5</f>
        <v>0</v>
      </c>
      <c r="I23" s="63">
        <f>+H22*(H5/12)</f>
        <v>-0.00054375</v>
      </c>
      <c r="J23" s="63">
        <f aca="true" t="shared" si="12" ref="J23:O23">+I22*(I5/12)</f>
        <v>-0.0010875</v>
      </c>
      <c r="K23" s="63">
        <f t="shared" si="12"/>
        <v>-0.00163125</v>
      </c>
      <c r="L23" s="63">
        <f t="shared" si="12"/>
        <v>-0.002175</v>
      </c>
      <c r="M23" s="63">
        <f t="shared" si="12"/>
        <v>-0.00271875</v>
      </c>
      <c r="N23" s="63">
        <f t="shared" si="12"/>
        <v>-0.0032624999999999993</v>
      </c>
      <c r="O23" s="63">
        <f t="shared" si="12"/>
        <v>-0.0038062499999999993</v>
      </c>
      <c r="P23" s="64">
        <f>SUM(E23:O23)</f>
        <v>-0.015224999999999999</v>
      </c>
    </row>
    <row r="24" ht="12.75">
      <c r="P24" s="30"/>
    </row>
    <row r="25" spans="1:16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</row>
    <row r="26" spans="4:15" s="20" customFormat="1" ht="12.75">
      <c r="D26" s="21">
        <f>7.25%</f>
        <v>0.0725</v>
      </c>
      <c r="E26" s="21">
        <f>7.25%</f>
        <v>0.0725</v>
      </c>
      <c r="F26" s="21">
        <f>7.25%</f>
        <v>0.0725</v>
      </c>
      <c r="G26" s="21">
        <f>4.14%</f>
        <v>0.0414</v>
      </c>
      <c r="H26" s="21">
        <f>4.14%</f>
        <v>0.0414</v>
      </c>
      <c r="I26" s="21">
        <f>4.14%</f>
        <v>0.0414</v>
      </c>
      <c r="J26" s="21">
        <f aca="true" t="shared" si="13" ref="J26:O26">4.59%</f>
        <v>0.045899999999999996</v>
      </c>
      <c r="K26" s="21">
        <f t="shared" si="13"/>
        <v>0.045899999999999996</v>
      </c>
      <c r="L26" s="21">
        <f t="shared" si="13"/>
        <v>0.045899999999999996</v>
      </c>
      <c r="M26" s="21">
        <f t="shared" si="13"/>
        <v>0.045899999999999996</v>
      </c>
      <c r="N26" s="21">
        <f t="shared" si="13"/>
        <v>0.045899999999999996</v>
      </c>
      <c r="O26" s="21">
        <f t="shared" si="13"/>
        <v>0.045899999999999996</v>
      </c>
    </row>
    <row r="27" spans="1:16" s="23" customFormat="1" ht="12.75">
      <c r="A27" s="22"/>
      <c r="B27" s="22"/>
      <c r="C27" s="22"/>
      <c r="D27" s="22" t="s">
        <v>26</v>
      </c>
      <c r="E27" s="22" t="s">
        <v>27</v>
      </c>
      <c r="F27" s="22" t="s">
        <v>28</v>
      </c>
      <c r="G27" s="22" t="s">
        <v>29</v>
      </c>
      <c r="H27" s="22" t="s">
        <v>30</v>
      </c>
      <c r="I27" s="22" t="s">
        <v>31</v>
      </c>
      <c r="J27" s="22" t="s">
        <v>32</v>
      </c>
      <c r="K27" s="22" t="s">
        <v>33</v>
      </c>
      <c r="L27" s="22" t="s">
        <v>34</v>
      </c>
      <c r="M27" s="22" t="s">
        <v>35</v>
      </c>
      <c r="N27" s="22" t="s">
        <v>36</v>
      </c>
      <c r="O27" s="22" t="s">
        <v>37</v>
      </c>
      <c r="P27" s="22" t="s">
        <v>38</v>
      </c>
    </row>
    <row r="28" spans="1:3" ht="25.5">
      <c r="A28" s="24" t="s">
        <v>45</v>
      </c>
      <c r="B28" s="25" t="s">
        <v>40</v>
      </c>
      <c r="C28" s="26" t="s">
        <v>41</v>
      </c>
    </row>
    <row r="30" spans="1:16" ht="12.75">
      <c r="A30" s="27" t="s">
        <v>1</v>
      </c>
      <c r="B30" s="65">
        <f>+C9</f>
        <v>-8243.17</v>
      </c>
      <c r="C30" s="63">
        <v>-11544.67</v>
      </c>
      <c r="D30" s="63">
        <f>ROUND(($C30/12),2)</f>
        <v>-962.06</v>
      </c>
      <c r="E30" s="63">
        <f aca="true" t="shared" si="14" ref="E30:O30">ROUND(($C30/12),2)</f>
        <v>-962.06</v>
      </c>
      <c r="F30" s="63">
        <f t="shared" si="14"/>
        <v>-962.06</v>
      </c>
      <c r="G30" s="63">
        <f t="shared" si="14"/>
        <v>-962.06</v>
      </c>
      <c r="H30" s="63">
        <f t="shared" si="14"/>
        <v>-962.06</v>
      </c>
      <c r="I30" s="63">
        <f t="shared" si="14"/>
        <v>-962.06</v>
      </c>
      <c r="J30" s="63">
        <f t="shared" si="14"/>
        <v>-962.06</v>
      </c>
      <c r="K30" s="63">
        <f t="shared" si="14"/>
        <v>-962.06</v>
      </c>
      <c r="L30" s="63">
        <f t="shared" si="14"/>
        <v>-962.06</v>
      </c>
      <c r="M30" s="63">
        <f t="shared" si="14"/>
        <v>-962.06</v>
      </c>
      <c r="N30" s="63">
        <f t="shared" si="14"/>
        <v>-962.06</v>
      </c>
      <c r="O30" s="63">
        <f t="shared" si="14"/>
        <v>-962.06</v>
      </c>
      <c r="P30" s="64">
        <f>SUM(D30:O30)</f>
        <v>-11544.719999999996</v>
      </c>
    </row>
    <row r="31" spans="1:17" ht="12.75">
      <c r="A31" s="27" t="s">
        <v>42</v>
      </c>
      <c r="B31" s="65"/>
      <c r="C31" s="63"/>
      <c r="D31" s="63">
        <f>+B30+D30</f>
        <v>-9205.23</v>
      </c>
      <c r="E31" s="63">
        <f>+E30+D31</f>
        <v>-10167.289999999999</v>
      </c>
      <c r="F31" s="63">
        <f aca="true" t="shared" si="15" ref="F31:O31">+F30+E31</f>
        <v>-11129.349999999999</v>
      </c>
      <c r="G31" s="63">
        <f t="shared" si="15"/>
        <v>-12091.409999999998</v>
      </c>
      <c r="H31" s="63">
        <f t="shared" si="15"/>
        <v>-13053.469999999998</v>
      </c>
      <c r="I31" s="63">
        <f t="shared" si="15"/>
        <v>-14015.529999999997</v>
      </c>
      <c r="J31" s="63">
        <f t="shared" si="15"/>
        <v>-14977.589999999997</v>
      </c>
      <c r="K31" s="63">
        <f t="shared" si="15"/>
        <v>-15939.649999999996</v>
      </c>
      <c r="L31" s="63">
        <f t="shared" si="15"/>
        <v>-16901.709999999995</v>
      </c>
      <c r="M31" s="63">
        <f t="shared" si="15"/>
        <v>-17863.769999999997</v>
      </c>
      <c r="N31" s="63">
        <f t="shared" si="15"/>
        <v>-18825.829999999998</v>
      </c>
      <c r="O31" s="63">
        <f t="shared" si="15"/>
        <v>-19787.89</v>
      </c>
      <c r="P31" s="64"/>
      <c r="Q31" s="34"/>
    </row>
    <row r="32" spans="1:16" ht="12.75">
      <c r="A32" s="27" t="s">
        <v>43</v>
      </c>
      <c r="B32" s="65"/>
      <c r="C32" s="63"/>
      <c r="D32" s="63">
        <f>+O10*(O5/12)</f>
        <v>-49.80266666666666</v>
      </c>
      <c r="E32" s="63">
        <f>+D31*(D26/12)</f>
        <v>-55.61493125</v>
      </c>
      <c r="F32" s="63">
        <f aca="true" t="shared" si="16" ref="F32:O32">+E31*(E26/12)</f>
        <v>-61.427377083333326</v>
      </c>
      <c r="G32" s="63">
        <f t="shared" si="16"/>
        <v>-67.23982291666665</v>
      </c>
      <c r="H32" s="63">
        <f t="shared" si="16"/>
        <v>-41.71536449999999</v>
      </c>
      <c r="I32" s="63">
        <f t="shared" si="16"/>
        <v>-45.03447149999999</v>
      </c>
      <c r="J32" s="63">
        <f t="shared" si="16"/>
        <v>-48.35357849999999</v>
      </c>
      <c r="K32" s="63">
        <f t="shared" si="16"/>
        <v>-57.28928174999999</v>
      </c>
      <c r="L32" s="63">
        <f t="shared" si="16"/>
        <v>-60.969161249999985</v>
      </c>
      <c r="M32" s="63">
        <f t="shared" si="16"/>
        <v>-64.64904074999998</v>
      </c>
      <c r="N32" s="63">
        <f t="shared" si="16"/>
        <v>-68.32892024999998</v>
      </c>
      <c r="O32" s="63">
        <f t="shared" si="16"/>
        <v>-72.00879975</v>
      </c>
      <c r="P32" s="64">
        <f>SUM(D32:O32)</f>
        <v>-692.4334161666666</v>
      </c>
    </row>
    <row r="33" spans="1:16" ht="12.75">
      <c r="A33" s="27"/>
      <c r="B33" s="65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</row>
    <row r="34" spans="1:16" ht="12.75">
      <c r="A34" s="27" t="s">
        <v>2</v>
      </c>
      <c r="B34" s="65">
        <f>+C13</f>
        <v>-2996.46</v>
      </c>
      <c r="C34" s="63">
        <v>-4303.34</v>
      </c>
      <c r="D34" s="63">
        <f>ROUND((($C34)/12),2)</f>
        <v>-358.61</v>
      </c>
      <c r="E34" s="63">
        <f aca="true" t="shared" si="17" ref="E34:O34">ROUND((($C34)/12),2)</f>
        <v>-358.61</v>
      </c>
      <c r="F34" s="63">
        <f t="shared" si="17"/>
        <v>-358.61</v>
      </c>
      <c r="G34" s="63">
        <f t="shared" si="17"/>
        <v>-358.61</v>
      </c>
      <c r="H34" s="63">
        <f t="shared" si="17"/>
        <v>-358.61</v>
      </c>
      <c r="I34" s="63">
        <f t="shared" si="17"/>
        <v>-358.61</v>
      </c>
      <c r="J34" s="63">
        <f t="shared" si="17"/>
        <v>-358.61</v>
      </c>
      <c r="K34" s="63">
        <f t="shared" si="17"/>
        <v>-358.61</v>
      </c>
      <c r="L34" s="63">
        <f t="shared" si="17"/>
        <v>-358.61</v>
      </c>
      <c r="M34" s="63">
        <f t="shared" si="17"/>
        <v>-358.61</v>
      </c>
      <c r="N34" s="63">
        <f t="shared" si="17"/>
        <v>-358.61</v>
      </c>
      <c r="O34" s="63">
        <f t="shared" si="17"/>
        <v>-358.61</v>
      </c>
      <c r="P34" s="64">
        <f>SUM(D34:O34)</f>
        <v>-4303.320000000001</v>
      </c>
    </row>
    <row r="35" spans="1:16" ht="12.75">
      <c r="A35" s="27" t="s">
        <v>42</v>
      </c>
      <c r="B35" s="65"/>
      <c r="C35" s="63"/>
      <c r="D35" s="63">
        <f>+B34+D34</f>
        <v>-3355.07</v>
      </c>
      <c r="E35" s="63">
        <f>+D35+E34</f>
        <v>-3713.6800000000003</v>
      </c>
      <c r="F35" s="63">
        <f aca="true" t="shared" si="18" ref="F35:O35">+E35+F34</f>
        <v>-4072.2900000000004</v>
      </c>
      <c r="G35" s="63">
        <f t="shared" si="18"/>
        <v>-4430.900000000001</v>
      </c>
      <c r="H35" s="63">
        <f t="shared" si="18"/>
        <v>-4789.51</v>
      </c>
      <c r="I35" s="63">
        <f t="shared" si="18"/>
        <v>-5148.12</v>
      </c>
      <c r="J35" s="63">
        <f t="shared" si="18"/>
        <v>-5506.73</v>
      </c>
      <c r="K35" s="63">
        <f t="shared" si="18"/>
        <v>-5865.339999999999</v>
      </c>
      <c r="L35" s="63">
        <f t="shared" si="18"/>
        <v>-6223.949999999999</v>
      </c>
      <c r="M35" s="63">
        <f t="shared" si="18"/>
        <v>-6582.559999999999</v>
      </c>
      <c r="N35" s="63">
        <f t="shared" si="18"/>
        <v>-6941.169999999998</v>
      </c>
      <c r="O35" s="63">
        <f t="shared" si="18"/>
        <v>-7299.779999999998</v>
      </c>
      <c r="P35" s="64"/>
    </row>
    <row r="36" spans="1:16" ht="12.75">
      <c r="A36" s="27" t="s">
        <v>43</v>
      </c>
      <c r="B36" s="65"/>
      <c r="C36" s="63"/>
      <c r="D36" s="63">
        <f>+O14*(O5/12)</f>
        <v>-12.069316666666667</v>
      </c>
      <c r="E36" s="63">
        <f>+D35*(D26/12)</f>
        <v>-20.270214583333335</v>
      </c>
      <c r="F36" s="63">
        <f aca="true" t="shared" si="19" ref="F36:N36">+E35*(E26/12)</f>
        <v>-22.43681666666667</v>
      </c>
      <c r="G36" s="63">
        <f t="shared" si="19"/>
        <v>-24.603418750000003</v>
      </c>
      <c r="H36" s="63">
        <f t="shared" si="19"/>
        <v>-15.286605000000002</v>
      </c>
      <c r="I36" s="63">
        <f t="shared" si="19"/>
        <v>-16.5238095</v>
      </c>
      <c r="J36" s="63">
        <f t="shared" si="19"/>
        <v>-17.761014</v>
      </c>
      <c r="K36" s="63">
        <f t="shared" si="19"/>
        <v>-21.06324225</v>
      </c>
      <c r="L36" s="63">
        <f t="shared" si="19"/>
        <v>-22.434925499999995</v>
      </c>
      <c r="M36" s="63">
        <f t="shared" si="19"/>
        <v>-23.806608749999995</v>
      </c>
      <c r="N36" s="63">
        <f t="shared" si="19"/>
        <v>-25.178291999999992</v>
      </c>
      <c r="O36" s="63">
        <f>+N35*(N26/12)</f>
        <v>-26.549975249999992</v>
      </c>
      <c r="P36" s="64">
        <f>SUM(D36:O36)</f>
        <v>-247.98423891666664</v>
      </c>
    </row>
    <row r="37" spans="1:16" ht="12.75">
      <c r="A37" s="27"/>
      <c r="B37" s="65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</row>
    <row r="38" spans="1:16" ht="12.75">
      <c r="A38" s="27" t="s">
        <v>44</v>
      </c>
      <c r="B38" s="65">
        <f>+P17+P19</f>
        <v>-106.44424166666666</v>
      </c>
      <c r="C38" s="63">
        <v>-234.5</v>
      </c>
      <c r="D38" s="63">
        <f>ROUND((($C38)/12),2)</f>
        <v>-19.54</v>
      </c>
      <c r="E38" s="63">
        <f aca="true" t="shared" si="20" ref="E38:O38">ROUND((($C38)/12),2)</f>
        <v>-19.54</v>
      </c>
      <c r="F38" s="63">
        <f t="shared" si="20"/>
        <v>-19.54</v>
      </c>
      <c r="G38" s="63">
        <f t="shared" si="20"/>
        <v>-19.54</v>
      </c>
      <c r="H38" s="63">
        <f t="shared" si="20"/>
        <v>-19.54</v>
      </c>
      <c r="I38" s="63">
        <f t="shared" si="20"/>
        <v>-19.54</v>
      </c>
      <c r="J38" s="63">
        <f t="shared" si="20"/>
        <v>-19.54</v>
      </c>
      <c r="K38" s="63">
        <f t="shared" si="20"/>
        <v>-19.54</v>
      </c>
      <c r="L38" s="63">
        <f t="shared" si="20"/>
        <v>-19.54</v>
      </c>
      <c r="M38" s="63">
        <f t="shared" si="20"/>
        <v>-19.54</v>
      </c>
      <c r="N38" s="63">
        <f t="shared" si="20"/>
        <v>-19.54</v>
      </c>
      <c r="O38" s="63">
        <f t="shared" si="20"/>
        <v>-19.54</v>
      </c>
      <c r="P38" s="64">
        <f>SUM(D38:O38)</f>
        <v>-234.47999999999993</v>
      </c>
    </row>
    <row r="39" spans="1:16" ht="12.75">
      <c r="A39" s="27" t="s">
        <v>42</v>
      </c>
      <c r="B39" s="65"/>
      <c r="C39" s="63"/>
      <c r="D39" s="63">
        <f>+B38+D38</f>
        <v>-125.98424166666666</v>
      </c>
      <c r="E39" s="63">
        <f>+D39+E38</f>
        <v>-145.52424166666665</v>
      </c>
      <c r="F39" s="63">
        <f aca="true" t="shared" si="21" ref="F39:O39">+E39+F38</f>
        <v>-165.06424166666665</v>
      </c>
      <c r="G39" s="63">
        <f t="shared" si="21"/>
        <v>-184.60424166666664</v>
      </c>
      <c r="H39" s="63">
        <f t="shared" si="21"/>
        <v>-204.14424166666663</v>
      </c>
      <c r="I39" s="63">
        <f t="shared" si="21"/>
        <v>-223.68424166666662</v>
      </c>
      <c r="J39" s="63">
        <f t="shared" si="21"/>
        <v>-243.22424166666661</v>
      </c>
      <c r="K39" s="63">
        <f t="shared" si="21"/>
        <v>-262.76424166666663</v>
      </c>
      <c r="L39" s="63">
        <f t="shared" si="21"/>
        <v>-282.30424166666666</v>
      </c>
      <c r="M39" s="63">
        <f t="shared" si="21"/>
        <v>-301.8442416666667</v>
      </c>
      <c r="N39" s="63">
        <f t="shared" si="21"/>
        <v>-321.3842416666667</v>
      </c>
      <c r="O39" s="63">
        <f t="shared" si="21"/>
        <v>-340.9242416666667</v>
      </c>
      <c r="P39" s="64"/>
    </row>
    <row r="40" spans="1:16" ht="12.75">
      <c r="A40" s="27" t="s">
        <v>43</v>
      </c>
      <c r="B40" s="65"/>
      <c r="C40" s="63"/>
      <c r="D40" s="63">
        <f>+O18*(O5/12)</f>
        <v>-0.6297833333333333</v>
      </c>
      <c r="E40" s="63">
        <f>+D39*(D26/12)</f>
        <v>-0.7611547934027777</v>
      </c>
      <c r="F40" s="63">
        <f aca="true" t="shared" si="22" ref="F40:O40">+E39*(E26/12)</f>
        <v>-0.8792089600694444</v>
      </c>
      <c r="G40" s="63">
        <f t="shared" si="22"/>
        <v>-0.997263126736111</v>
      </c>
      <c r="H40" s="63">
        <f t="shared" si="22"/>
        <v>-0.6368846337499999</v>
      </c>
      <c r="I40" s="63">
        <f t="shared" si="22"/>
        <v>-0.7042976337499999</v>
      </c>
      <c r="J40" s="63">
        <f t="shared" si="22"/>
        <v>-0.7717106337499998</v>
      </c>
      <c r="K40" s="63">
        <f t="shared" si="22"/>
        <v>-0.9303327243749998</v>
      </c>
      <c r="L40" s="63">
        <f t="shared" si="22"/>
        <v>-1.0050732243749998</v>
      </c>
      <c r="M40" s="63">
        <f t="shared" si="22"/>
        <v>-1.079813724375</v>
      </c>
      <c r="N40" s="63">
        <f t="shared" si="22"/>
        <v>-1.154554224375</v>
      </c>
      <c r="O40" s="63">
        <f t="shared" si="22"/>
        <v>-1.229294724375</v>
      </c>
      <c r="P40" s="64">
        <f>SUM(D40:O40)</f>
        <v>-10.779371736666665</v>
      </c>
    </row>
    <row r="41" spans="1:16" ht="12.75">
      <c r="A41" s="27"/>
      <c r="B41" s="65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4"/>
    </row>
    <row r="42" spans="1:16" ht="12.75">
      <c r="A42" s="27" t="s">
        <v>20</v>
      </c>
      <c r="B42" s="65">
        <f>+P21+P23</f>
        <v>-0.7352249999999999</v>
      </c>
      <c r="C42" s="63">
        <v>-1.53</v>
      </c>
      <c r="D42" s="63">
        <f>ROUND((($C42)/12),2)</f>
        <v>-0.13</v>
      </c>
      <c r="E42" s="63">
        <f aca="true" t="shared" si="23" ref="E42:O42">ROUND((($C42)/12),2)</f>
        <v>-0.13</v>
      </c>
      <c r="F42" s="63">
        <f t="shared" si="23"/>
        <v>-0.13</v>
      </c>
      <c r="G42" s="63">
        <f t="shared" si="23"/>
        <v>-0.13</v>
      </c>
      <c r="H42" s="63">
        <f t="shared" si="23"/>
        <v>-0.13</v>
      </c>
      <c r="I42" s="63">
        <f t="shared" si="23"/>
        <v>-0.13</v>
      </c>
      <c r="J42" s="63">
        <f t="shared" si="23"/>
        <v>-0.13</v>
      </c>
      <c r="K42" s="63">
        <f t="shared" si="23"/>
        <v>-0.13</v>
      </c>
      <c r="L42" s="63">
        <f t="shared" si="23"/>
        <v>-0.13</v>
      </c>
      <c r="M42" s="63">
        <f t="shared" si="23"/>
        <v>-0.13</v>
      </c>
      <c r="N42" s="63">
        <f t="shared" si="23"/>
        <v>-0.13</v>
      </c>
      <c r="O42" s="63">
        <f t="shared" si="23"/>
        <v>-0.13</v>
      </c>
      <c r="P42" s="64">
        <f>SUM(D42:O42)</f>
        <v>-1.5599999999999996</v>
      </c>
    </row>
    <row r="43" spans="1:16" ht="12.75">
      <c r="A43" s="27" t="s">
        <v>42</v>
      </c>
      <c r="B43" s="65"/>
      <c r="C43" s="63"/>
      <c r="D43" s="63">
        <f>+D42+B42</f>
        <v>-0.8652249999999999</v>
      </c>
      <c r="E43" s="63">
        <f>+D43+E42</f>
        <v>-0.9952249999999999</v>
      </c>
      <c r="F43" s="63">
        <f aca="true" t="shared" si="24" ref="F43:O43">+E43+F42</f>
        <v>-1.125225</v>
      </c>
      <c r="G43" s="63">
        <f t="shared" si="24"/>
        <v>-1.2552249999999998</v>
      </c>
      <c r="H43" s="63">
        <f t="shared" si="24"/>
        <v>-1.3852249999999997</v>
      </c>
      <c r="I43" s="63">
        <f t="shared" si="24"/>
        <v>-1.5152249999999996</v>
      </c>
      <c r="J43" s="63">
        <f t="shared" si="24"/>
        <v>-1.6452249999999995</v>
      </c>
      <c r="K43" s="63">
        <f t="shared" si="24"/>
        <v>-1.7752249999999994</v>
      </c>
      <c r="L43" s="63">
        <f t="shared" si="24"/>
        <v>-1.9052249999999993</v>
      </c>
      <c r="M43" s="63">
        <f t="shared" si="24"/>
        <v>-2.035224999999999</v>
      </c>
      <c r="N43" s="63">
        <f t="shared" si="24"/>
        <v>-2.165224999999999</v>
      </c>
      <c r="O43" s="63">
        <f t="shared" si="24"/>
        <v>-2.295224999999999</v>
      </c>
      <c r="P43" s="64"/>
    </row>
    <row r="44" spans="1:16" ht="12.75">
      <c r="A44" s="27" t="s">
        <v>43</v>
      </c>
      <c r="B44" s="65"/>
      <c r="C44" s="63"/>
      <c r="D44" s="63">
        <f>+O22*(O5/12)</f>
        <v>-0.004349999999999999</v>
      </c>
      <c r="E44" s="63">
        <f>+D43*(D26/12)</f>
        <v>-0.005227401041666666</v>
      </c>
      <c r="F44" s="63">
        <f aca="true" t="shared" si="25" ref="F44:O44">+E43*(E26/12)</f>
        <v>-0.006012817708333333</v>
      </c>
      <c r="G44" s="63">
        <f t="shared" si="25"/>
        <v>-0.006798234374999999</v>
      </c>
      <c r="H44" s="63">
        <f t="shared" si="25"/>
        <v>-0.004330526249999999</v>
      </c>
      <c r="I44" s="63">
        <f t="shared" si="25"/>
        <v>-0.004779026249999999</v>
      </c>
      <c r="J44" s="63">
        <f t="shared" si="25"/>
        <v>-0.005227526249999999</v>
      </c>
      <c r="K44" s="63">
        <f t="shared" si="25"/>
        <v>-0.006292985624999998</v>
      </c>
      <c r="L44" s="63">
        <f t="shared" si="25"/>
        <v>-0.0067902356249999974</v>
      </c>
      <c r="M44" s="63">
        <f t="shared" si="25"/>
        <v>-0.007287485624999997</v>
      </c>
      <c r="N44" s="63">
        <f t="shared" si="25"/>
        <v>-0.007784735624999996</v>
      </c>
      <c r="O44" s="63">
        <f t="shared" si="25"/>
        <v>-0.008281985624999997</v>
      </c>
      <c r="P44" s="64">
        <f>SUM(D44:O44)</f>
        <v>-0.07316295999999999</v>
      </c>
    </row>
    <row r="45" spans="1:16" ht="12.75">
      <c r="A45" s="27"/>
      <c r="B45" s="3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</row>
    <row r="46" spans="1:16" ht="14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</row>
    <row r="47" spans="4:15" s="20" customFormat="1" ht="12.75">
      <c r="D47" s="21">
        <f>4.59%</f>
        <v>0.045899999999999996</v>
      </c>
      <c r="E47" s="21">
        <f aca="true" t="shared" si="26" ref="E47:L47">4.59%</f>
        <v>0.045899999999999996</v>
      </c>
      <c r="F47" s="21">
        <f t="shared" si="26"/>
        <v>0.045899999999999996</v>
      </c>
      <c r="G47" s="21">
        <f t="shared" si="26"/>
        <v>0.045899999999999996</v>
      </c>
      <c r="H47" s="21">
        <f t="shared" si="26"/>
        <v>0.045899999999999996</v>
      </c>
      <c r="I47" s="21">
        <f t="shared" si="26"/>
        <v>0.045899999999999996</v>
      </c>
      <c r="J47" s="21">
        <f t="shared" si="26"/>
        <v>0.045899999999999996</v>
      </c>
      <c r="K47" s="21">
        <f t="shared" si="26"/>
        <v>0.045899999999999996</v>
      </c>
      <c r="L47" s="21">
        <f t="shared" si="26"/>
        <v>0.045899999999999996</v>
      </c>
      <c r="M47" s="21">
        <f>5.14%</f>
        <v>0.051399999999999994</v>
      </c>
      <c r="N47" s="21">
        <f>5.14%</f>
        <v>0.051399999999999994</v>
      </c>
      <c r="O47" s="21">
        <f>5.14%</f>
        <v>0.051399999999999994</v>
      </c>
    </row>
    <row r="48" spans="1:16" s="23" customFormat="1" ht="12.75">
      <c r="A48" s="22"/>
      <c r="B48" s="22"/>
      <c r="C48" s="22"/>
      <c r="D48" s="22" t="s">
        <v>26</v>
      </c>
      <c r="E48" s="22" t="s">
        <v>27</v>
      </c>
      <c r="F48" s="22" t="s">
        <v>28</v>
      </c>
      <c r="G48" s="22" t="s">
        <v>29</v>
      </c>
      <c r="H48" s="22" t="s">
        <v>30</v>
      </c>
      <c r="I48" s="22" t="s">
        <v>31</v>
      </c>
      <c r="J48" s="22" t="s">
        <v>32</v>
      </c>
      <c r="K48" s="22" t="s">
        <v>33</v>
      </c>
      <c r="L48" s="22" t="s">
        <v>34</v>
      </c>
      <c r="M48" s="22" t="s">
        <v>35</v>
      </c>
      <c r="N48" s="22" t="s">
        <v>36</v>
      </c>
      <c r="O48" s="22" t="s">
        <v>37</v>
      </c>
      <c r="P48" s="22" t="s">
        <v>38</v>
      </c>
    </row>
    <row r="49" spans="1:9" ht="25.5">
      <c r="A49" s="24" t="s">
        <v>46</v>
      </c>
      <c r="B49" s="25" t="s">
        <v>40</v>
      </c>
      <c r="C49" s="26" t="s">
        <v>41</v>
      </c>
      <c r="F49" s="20"/>
      <c r="G49" s="20"/>
      <c r="H49" s="20"/>
      <c r="I49" s="20"/>
    </row>
    <row r="51" spans="1:16" ht="12.75">
      <c r="A51" s="27" t="s">
        <v>1</v>
      </c>
      <c r="B51" s="65">
        <f>+B30+C30</f>
        <v>-19787.84</v>
      </c>
      <c r="C51" s="63">
        <v>-11610.44</v>
      </c>
      <c r="D51" s="63">
        <f>ROUND(($C51/12),2)</f>
        <v>-967.54</v>
      </c>
      <c r="E51" s="63">
        <f aca="true" t="shared" si="27" ref="E51:O51">ROUND(($C51/12),2)</f>
        <v>-967.54</v>
      </c>
      <c r="F51" s="63">
        <f t="shared" si="27"/>
        <v>-967.54</v>
      </c>
      <c r="G51" s="63">
        <f t="shared" si="27"/>
        <v>-967.54</v>
      </c>
      <c r="H51" s="63">
        <f t="shared" si="27"/>
        <v>-967.54</v>
      </c>
      <c r="I51" s="63">
        <f t="shared" si="27"/>
        <v>-967.54</v>
      </c>
      <c r="J51" s="63">
        <f t="shared" si="27"/>
        <v>-967.54</v>
      </c>
      <c r="K51" s="63">
        <f t="shared" si="27"/>
        <v>-967.54</v>
      </c>
      <c r="L51" s="63">
        <f t="shared" si="27"/>
        <v>-967.54</v>
      </c>
      <c r="M51" s="63">
        <f t="shared" si="27"/>
        <v>-967.54</v>
      </c>
      <c r="N51" s="63">
        <f t="shared" si="27"/>
        <v>-967.54</v>
      </c>
      <c r="O51" s="63">
        <f t="shared" si="27"/>
        <v>-967.54</v>
      </c>
      <c r="P51" s="64">
        <f>SUM(D51:O51)</f>
        <v>-11610.480000000003</v>
      </c>
    </row>
    <row r="52" spans="1:16" ht="12.75">
      <c r="A52" s="27" t="s">
        <v>42</v>
      </c>
      <c r="B52" s="65"/>
      <c r="C52" s="63"/>
      <c r="D52" s="63">
        <f>+B51+D51</f>
        <v>-20755.38</v>
      </c>
      <c r="E52" s="63">
        <f aca="true" t="shared" si="28" ref="E52:O52">+E51+D52</f>
        <v>-21722.920000000002</v>
      </c>
      <c r="F52" s="63">
        <f t="shared" si="28"/>
        <v>-22690.460000000003</v>
      </c>
      <c r="G52" s="63">
        <f t="shared" si="28"/>
        <v>-23658.000000000004</v>
      </c>
      <c r="H52" s="63">
        <f t="shared" si="28"/>
        <v>-24625.540000000005</v>
      </c>
      <c r="I52" s="63">
        <f t="shared" si="28"/>
        <v>-25593.080000000005</v>
      </c>
      <c r="J52" s="63">
        <f t="shared" si="28"/>
        <v>-26560.620000000006</v>
      </c>
      <c r="K52" s="63">
        <f t="shared" si="28"/>
        <v>-27528.160000000007</v>
      </c>
      <c r="L52" s="63">
        <f t="shared" si="28"/>
        <v>-28495.700000000008</v>
      </c>
      <c r="M52" s="63">
        <f t="shared" si="28"/>
        <v>-29463.24000000001</v>
      </c>
      <c r="N52" s="63">
        <f t="shared" si="28"/>
        <v>-30430.78000000001</v>
      </c>
      <c r="O52" s="63">
        <f t="shared" si="28"/>
        <v>-31398.32000000001</v>
      </c>
      <c r="P52" s="64"/>
    </row>
    <row r="53" spans="1:16" ht="12.75">
      <c r="A53" s="27" t="s">
        <v>43</v>
      </c>
      <c r="B53" s="65"/>
      <c r="C53" s="63"/>
      <c r="D53" s="63">
        <f>+O31*(O26/12)</f>
        <v>-75.68867924999999</v>
      </c>
      <c r="E53" s="63">
        <f>+D52*(D47/12)</f>
        <v>-79.3893285</v>
      </c>
      <c r="F53" s="63">
        <f aca="true" t="shared" si="29" ref="F53:O53">+E52*(E47/12)</f>
        <v>-83.090169</v>
      </c>
      <c r="G53" s="63">
        <f t="shared" si="29"/>
        <v>-86.7910095</v>
      </c>
      <c r="H53" s="63">
        <f t="shared" si="29"/>
        <v>-90.49185000000001</v>
      </c>
      <c r="I53" s="63">
        <f t="shared" si="29"/>
        <v>-94.19269050000001</v>
      </c>
      <c r="J53" s="63">
        <f t="shared" si="29"/>
        <v>-97.89353100000001</v>
      </c>
      <c r="K53" s="63">
        <f t="shared" si="29"/>
        <v>-101.59437150000002</v>
      </c>
      <c r="L53" s="63">
        <f t="shared" si="29"/>
        <v>-105.29521200000002</v>
      </c>
      <c r="M53" s="63">
        <f t="shared" si="29"/>
        <v>-108.99605250000003</v>
      </c>
      <c r="N53" s="63">
        <f t="shared" si="29"/>
        <v>-126.20087800000002</v>
      </c>
      <c r="O53" s="63">
        <f t="shared" si="29"/>
        <v>-130.34517433333335</v>
      </c>
      <c r="P53" s="64">
        <f>SUM(D53:O53)</f>
        <v>-1179.9689460833333</v>
      </c>
    </row>
    <row r="54" spans="1:16" ht="12.75">
      <c r="A54" s="27"/>
      <c r="B54" s="65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4"/>
    </row>
    <row r="55" spans="1:16" ht="12.75">
      <c r="A55" s="27" t="s">
        <v>2</v>
      </c>
      <c r="B55" s="65">
        <f>+B34+C34</f>
        <v>-7299.8</v>
      </c>
      <c r="C55" s="63">
        <v>-4092.31</v>
      </c>
      <c r="D55" s="63">
        <f>ROUND((($C55)/12),2)</f>
        <v>-341.03</v>
      </c>
      <c r="E55" s="63">
        <f aca="true" t="shared" si="30" ref="E55:O55">ROUND((($C55)/12),2)</f>
        <v>-341.03</v>
      </c>
      <c r="F55" s="63">
        <f t="shared" si="30"/>
        <v>-341.03</v>
      </c>
      <c r="G55" s="63">
        <f t="shared" si="30"/>
        <v>-341.03</v>
      </c>
      <c r="H55" s="63">
        <f t="shared" si="30"/>
        <v>-341.03</v>
      </c>
      <c r="I55" s="63">
        <f t="shared" si="30"/>
        <v>-341.03</v>
      </c>
      <c r="J55" s="63">
        <f t="shared" si="30"/>
        <v>-341.03</v>
      </c>
      <c r="K55" s="63">
        <f t="shared" si="30"/>
        <v>-341.03</v>
      </c>
      <c r="L55" s="63">
        <f t="shared" si="30"/>
        <v>-341.03</v>
      </c>
      <c r="M55" s="63">
        <f t="shared" si="30"/>
        <v>-341.03</v>
      </c>
      <c r="N55" s="63">
        <f t="shared" si="30"/>
        <v>-341.03</v>
      </c>
      <c r="O55" s="63">
        <f t="shared" si="30"/>
        <v>-341.03</v>
      </c>
      <c r="P55" s="64">
        <f>SUM(D55:O55)</f>
        <v>-4092.3599999999988</v>
      </c>
    </row>
    <row r="56" spans="1:16" ht="12.75">
      <c r="A56" s="27" t="s">
        <v>42</v>
      </c>
      <c r="B56" s="65"/>
      <c r="C56" s="63"/>
      <c r="D56" s="63">
        <f>+B55+D55</f>
        <v>-7640.83</v>
      </c>
      <c r="E56" s="63">
        <f aca="true" t="shared" si="31" ref="E56:O56">+D56+E55</f>
        <v>-7981.86</v>
      </c>
      <c r="F56" s="63">
        <f t="shared" si="31"/>
        <v>-8322.89</v>
      </c>
      <c r="G56" s="63">
        <f t="shared" si="31"/>
        <v>-8663.92</v>
      </c>
      <c r="H56" s="63">
        <f t="shared" si="31"/>
        <v>-9004.95</v>
      </c>
      <c r="I56" s="63">
        <f t="shared" si="31"/>
        <v>-9345.980000000001</v>
      </c>
      <c r="J56" s="63">
        <f t="shared" si="31"/>
        <v>-9687.010000000002</v>
      </c>
      <c r="K56" s="63">
        <f t="shared" si="31"/>
        <v>-10028.040000000003</v>
      </c>
      <c r="L56" s="63">
        <f t="shared" si="31"/>
        <v>-10369.070000000003</v>
      </c>
      <c r="M56" s="63">
        <f t="shared" si="31"/>
        <v>-10710.100000000004</v>
      </c>
      <c r="N56" s="63">
        <f t="shared" si="31"/>
        <v>-11051.130000000005</v>
      </c>
      <c r="O56" s="63">
        <f t="shared" si="31"/>
        <v>-11392.160000000005</v>
      </c>
      <c r="P56" s="64"/>
    </row>
    <row r="57" spans="1:16" ht="12.75">
      <c r="A57" s="27" t="s">
        <v>43</v>
      </c>
      <c r="B57" s="65"/>
      <c r="C57" s="63"/>
      <c r="D57" s="63">
        <f>+O35*(O26/12)</f>
        <v>-27.921658499999992</v>
      </c>
      <c r="E57" s="63">
        <f>+D56*(D47/12)</f>
        <v>-29.22617475</v>
      </c>
      <c r="F57" s="63">
        <f aca="true" t="shared" si="32" ref="F57:O57">+E56*(E47/12)</f>
        <v>-30.5306145</v>
      </c>
      <c r="G57" s="63">
        <f t="shared" si="32"/>
        <v>-31.835054249999995</v>
      </c>
      <c r="H57" s="63">
        <f t="shared" si="32"/>
        <v>-33.139494</v>
      </c>
      <c r="I57" s="63">
        <f t="shared" si="32"/>
        <v>-34.44393375</v>
      </c>
      <c r="J57" s="63">
        <f t="shared" si="32"/>
        <v>-35.74837350000001</v>
      </c>
      <c r="K57" s="63">
        <f t="shared" si="32"/>
        <v>-37.05281325000001</v>
      </c>
      <c r="L57" s="63">
        <f t="shared" si="32"/>
        <v>-38.35725300000001</v>
      </c>
      <c r="M57" s="63">
        <f t="shared" si="32"/>
        <v>-39.661692750000014</v>
      </c>
      <c r="N57" s="63">
        <f t="shared" si="32"/>
        <v>-45.874928333333344</v>
      </c>
      <c r="O57" s="63">
        <f t="shared" si="32"/>
        <v>-47.33567350000001</v>
      </c>
      <c r="P57" s="64">
        <f>SUM(D57:O57)</f>
        <v>-431.12766408333334</v>
      </c>
    </row>
    <row r="58" spans="1:16" ht="12.75">
      <c r="A58" s="27"/>
      <c r="B58" s="65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4"/>
    </row>
    <row r="59" spans="1:16" ht="12.75">
      <c r="A59" s="27" t="s">
        <v>44</v>
      </c>
      <c r="B59" s="65">
        <f>+B38+C38</f>
        <v>-340.94424166666664</v>
      </c>
      <c r="C59" s="63">
        <v>-234.5</v>
      </c>
      <c r="D59" s="63">
        <f>ROUND((($C59)/12),2)</f>
        <v>-19.54</v>
      </c>
      <c r="E59" s="63">
        <f aca="true" t="shared" si="33" ref="E59:O59">ROUND((($C59)/12),2)</f>
        <v>-19.54</v>
      </c>
      <c r="F59" s="63">
        <f t="shared" si="33"/>
        <v>-19.54</v>
      </c>
      <c r="G59" s="63">
        <f t="shared" si="33"/>
        <v>-19.54</v>
      </c>
      <c r="H59" s="63">
        <f t="shared" si="33"/>
        <v>-19.54</v>
      </c>
      <c r="I59" s="63">
        <f t="shared" si="33"/>
        <v>-19.54</v>
      </c>
      <c r="J59" s="63">
        <f t="shared" si="33"/>
        <v>-19.54</v>
      </c>
      <c r="K59" s="63">
        <f t="shared" si="33"/>
        <v>-19.54</v>
      </c>
      <c r="L59" s="63">
        <f t="shared" si="33"/>
        <v>-19.54</v>
      </c>
      <c r="M59" s="63">
        <f t="shared" si="33"/>
        <v>-19.54</v>
      </c>
      <c r="N59" s="63">
        <f t="shared" si="33"/>
        <v>-19.54</v>
      </c>
      <c r="O59" s="63">
        <f t="shared" si="33"/>
        <v>-19.54</v>
      </c>
      <c r="P59" s="64">
        <f>SUM(D59:O59)</f>
        <v>-234.47999999999993</v>
      </c>
    </row>
    <row r="60" spans="1:16" ht="12.75">
      <c r="A60" s="27" t="s">
        <v>42</v>
      </c>
      <c r="B60" s="65"/>
      <c r="C60" s="63"/>
      <c r="D60" s="63">
        <f>+B59+D59</f>
        <v>-360.48424166666666</v>
      </c>
      <c r="E60" s="63">
        <f aca="true" t="shared" si="34" ref="E60:O60">+D60+E59</f>
        <v>-380.0242416666667</v>
      </c>
      <c r="F60" s="63">
        <f t="shared" si="34"/>
        <v>-399.5642416666667</v>
      </c>
      <c r="G60" s="63">
        <f t="shared" si="34"/>
        <v>-419.1042416666667</v>
      </c>
      <c r="H60" s="63">
        <f t="shared" si="34"/>
        <v>-438.64424166666674</v>
      </c>
      <c r="I60" s="63">
        <f t="shared" si="34"/>
        <v>-458.18424166666676</v>
      </c>
      <c r="J60" s="63">
        <f t="shared" si="34"/>
        <v>-477.7242416666668</v>
      </c>
      <c r="K60" s="63">
        <f t="shared" si="34"/>
        <v>-497.2642416666668</v>
      </c>
      <c r="L60" s="63">
        <f t="shared" si="34"/>
        <v>-516.8042416666668</v>
      </c>
      <c r="M60" s="63">
        <f t="shared" si="34"/>
        <v>-536.3442416666668</v>
      </c>
      <c r="N60" s="63">
        <f t="shared" si="34"/>
        <v>-555.8842416666668</v>
      </c>
      <c r="O60" s="63">
        <f t="shared" si="34"/>
        <v>-575.4242416666667</v>
      </c>
      <c r="P60" s="64"/>
    </row>
    <row r="61" spans="1:16" ht="12.75">
      <c r="A61" s="27" t="s">
        <v>43</v>
      </c>
      <c r="B61" s="65"/>
      <c r="C61" s="63"/>
      <c r="D61" s="63">
        <f>+O39*(O26/12)</f>
        <v>-1.3040352243750002</v>
      </c>
      <c r="E61" s="63">
        <f>+D60*(D47/12)</f>
        <v>-1.3788522243749999</v>
      </c>
      <c r="F61" s="63">
        <f aca="true" t="shared" si="35" ref="F61:O61">+E60*(E47/12)</f>
        <v>-1.453592724375</v>
      </c>
      <c r="G61" s="63">
        <f t="shared" si="35"/>
        <v>-1.528333224375</v>
      </c>
      <c r="H61" s="63">
        <f t="shared" si="35"/>
        <v>-1.6030737243750002</v>
      </c>
      <c r="I61" s="63">
        <f t="shared" si="35"/>
        <v>-1.6778142243750003</v>
      </c>
      <c r="J61" s="63">
        <f t="shared" si="35"/>
        <v>-1.7525547243750004</v>
      </c>
      <c r="K61" s="63">
        <f t="shared" si="35"/>
        <v>-1.8272952243750005</v>
      </c>
      <c r="L61" s="63">
        <f t="shared" si="35"/>
        <v>-1.9020357243750003</v>
      </c>
      <c r="M61" s="63">
        <f t="shared" si="35"/>
        <v>-1.9767762243750004</v>
      </c>
      <c r="N61" s="63">
        <f t="shared" si="35"/>
        <v>-2.2973411684722223</v>
      </c>
      <c r="O61" s="63">
        <f t="shared" si="35"/>
        <v>-2.3810375018055554</v>
      </c>
      <c r="P61" s="64">
        <f>SUM(D61:O61)</f>
        <v>-21.08274191402778</v>
      </c>
    </row>
    <row r="62" spans="1:16" ht="12.75">
      <c r="A62" s="27"/>
      <c r="B62" s="65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4"/>
    </row>
    <row r="63" spans="1:16" ht="12.75">
      <c r="A63" s="27" t="s">
        <v>20</v>
      </c>
      <c r="B63" s="65">
        <f>+B42+C42</f>
        <v>-2.265225</v>
      </c>
      <c r="C63" s="63">
        <v>-1.53</v>
      </c>
      <c r="D63" s="63">
        <f>ROUND((($C63)/12),2)</f>
        <v>-0.13</v>
      </c>
      <c r="E63" s="63">
        <f aca="true" t="shared" si="36" ref="E63:O63">ROUND((($C63)/12),2)</f>
        <v>-0.13</v>
      </c>
      <c r="F63" s="63">
        <f t="shared" si="36"/>
        <v>-0.13</v>
      </c>
      <c r="G63" s="63">
        <f t="shared" si="36"/>
        <v>-0.13</v>
      </c>
      <c r="H63" s="63">
        <f t="shared" si="36"/>
        <v>-0.13</v>
      </c>
      <c r="I63" s="63">
        <f t="shared" si="36"/>
        <v>-0.13</v>
      </c>
      <c r="J63" s="63">
        <f t="shared" si="36"/>
        <v>-0.13</v>
      </c>
      <c r="K63" s="63">
        <f t="shared" si="36"/>
        <v>-0.13</v>
      </c>
      <c r="L63" s="63">
        <f t="shared" si="36"/>
        <v>-0.13</v>
      </c>
      <c r="M63" s="63">
        <f t="shared" si="36"/>
        <v>-0.13</v>
      </c>
      <c r="N63" s="63">
        <f t="shared" si="36"/>
        <v>-0.13</v>
      </c>
      <c r="O63" s="63">
        <f t="shared" si="36"/>
        <v>-0.13</v>
      </c>
      <c r="P63" s="64">
        <f>SUM(D63:O63)</f>
        <v>-1.5599999999999996</v>
      </c>
    </row>
    <row r="64" spans="1:16" ht="12.75">
      <c r="A64" s="27" t="s">
        <v>42</v>
      </c>
      <c r="B64" s="65"/>
      <c r="C64" s="63"/>
      <c r="D64" s="63">
        <f>+D63+B63</f>
        <v>-2.395225</v>
      </c>
      <c r="E64" s="63">
        <f aca="true" t="shared" si="37" ref="E64:O64">+D64+E63</f>
        <v>-2.525225</v>
      </c>
      <c r="F64" s="63">
        <f t="shared" si="37"/>
        <v>-2.6552249999999997</v>
      </c>
      <c r="G64" s="63">
        <f t="shared" si="37"/>
        <v>-2.7852249999999996</v>
      </c>
      <c r="H64" s="63">
        <f t="shared" si="37"/>
        <v>-2.9152249999999995</v>
      </c>
      <c r="I64" s="63">
        <f t="shared" si="37"/>
        <v>-3.0452249999999994</v>
      </c>
      <c r="J64" s="63">
        <f t="shared" si="37"/>
        <v>-3.1752249999999993</v>
      </c>
      <c r="K64" s="63">
        <f t="shared" si="37"/>
        <v>-3.305224999999999</v>
      </c>
      <c r="L64" s="63">
        <f t="shared" si="37"/>
        <v>-3.435224999999999</v>
      </c>
      <c r="M64" s="63">
        <f t="shared" si="37"/>
        <v>-3.565224999999999</v>
      </c>
      <c r="N64" s="63">
        <f t="shared" si="37"/>
        <v>-3.695224999999999</v>
      </c>
      <c r="O64" s="63">
        <f t="shared" si="37"/>
        <v>-3.8252249999999988</v>
      </c>
      <c r="P64" s="64"/>
    </row>
    <row r="65" spans="1:16" ht="12.75">
      <c r="A65" s="27" t="s">
        <v>43</v>
      </c>
      <c r="B65" s="65"/>
      <c r="C65" s="63"/>
      <c r="D65" s="63">
        <f>+O43*(O26/12)</f>
        <v>-0.008779235624999996</v>
      </c>
      <c r="E65" s="63">
        <f>+D64*(D47/12)</f>
        <v>-0.009161735624999999</v>
      </c>
      <c r="F65" s="63">
        <f aca="true" t="shared" si="38" ref="F65:O65">+E64*(E47/12)</f>
        <v>-0.009658985625</v>
      </c>
      <c r="G65" s="63">
        <f t="shared" si="38"/>
        <v>-0.010156235625</v>
      </c>
      <c r="H65" s="63">
        <f t="shared" si="38"/>
        <v>-0.010653485624999999</v>
      </c>
      <c r="I65" s="63">
        <f t="shared" si="38"/>
        <v>-0.011150735624999998</v>
      </c>
      <c r="J65" s="63">
        <f t="shared" si="38"/>
        <v>-0.011647985624999998</v>
      </c>
      <c r="K65" s="63">
        <f t="shared" si="38"/>
        <v>-0.012145235624999997</v>
      </c>
      <c r="L65" s="63">
        <f t="shared" si="38"/>
        <v>-0.012642485624999996</v>
      </c>
      <c r="M65" s="63">
        <f t="shared" si="38"/>
        <v>-0.013139735624999996</v>
      </c>
      <c r="N65" s="63">
        <f t="shared" si="38"/>
        <v>-0.015271047083333326</v>
      </c>
      <c r="O65" s="63">
        <f t="shared" si="38"/>
        <v>-0.01582788041666666</v>
      </c>
      <c r="P65" s="64">
        <f>SUM(D65:O65)</f>
        <v>-0.14023478374999995</v>
      </c>
    </row>
    <row r="66" spans="1:16" ht="12.75">
      <c r="A66" s="27"/>
      <c r="B66" s="3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/>
    </row>
    <row r="67" spans="3:16" ht="12.7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/>
    </row>
    <row r="68" spans="1:16" ht="12.75">
      <c r="A68" s="31"/>
      <c r="B68" s="31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</row>
    <row r="69" spans="4:15" s="20" customFormat="1" ht="12.75">
      <c r="D69" s="21">
        <f>5.14%</f>
        <v>0.051399999999999994</v>
      </c>
      <c r="E69" s="21">
        <f>5.14%</f>
        <v>0.051399999999999994</v>
      </c>
      <c r="F69" s="21">
        <f>5.14%</f>
        <v>0.051399999999999994</v>
      </c>
      <c r="G69" s="21">
        <f>4.08%</f>
        <v>0.0408</v>
      </c>
      <c r="H69" s="21">
        <f>4.08%</f>
        <v>0.0408</v>
      </c>
      <c r="I69" s="21">
        <f>4.08%</f>
        <v>0.0408</v>
      </c>
      <c r="J69" s="21">
        <f aca="true" t="shared" si="39" ref="J69:O69">3.35%</f>
        <v>0.0335</v>
      </c>
      <c r="K69" s="21">
        <f t="shared" si="39"/>
        <v>0.0335</v>
      </c>
      <c r="L69" s="21">
        <f t="shared" si="39"/>
        <v>0.0335</v>
      </c>
      <c r="M69" s="21">
        <f t="shared" si="39"/>
        <v>0.0335</v>
      </c>
      <c r="N69" s="21">
        <f t="shared" si="39"/>
        <v>0.0335</v>
      </c>
      <c r="O69" s="21">
        <f t="shared" si="39"/>
        <v>0.0335</v>
      </c>
    </row>
    <row r="70" spans="1:16" s="23" customFormat="1" ht="12.75">
      <c r="A70" s="22"/>
      <c r="B70" s="22"/>
      <c r="C70" s="22"/>
      <c r="D70" s="22" t="s">
        <v>26</v>
      </c>
      <c r="E70" s="22" t="s">
        <v>27</v>
      </c>
      <c r="F70" s="22" t="s">
        <v>28</v>
      </c>
      <c r="G70" s="22" t="s">
        <v>29</v>
      </c>
      <c r="H70" s="22" t="s">
        <v>30</v>
      </c>
      <c r="I70" s="22" t="s">
        <v>31</v>
      </c>
      <c r="J70" s="22" t="s">
        <v>32</v>
      </c>
      <c r="K70" s="22" t="s">
        <v>33</v>
      </c>
      <c r="L70" s="22" t="s">
        <v>34</v>
      </c>
      <c r="M70" s="22" t="s">
        <v>35</v>
      </c>
      <c r="N70" s="22" t="s">
        <v>36</v>
      </c>
      <c r="O70" s="22" t="s">
        <v>37</v>
      </c>
      <c r="P70" s="22" t="s">
        <v>38</v>
      </c>
    </row>
    <row r="71" spans="1:9" ht="25.5">
      <c r="A71" s="24" t="s">
        <v>47</v>
      </c>
      <c r="B71" s="25" t="s">
        <v>40</v>
      </c>
      <c r="C71" s="26" t="s">
        <v>41</v>
      </c>
      <c r="F71" s="20"/>
      <c r="G71" s="20"/>
      <c r="H71" s="20"/>
      <c r="I71" s="20"/>
    </row>
    <row r="73" spans="1:16" ht="12.75">
      <c r="A73" s="27" t="s">
        <v>1</v>
      </c>
      <c r="B73" s="65">
        <f>+B51+C51</f>
        <v>-31398.28</v>
      </c>
      <c r="C73" s="63">
        <v>-11939.34</v>
      </c>
      <c r="D73" s="63">
        <f>ROUND(($C73/12),2)</f>
        <v>-994.95</v>
      </c>
      <c r="E73" s="63">
        <f aca="true" t="shared" si="40" ref="E73:O73">ROUND(($C73/12),2)</f>
        <v>-994.95</v>
      </c>
      <c r="F73" s="63">
        <f t="shared" si="40"/>
        <v>-994.95</v>
      </c>
      <c r="G73" s="63">
        <f t="shared" si="40"/>
        <v>-994.95</v>
      </c>
      <c r="H73" s="63">
        <f t="shared" si="40"/>
        <v>-994.95</v>
      </c>
      <c r="I73" s="63">
        <f t="shared" si="40"/>
        <v>-994.95</v>
      </c>
      <c r="J73" s="63">
        <f t="shared" si="40"/>
        <v>-994.95</v>
      </c>
      <c r="K73" s="63">
        <f t="shared" si="40"/>
        <v>-994.95</v>
      </c>
      <c r="L73" s="63">
        <f t="shared" si="40"/>
        <v>-994.95</v>
      </c>
      <c r="M73" s="63">
        <f t="shared" si="40"/>
        <v>-994.95</v>
      </c>
      <c r="N73" s="63">
        <f t="shared" si="40"/>
        <v>-994.95</v>
      </c>
      <c r="O73" s="63">
        <f t="shared" si="40"/>
        <v>-994.95</v>
      </c>
      <c r="P73" s="64">
        <f>SUM(D73:O73)</f>
        <v>-11939.400000000001</v>
      </c>
    </row>
    <row r="74" spans="1:16" ht="12.75">
      <c r="A74" s="27" t="s">
        <v>42</v>
      </c>
      <c r="B74" s="65"/>
      <c r="C74" s="63"/>
      <c r="D74" s="63">
        <f>+B73+D73</f>
        <v>-32393.23</v>
      </c>
      <c r="E74" s="63">
        <f aca="true" t="shared" si="41" ref="E74:O74">+E73+D74</f>
        <v>-33388.18</v>
      </c>
      <c r="F74" s="63">
        <f t="shared" si="41"/>
        <v>-34383.13</v>
      </c>
      <c r="G74" s="63">
        <f t="shared" si="41"/>
        <v>-35378.079999999994</v>
      </c>
      <c r="H74" s="63">
        <f t="shared" si="41"/>
        <v>-36373.02999999999</v>
      </c>
      <c r="I74" s="63">
        <f t="shared" si="41"/>
        <v>-37367.97999999999</v>
      </c>
      <c r="J74" s="63">
        <f t="shared" si="41"/>
        <v>-38362.929999999986</v>
      </c>
      <c r="K74" s="63">
        <f t="shared" si="41"/>
        <v>-39357.87999999998</v>
      </c>
      <c r="L74" s="63">
        <f t="shared" si="41"/>
        <v>-40352.82999999998</v>
      </c>
      <c r="M74" s="63">
        <f t="shared" si="41"/>
        <v>-41347.77999999998</v>
      </c>
      <c r="N74" s="63">
        <f t="shared" si="41"/>
        <v>-42342.729999999974</v>
      </c>
      <c r="O74" s="63">
        <f t="shared" si="41"/>
        <v>-43337.67999999997</v>
      </c>
      <c r="P74" s="64"/>
    </row>
    <row r="75" spans="1:16" ht="12.75">
      <c r="A75" s="27" t="s">
        <v>43</v>
      </c>
      <c r="B75" s="65"/>
      <c r="C75" s="63"/>
      <c r="D75" s="63">
        <f>+O52*(O47/12)</f>
        <v>-134.48947066666668</v>
      </c>
      <c r="E75" s="63">
        <f>+D74*(D69/12)</f>
        <v>-138.7510018333333</v>
      </c>
      <c r="F75" s="63">
        <f aca="true" t="shared" si="42" ref="F75:O75">+E74*(E69/12)</f>
        <v>-143.01270433333332</v>
      </c>
      <c r="G75" s="63">
        <f t="shared" si="42"/>
        <v>-147.2744068333333</v>
      </c>
      <c r="H75" s="63">
        <f t="shared" si="42"/>
        <v>-120.28547199999998</v>
      </c>
      <c r="I75" s="63">
        <f t="shared" si="42"/>
        <v>-123.66830199999998</v>
      </c>
      <c r="J75" s="63">
        <f t="shared" si="42"/>
        <v>-127.05113199999997</v>
      </c>
      <c r="K75" s="63">
        <f t="shared" si="42"/>
        <v>-107.09651291666663</v>
      </c>
      <c r="L75" s="63">
        <f t="shared" si="42"/>
        <v>-109.87408166666663</v>
      </c>
      <c r="M75" s="63">
        <f t="shared" si="42"/>
        <v>-112.65165041666661</v>
      </c>
      <c r="N75" s="63">
        <f t="shared" si="42"/>
        <v>-115.4292191666666</v>
      </c>
      <c r="O75" s="63">
        <f t="shared" si="42"/>
        <v>-118.2067879166666</v>
      </c>
      <c r="P75" s="64">
        <f>SUM(D75:O75)</f>
        <v>-1497.7907417499996</v>
      </c>
    </row>
    <row r="76" spans="1:16" ht="12.75">
      <c r="A76" s="27"/>
      <c r="B76" s="65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4"/>
    </row>
    <row r="77" spans="1:16" ht="12.75">
      <c r="A77" s="27" t="s">
        <v>2</v>
      </c>
      <c r="B77" s="65">
        <f>+B55+C55</f>
        <v>-11392.11</v>
      </c>
      <c r="C77" s="63">
        <v>-4046.9</v>
      </c>
      <c r="D77" s="63">
        <f>ROUND((($C77)/12),2)</f>
        <v>-337.24</v>
      </c>
      <c r="E77" s="63">
        <f aca="true" t="shared" si="43" ref="E77:O77">ROUND((($C77)/12),2)</f>
        <v>-337.24</v>
      </c>
      <c r="F77" s="63">
        <f t="shared" si="43"/>
        <v>-337.24</v>
      </c>
      <c r="G77" s="63">
        <f t="shared" si="43"/>
        <v>-337.24</v>
      </c>
      <c r="H77" s="63">
        <f t="shared" si="43"/>
        <v>-337.24</v>
      </c>
      <c r="I77" s="63">
        <f t="shared" si="43"/>
        <v>-337.24</v>
      </c>
      <c r="J77" s="63">
        <f t="shared" si="43"/>
        <v>-337.24</v>
      </c>
      <c r="K77" s="63">
        <f t="shared" si="43"/>
        <v>-337.24</v>
      </c>
      <c r="L77" s="63">
        <f t="shared" si="43"/>
        <v>-337.24</v>
      </c>
      <c r="M77" s="63">
        <f t="shared" si="43"/>
        <v>-337.24</v>
      </c>
      <c r="N77" s="63">
        <f t="shared" si="43"/>
        <v>-337.24</v>
      </c>
      <c r="O77" s="63">
        <f t="shared" si="43"/>
        <v>-337.24</v>
      </c>
      <c r="P77" s="64">
        <f>SUM(D77:O77)</f>
        <v>-4046.879999999999</v>
      </c>
    </row>
    <row r="78" spans="1:16" ht="12.75">
      <c r="A78" s="27" t="s">
        <v>42</v>
      </c>
      <c r="B78" s="65"/>
      <c r="C78" s="63"/>
      <c r="D78" s="63">
        <f>+B77+D77</f>
        <v>-11729.35</v>
      </c>
      <c r="E78" s="63">
        <f aca="true" t="shared" si="44" ref="E78:O78">+D78+E77</f>
        <v>-12066.59</v>
      </c>
      <c r="F78" s="63">
        <f t="shared" si="44"/>
        <v>-12403.83</v>
      </c>
      <c r="G78" s="63">
        <f t="shared" si="44"/>
        <v>-12741.07</v>
      </c>
      <c r="H78" s="63">
        <f t="shared" si="44"/>
        <v>-13078.31</v>
      </c>
      <c r="I78" s="63">
        <f t="shared" si="44"/>
        <v>-13415.55</v>
      </c>
      <c r="J78" s="63">
        <f t="shared" si="44"/>
        <v>-13752.789999999999</v>
      </c>
      <c r="K78" s="63">
        <f t="shared" si="44"/>
        <v>-14090.029999999999</v>
      </c>
      <c r="L78" s="63">
        <f t="shared" si="44"/>
        <v>-14427.269999999999</v>
      </c>
      <c r="M78" s="63">
        <f t="shared" si="44"/>
        <v>-14764.509999999998</v>
      </c>
      <c r="N78" s="63">
        <f t="shared" si="44"/>
        <v>-15101.749999999998</v>
      </c>
      <c r="O78" s="63">
        <f t="shared" si="44"/>
        <v>-15438.989999999998</v>
      </c>
      <c r="P78" s="64"/>
    </row>
    <row r="79" spans="1:16" ht="12.75">
      <c r="A79" s="27" t="s">
        <v>43</v>
      </c>
      <c r="B79" s="65"/>
      <c r="C79" s="63"/>
      <c r="D79" s="63">
        <f>+O56*(O47/12)</f>
        <v>-48.79641866666668</v>
      </c>
      <c r="E79" s="63">
        <f>+D78*(D69/12)</f>
        <v>-50.240715833333326</v>
      </c>
      <c r="F79" s="63">
        <f aca="true" t="shared" si="45" ref="F79:O79">+E78*(E69/12)</f>
        <v>-51.68522716666666</v>
      </c>
      <c r="G79" s="63">
        <f t="shared" si="45"/>
        <v>-53.12973849999999</v>
      </c>
      <c r="H79" s="63">
        <f t="shared" si="45"/>
        <v>-43.319638000000005</v>
      </c>
      <c r="I79" s="63">
        <f t="shared" si="45"/>
        <v>-44.466254</v>
      </c>
      <c r="J79" s="63">
        <f t="shared" si="45"/>
        <v>-45.61287</v>
      </c>
      <c r="K79" s="63">
        <f t="shared" si="45"/>
        <v>-38.39320541666667</v>
      </c>
      <c r="L79" s="63">
        <f t="shared" si="45"/>
        <v>-39.33466708333333</v>
      </c>
      <c r="M79" s="63">
        <f t="shared" si="45"/>
        <v>-40.27612875</v>
      </c>
      <c r="N79" s="63">
        <f t="shared" si="45"/>
        <v>-41.21759041666666</v>
      </c>
      <c r="O79" s="63">
        <f t="shared" si="45"/>
        <v>-42.15905208333333</v>
      </c>
      <c r="P79" s="64">
        <f>SUM(D79:O79)</f>
        <v>-538.6315059166666</v>
      </c>
    </row>
    <row r="80" spans="1:16" ht="12.75">
      <c r="A80" s="27"/>
      <c r="B80" s="65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4"/>
    </row>
    <row r="81" spans="1:16" ht="12.75">
      <c r="A81" s="27" t="s">
        <v>44</v>
      </c>
      <c r="B81" s="65">
        <f>+B59+C59</f>
        <v>-575.4442416666666</v>
      </c>
      <c r="C81" s="63">
        <v>-234.5</v>
      </c>
      <c r="D81" s="63">
        <f>ROUND((($C81)/12),2)</f>
        <v>-19.54</v>
      </c>
      <c r="E81" s="63">
        <f aca="true" t="shared" si="46" ref="E81:O81">ROUND((($C81)/12),2)</f>
        <v>-19.54</v>
      </c>
      <c r="F81" s="63">
        <f t="shared" si="46"/>
        <v>-19.54</v>
      </c>
      <c r="G81" s="63">
        <f t="shared" si="46"/>
        <v>-19.54</v>
      </c>
      <c r="H81" s="63">
        <f t="shared" si="46"/>
        <v>-19.54</v>
      </c>
      <c r="I81" s="63">
        <f t="shared" si="46"/>
        <v>-19.54</v>
      </c>
      <c r="J81" s="63">
        <f t="shared" si="46"/>
        <v>-19.54</v>
      </c>
      <c r="K81" s="63">
        <f t="shared" si="46"/>
        <v>-19.54</v>
      </c>
      <c r="L81" s="63">
        <f t="shared" si="46"/>
        <v>-19.54</v>
      </c>
      <c r="M81" s="63">
        <f t="shared" si="46"/>
        <v>-19.54</v>
      </c>
      <c r="N81" s="63">
        <f t="shared" si="46"/>
        <v>-19.54</v>
      </c>
      <c r="O81" s="63">
        <f t="shared" si="46"/>
        <v>-19.54</v>
      </c>
      <c r="P81" s="64">
        <f>SUM(D81:O81)</f>
        <v>-234.47999999999993</v>
      </c>
    </row>
    <row r="82" spans="1:16" ht="12.75">
      <c r="A82" s="27" t="s">
        <v>42</v>
      </c>
      <c r="B82" s="65"/>
      <c r="C82" s="63"/>
      <c r="D82" s="63">
        <f>+B81+D81</f>
        <v>-594.9842416666665</v>
      </c>
      <c r="E82" s="63">
        <f aca="true" t="shared" si="47" ref="E82:O82">+D82+E81</f>
        <v>-614.5242416666665</v>
      </c>
      <c r="F82" s="63">
        <f t="shared" si="47"/>
        <v>-634.0642416666665</v>
      </c>
      <c r="G82" s="63">
        <f t="shared" si="47"/>
        <v>-653.6042416666664</v>
      </c>
      <c r="H82" s="63">
        <f t="shared" si="47"/>
        <v>-673.1442416666664</v>
      </c>
      <c r="I82" s="63">
        <f t="shared" si="47"/>
        <v>-692.6842416666664</v>
      </c>
      <c r="J82" s="63">
        <f t="shared" si="47"/>
        <v>-712.2242416666663</v>
      </c>
      <c r="K82" s="63">
        <f t="shared" si="47"/>
        <v>-731.7642416666663</v>
      </c>
      <c r="L82" s="63">
        <f t="shared" si="47"/>
        <v>-751.3042416666663</v>
      </c>
      <c r="M82" s="63">
        <f t="shared" si="47"/>
        <v>-770.8442416666662</v>
      </c>
      <c r="N82" s="63">
        <f t="shared" si="47"/>
        <v>-790.3842416666662</v>
      </c>
      <c r="O82" s="63">
        <f t="shared" si="47"/>
        <v>-809.9242416666661</v>
      </c>
      <c r="P82" s="64"/>
    </row>
    <row r="83" spans="1:16" ht="12.75">
      <c r="A83" s="27" t="s">
        <v>43</v>
      </c>
      <c r="B83" s="65"/>
      <c r="C83" s="63"/>
      <c r="D83" s="63">
        <f>+O60*(O47/12)</f>
        <v>-2.4647338351388886</v>
      </c>
      <c r="E83" s="63">
        <f>+D82*(D69/12)</f>
        <v>-2.548515835138888</v>
      </c>
      <c r="F83" s="63">
        <f aca="true" t="shared" si="48" ref="F83:O83">+E82*(E69/12)</f>
        <v>-2.632212168472221</v>
      </c>
      <c r="G83" s="63">
        <f t="shared" si="48"/>
        <v>-2.715908501805554</v>
      </c>
      <c r="H83" s="63">
        <f t="shared" si="48"/>
        <v>-2.222254421666666</v>
      </c>
      <c r="I83" s="63">
        <f t="shared" si="48"/>
        <v>-2.288690421666666</v>
      </c>
      <c r="J83" s="63">
        <f t="shared" si="48"/>
        <v>-2.355126421666666</v>
      </c>
      <c r="K83" s="63">
        <f t="shared" si="48"/>
        <v>-1.988292674652777</v>
      </c>
      <c r="L83" s="63">
        <f t="shared" si="48"/>
        <v>-2.0428418413194436</v>
      </c>
      <c r="M83" s="63">
        <f t="shared" si="48"/>
        <v>-2.09739100798611</v>
      </c>
      <c r="N83" s="63">
        <f t="shared" si="48"/>
        <v>-2.1519401746527764</v>
      </c>
      <c r="O83" s="63">
        <f t="shared" si="48"/>
        <v>-2.2064893413194433</v>
      </c>
      <c r="P83" s="64">
        <f>SUM(D83:O83)</f>
        <v>-27.714396645486097</v>
      </c>
    </row>
    <row r="84" spans="1:16" ht="12.75">
      <c r="A84" s="27"/>
      <c r="B84" s="65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4"/>
    </row>
    <row r="85" spans="1:16" ht="12.75">
      <c r="A85" s="27" t="s">
        <v>20</v>
      </c>
      <c r="B85" s="65">
        <f>+B63+C63</f>
        <v>-3.7952250000000003</v>
      </c>
      <c r="C85" s="63">
        <v>-1.53</v>
      </c>
      <c r="D85" s="63">
        <f>ROUND((($C85)/12),2)</f>
        <v>-0.13</v>
      </c>
      <c r="E85" s="63">
        <f aca="true" t="shared" si="49" ref="E85:O85">ROUND((($C85)/12),2)</f>
        <v>-0.13</v>
      </c>
      <c r="F85" s="63">
        <f t="shared" si="49"/>
        <v>-0.13</v>
      </c>
      <c r="G85" s="63">
        <f t="shared" si="49"/>
        <v>-0.13</v>
      </c>
      <c r="H85" s="63">
        <f t="shared" si="49"/>
        <v>-0.13</v>
      </c>
      <c r="I85" s="63">
        <f t="shared" si="49"/>
        <v>-0.13</v>
      </c>
      <c r="J85" s="63">
        <f t="shared" si="49"/>
        <v>-0.13</v>
      </c>
      <c r="K85" s="63">
        <f t="shared" si="49"/>
        <v>-0.13</v>
      </c>
      <c r="L85" s="63">
        <f t="shared" si="49"/>
        <v>-0.13</v>
      </c>
      <c r="M85" s="63">
        <f t="shared" si="49"/>
        <v>-0.13</v>
      </c>
      <c r="N85" s="63">
        <f t="shared" si="49"/>
        <v>-0.13</v>
      </c>
      <c r="O85" s="63">
        <f t="shared" si="49"/>
        <v>-0.13</v>
      </c>
      <c r="P85" s="64">
        <f>SUM(D85:O85)</f>
        <v>-1.5599999999999996</v>
      </c>
    </row>
    <row r="86" spans="1:16" ht="12.75">
      <c r="A86" s="27" t="s">
        <v>42</v>
      </c>
      <c r="B86" s="65"/>
      <c r="C86" s="63"/>
      <c r="D86" s="63">
        <f>+D85+B85</f>
        <v>-3.925225</v>
      </c>
      <c r="E86" s="63">
        <f aca="true" t="shared" si="50" ref="E86:O86">+D86+E85</f>
        <v>-4.055225</v>
      </c>
      <c r="F86" s="63">
        <f t="shared" si="50"/>
        <v>-4.185225</v>
      </c>
      <c r="G86" s="63">
        <f t="shared" si="50"/>
        <v>-4.315225</v>
      </c>
      <c r="H86" s="63">
        <f t="shared" si="50"/>
        <v>-4.445225</v>
      </c>
      <c r="I86" s="63">
        <f t="shared" si="50"/>
        <v>-4.575225</v>
      </c>
      <c r="J86" s="63">
        <f t="shared" si="50"/>
        <v>-4.7052249999999995</v>
      </c>
      <c r="K86" s="63">
        <f t="shared" si="50"/>
        <v>-4.835224999999999</v>
      </c>
      <c r="L86" s="63">
        <f t="shared" si="50"/>
        <v>-4.965224999999999</v>
      </c>
      <c r="M86" s="63">
        <f t="shared" si="50"/>
        <v>-5.095224999999999</v>
      </c>
      <c r="N86" s="63">
        <f t="shared" si="50"/>
        <v>-5.225224999999999</v>
      </c>
      <c r="O86" s="63">
        <f t="shared" si="50"/>
        <v>-5.355224999999999</v>
      </c>
      <c r="P86" s="64"/>
    </row>
    <row r="87" spans="1:16" ht="12.75">
      <c r="A87" s="27" t="s">
        <v>43</v>
      </c>
      <c r="B87" s="65"/>
      <c r="C87" s="63"/>
      <c r="D87" s="63">
        <f>+O64*(O47/12)</f>
        <v>-0.01638471374999999</v>
      </c>
      <c r="E87" s="63">
        <f>+D86*(D69/12)</f>
        <v>-0.01681304708333333</v>
      </c>
      <c r="F87" s="63">
        <f aca="true" t="shared" si="51" ref="F87:O87">+E86*(E69/12)</f>
        <v>-0.017369880416666664</v>
      </c>
      <c r="G87" s="63">
        <f t="shared" si="51"/>
        <v>-0.017926713749999997</v>
      </c>
      <c r="H87" s="63">
        <f t="shared" si="51"/>
        <v>-0.014671765</v>
      </c>
      <c r="I87" s="63">
        <f t="shared" si="51"/>
        <v>-0.015113765</v>
      </c>
      <c r="J87" s="63">
        <f t="shared" si="51"/>
        <v>-0.015555765</v>
      </c>
      <c r="K87" s="63">
        <f t="shared" si="51"/>
        <v>-0.013135419791666665</v>
      </c>
      <c r="L87" s="63">
        <f t="shared" si="51"/>
        <v>-0.013498336458333331</v>
      </c>
      <c r="M87" s="63">
        <f t="shared" si="51"/>
        <v>-0.013861253124999999</v>
      </c>
      <c r="N87" s="63">
        <f t="shared" si="51"/>
        <v>-0.014224169791666665</v>
      </c>
      <c r="O87" s="63">
        <f t="shared" si="51"/>
        <v>-0.01458708645833333</v>
      </c>
      <c r="P87" s="64">
        <f>SUM(D87:O87)</f>
        <v>-0.18314191562499998</v>
      </c>
    </row>
    <row r="88" spans="3:16" ht="12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</row>
    <row r="89" spans="3:16" ht="12.7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9"/>
    </row>
    <row r="90" spans="3:16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</row>
    <row r="91" spans="1:16" ht="12.75">
      <c r="A91" s="31"/>
      <c r="B91" s="31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6"/>
    </row>
    <row r="92" spans="4:15" s="20" customFormat="1" ht="12.75">
      <c r="D92" s="21">
        <f>2.45%</f>
        <v>0.0245</v>
      </c>
      <c r="E92" s="21">
        <f>2.45%</f>
        <v>0.0245</v>
      </c>
      <c r="F92" s="21">
        <f>2.45%</f>
        <v>0.0245</v>
      </c>
      <c r="G92" s="21">
        <f>1%</f>
        <v>0.01</v>
      </c>
      <c r="H92" s="21">
        <f>1%</f>
        <v>0.01</v>
      </c>
      <c r="I92" s="21">
        <f>1%</f>
        <v>0.01</v>
      </c>
      <c r="J92" s="21">
        <f aca="true" t="shared" si="52" ref="J92:O92">0.55%</f>
        <v>0.0055000000000000005</v>
      </c>
      <c r="K92" s="21">
        <f t="shared" si="52"/>
        <v>0.0055000000000000005</v>
      </c>
      <c r="L92" s="21">
        <f t="shared" si="52"/>
        <v>0.0055000000000000005</v>
      </c>
      <c r="M92" s="21">
        <f t="shared" si="52"/>
        <v>0.0055000000000000005</v>
      </c>
      <c r="N92" s="21">
        <f t="shared" si="52"/>
        <v>0.0055000000000000005</v>
      </c>
      <c r="O92" s="21">
        <f t="shared" si="52"/>
        <v>0.0055000000000000005</v>
      </c>
    </row>
    <row r="93" spans="1:16" s="23" customFormat="1" ht="12.75">
      <c r="A93" s="22"/>
      <c r="B93" s="22"/>
      <c r="C93" s="22"/>
      <c r="D93" s="22" t="s">
        <v>26</v>
      </c>
      <c r="E93" s="22" t="s">
        <v>27</v>
      </c>
      <c r="F93" s="22" t="s">
        <v>28</v>
      </c>
      <c r="G93" s="22" t="s">
        <v>29</v>
      </c>
      <c r="H93" s="22" t="s">
        <v>30</v>
      </c>
      <c r="I93" s="22" t="s">
        <v>31</v>
      </c>
      <c r="J93" s="22" t="s">
        <v>32</v>
      </c>
      <c r="K93" s="22" t="s">
        <v>33</v>
      </c>
      <c r="L93" s="22" t="s">
        <v>34</v>
      </c>
      <c r="M93" s="22" t="s">
        <v>35</v>
      </c>
      <c r="N93" s="22" t="s">
        <v>36</v>
      </c>
      <c r="O93" s="22" t="s">
        <v>37</v>
      </c>
      <c r="P93" s="22" t="s">
        <v>38</v>
      </c>
    </row>
    <row r="94" spans="1:16" ht="25.5">
      <c r="A94" s="24" t="s">
        <v>48</v>
      </c>
      <c r="B94" s="25" t="s">
        <v>40</v>
      </c>
      <c r="C94" s="26" t="s">
        <v>41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3:16" ht="12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1:16" ht="12.75">
      <c r="A96" s="27" t="s">
        <v>1</v>
      </c>
      <c r="B96" s="65">
        <f>+B73+C73</f>
        <v>-43337.619999999995</v>
      </c>
      <c r="C96" s="63">
        <v>-12450.89</v>
      </c>
      <c r="D96" s="63">
        <f>ROUND(($C96/12),2)</f>
        <v>-1037.57</v>
      </c>
      <c r="E96" s="63">
        <f aca="true" t="shared" si="53" ref="E96:O96">ROUND(($C96/12),2)</f>
        <v>-1037.57</v>
      </c>
      <c r="F96" s="63">
        <f t="shared" si="53"/>
        <v>-1037.57</v>
      </c>
      <c r="G96" s="63">
        <f t="shared" si="53"/>
        <v>-1037.57</v>
      </c>
      <c r="H96" s="63">
        <f t="shared" si="53"/>
        <v>-1037.57</v>
      </c>
      <c r="I96" s="63">
        <f t="shared" si="53"/>
        <v>-1037.57</v>
      </c>
      <c r="J96" s="63">
        <f t="shared" si="53"/>
        <v>-1037.57</v>
      </c>
      <c r="K96" s="63">
        <f t="shared" si="53"/>
        <v>-1037.57</v>
      </c>
      <c r="L96" s="63">
        <f t="shared" si="53"/>
        <v>-1037.57</v>
      </c>
      <c r="M96" s="63">
        <f t="shared" si="53"/>
        <v>-1037.57</v>
      </c>
      <c r="N96" s="63">
        <f t="shared" si="53"/>
        <v>-1037.57</v>
      </c>
      <c r="O96" s="63">
        <f t="shared" si="53"/>
        <v>-1037.57</v>
      </c>
      <c r="P96" s="64">
        <f>SUM(D96:O96)</f>
        <v>-12450.839999999998</v>
      </c>
    </row>
    <row r="97" spans="1:16" ht="12.75">
      <c r="A97" s="27" t="s">
        <v>42</v>
      </c>
      <c r="B97" s="65"/>
      <c r="C97" s="63"/>
      <c r="D97" s="63">
        <f>+B96+D96</f>
        <v>-44375.189999999995</v>
      </c>
      <c r="E97" s="63">
        <f aca="true" t="shared" si="54" ref="E97:O97">+E96+D97</f>
        <v>-45412.759999999995</v>
      </c>
      <c r="F97" s="63">
        <f t="shared" si="54"/>
        <v>-46450.329999999994</v>
      </c>
      <c r="G97" s="63">
        <f t="shared" si="54"/>
        <v>-47487.899999999994</v>
      </c>
      <c r="H97" s="63">
        <f t="shared" si="54"/>
        <v>-48525.469999999994</v>
      </c>
      <c r="I97" s="63">
        <f t="shared" si="54"/>
        <v>-49563.03999999999</v>
      </c>
      <c r="J97" s="63">
        <f t="shared" si="54"/>
        <v>-50600.60999999999</v>
      </c>
      <c r="K97" s="63">
        <f t="shared" si="54"/>
        <v>-51638.17999999999</v>
      </c>
      <c r="L97" s="63">
        <f t="shared" si="54"/>
        <v>-52675.74999999999</v>
      </c>
      <c r="M97" s="63">
        <f t="shared" si="54"/>
        <v>-53713.31999999999</v>
      </c>
      <c r="N97" s="63">
        <f t="shared" si="54"/>
        <v>-54750.88999999999</v>
      </c>
      <c r="O97" s="63">
        <f t="shared" si="54"/>
        <v>-55788.45999999999</v>
      </c>
      <c r="P97" s="64"/>
    </row>
    <row r="98" spans="1:16" ht="12.75">
      <c r="A98" s="27" t="s">
        <v>43</v>
      </c>
      <c r="B98" s="65"/>
      <c r="C98" s="63"/>
      <c r="D98" s="63">
        <f>+O74*(O69/12)</f>
        <v>-120.98435666666659</v>
      </c>
      <c r="E98" s="63">
        <f>+D97*(D92/12)</f>
        <v>-90.59934625</v>
      </c>
      <c r="F98" s="63">
        <f aca="true" t="shared" si="55" ref="F98:O98">+E97*(E92/12)</f>
        <v>-92.71771833333334</v>
      </c>
      <c r="G98" s="63">
        <f t="shared" si="55"/>
        <v>-94.83609041666666</v>
      </c>
      <c r="H98" s="63">
        <f t="shared" si="55"/>
        <v>-39.573249999999994</v>
      </c>
      <c r="I98" s="63">
        <f t="shared" si="55"/>
        <v>-40.437891666666665</v>
      </c>
      <c r="J98" s="63">
        <f t="shared" si="55"/>
        <v>-41.30253333333333</v>
      </c>
      <c r="K98" s="63">
        <f t="shared" si="55"/>
        <v>-23.19194625</v>
      </c>
      <c r="L98" s="63">
        <f t="shared" si="55"/>
        <v>-23.667499166666666</v>
      </c>
      <c r="M98" s="63">
        <f t="shared" si="55"/>
        <v>-24.143052083333334</v>
      </c>
      <c r="N98" s="63">
        <f t="shared" si="55"/>
        <v>-24.618605</v>
      </c>
      <c r="O98" s="63">
        <f t="shared" si="55"/>
        <v>-25.094157916666667</v>
      </c>
      <c r="P98" s="64">
        <f>SUM(D98:O98)</f>
        <v>-641.1664470833332</v>
      </c>
    </row>
    <row r="99" spans="1:16" ht="12.75">
      <c r="A99" s="27"/>
      <c r="B99" s="65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4"/>
    </row>
    <row r="100" spans="1:16" ht="12.75">
      <c r="A100" s="27" t="s">
        <v>2</v>
      </c>
      <c r="B100" s="65">
        <f>+B77+C77</f>
        <v>-15439.01</v>
      </c>
      <c r="C100" s="63">
        <v>-4276.74</v>
      </c>
      <c r="D100" s="63">
        <f>ROUND((($C100)/12),2)</f>
        <v>-356.4</v>
      </c>
      <c r="E100" s="63">
        <f aca="true" t="shared" si="56" ref="E100:O100">ROUND((($C100)/12),2)</f>
        <v>-356.4</v>
      </c>
      <c r="F100" s="63">
        <f t="shared" si="56"/>
        <v>-356.4</v>
      </c>
      <c r="G100" s="63">
        <f t="shared" si="56"/>
        <v>-356.4</v>
      </c>
      <c r="H100" s="63">
        <f t="shared" si="56"/>
        <v>-356.4</v>
      </c>
      <c r="I100" s="63">
        <f t="shared" si="56"/>
        <v>-356.4</v>
      </c>
      <c r="J100" s="63">
        <f t="shared" si="56"/>
        <v>-356.4</v>
      </c>
      <c r="K100" s="63">
        <f t="shared" si="56"/>
        <v>-356.4</v>
      </c>
      <c r="L100" s="63">
        <f t="shared" si="56"/>
        <v>-356.4</v>
      </c>
      <c r="M100" s="63">
        <f t="shared" si="56"/>
        <v>-356.4</v>
      </c>
      <c r="N100" s="63">
        <f t="shared" si="56"/>
        <v>-356.4</v>
      </c>
      <c r="O100" s="63">
        <f t="shared" si="56"/>
        <v>-356.4</v>
      </c>
      <c r="P100" s="64">
        <f>SUM(D100:O100)</f>
        <v>-4276.8</v>
      </c>
    </row>
    <row r="101" spans="1:16" ht="12.75">
      <c r="A101" s="27" t="s">
        <v>42</v>
      </c>
      <c r="B101" s="65"/>
      <c r="C101" s="63"/>
      <c r="D101" s="63">
        <f>+B100+D100</f>
        <v>-15795.41</v>
      </c>
      <c r="E101" s="63">
        <f aca="true" t="shared" si="57" ref="E101:O101">+D101+E100</f>
        <v>-16151.81</v>
      </c>
      <c r="F101" s="63">
        <f t="shared" si="57"/>
        <v>-16508.21</v>
      </c>
      <c r="G101" s="63">
        <f t="shared" si="57"/>
        <v>-16864.61</v>
      </c>
      <c r="H101" s="63">
        <f t="shared" si="57"/>
        <v>-17221.010000000002</v>
      </c>
      <c r="I101" s="63">
        <f t="shared" si="57"/>
        <v>-17577.410000000003</v>
      </c>
      <c r="J101" s="63">
        <f t="shared" si="57"/>
        <v>-17933.810000000005</v>
      </c>
      <c r="K101" s="63">
        <f t="shared" si="57"/>
        <v>-18290.210000000006</v>
      </c>
      <c r="L101" s="63">
        <f t="shared" si="57"/>
        <v>-18646.610000000008</v>
      </c>
      <c r="M101" s="63">
        <f t="shared" si="57"/>
        <v>-19003.01000000001</v>
      </c>
      <c r="N101" s="63">
        <f t="shared" si="57"/>
        <v>-19359.41000000001</v>
      </c>
      <c r="O101" s="63">
        <f t="shared" si="57"/>
        <v>-19715.810000000012</v>
      </c>
      <c r="P101" s="64"/>
    </row>
    <row r="102" spans="1:16" ht="12.75">
      <c r="A102" s="27" t="s">
        <v>43</v>
      </c>
      <c r="B102" s="65"/>
      <c r="C102" s="63"/>
      <c r="D102" s="63">
        <f>+O78*(O69/12)</f>
        <v>-43.10051375</v>
      </c>
      <c r="E102" s="63">
        <f>+D101*(D92/12)</f>
        <v>-32.24896208333334</v>
      </c>
      <c r="F102" s="63">
        <f aca="true" t="shared" si="58" ref="F102:O102">+E101*(E92/12)</f>
        <v>-32.976612083333336</v>
      </c>
      <c r="G102" s="63">
        <f t="shared" si="58"/>
        <v>-33.70426208333333</v>
      </c>
      <c r="H102" s="63">
        <f t="shared" si="58"/>
        <v>-14.053841666666669</v>
      </c>
      <c r="I102" s="63">
        <f t="shared" si="58"/>
        <v>-14.35084166666667</v>
      </c>
      <c r="J102" s="63">
        <f t="shared" si="58"/>
        <v>-14.64784166666667</v>
      </c>
      <c r="K102" s="63">
        <f t="shared" si="58"/>
        <v>-8.21966291666667</v>
      </c>
      <c r="L102" s="63">
        <f t="shared" si="58"/>
        <v>-8.38301291666667</v>
      </c>
      <c r="M102" s="63">
        <f t="shared" si="58"/>
        <v>-8.546362916666672</v>
      </c>
      <c r="N102" s="63">
        <f t="shared" si="58"/>
        <v>-8.709712916666671</v>
      </c>
      <c r="O102" s="63">
        <f t="shared" si="58"/>
        <v>-8.873062916666672</v>
      </c>
      <c r="P102" s="64">
        <f>SUM(D102:O102)</f>
        <v>-227.81468958333335</v>
      </c>
    </row>
    <row r="103" spans="1:16" ht="12.75">
      <c r="A103" s="27"/>
      <c r="B103" s="65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4"/>
    </row>
    <row r="104" spans="1:16" ht="12.75">
      <c r="A104" s="27" t="s">
        <v>44</v>
      </c>
      <c r="B104" s="65">
        <f>+B81+C81</f>
        <v>-809.9442416666666</v>
      </c>
      <c r="C104" s="63">
        <v>-234.45</v>
      </c>
      <c r="D104" s="63">
        <f>ROUND((($C104)/12),2)</f>
        <v>-19.54</v>
      </c>
      <c r="E104" s="63">
        <f aca="true" t="shared" si="59" ref="E104:O104">ROUND((($C104)/12),2)</f>
        <v>-19.54</v>
      </c>
      <c r="F104" s="63">
        <f t="shared" si="59"/>
        <v>-19.54</v>
      </c>
      <c r="G104" s="63">
        <f t="shared" si="59"/>
        <v>-19.54</v>
      </c>
      <c r="H104" s="63">
        <f t="shared" si="59"/>
        <v>-19.54</v>
      </c>
      <c r="I104" s="63">
        <f t="shared" si="59"/>
        <v>-19.54</v>
      </c>
      <c r="J104" s="63">
        <f t="shared" si="59"/>
        <v>-19.54</v>
      </c>
      <c r="K104" s="63">
        <f t="shared" si="59"/>
        <v>-19.54</v>
      </c>
      <c r="L104" s="63">
        <f t="shared" si="59"/>
        <v>-19.54</v>
      </c>
      <c r="M104" s="63">
        <f t="shared" si="59"/>
        <v>-19.54</v>
      </c>
      <c r="N104" s="63">
        <f t="shared" si="59"/>
        <v>-19.54</v>
      </c>
      <c r="O104" s="63">
        <f t="shared" si="59"/>
        <v>-19.54</v>
      </c>
      <c r="P104" s="64">
        <f>SUM(D104:O104)</f>
        <v>-234.47999999999993</v>
      </c>
    </row>
    <row r="105" spans="1:16" ht="12.75">
      <c r="A105" s="27" t="s">
        <v>42</v>
      </c>
      <c r="B105" s="65"/>
      <c r="C105" s="63"/>
      <c r="D105" s="63">
        <f>+B104+D104</f>
        <v>-829.4842416666665</v>
      </c>
      <c r="E105" s="63">
        <f aca="true" t="shared" si="60" ref="E105:O105">+D105+E104</f>
        <v>-849.0242416666665</v>
      </c>
      <c r="F105" s="63">
        <f t="shared" si="60"/>
        <v>-868.5642416666665</v>
      </c>
      <c r="G105" s="63">
        <f t="shared" si="60"/>
        <v>-888.1042416666664</v>
      </c>
      <c r="H105" s="63">
        <f t="shared" si="60"/>
        <v>-907.6442416666664</v>
      </c>
      <c r="I105" s="63">
        <f t="shared" si="60"/>
        <v>-927.1842416666664</v>
      </c>
      <c r="J105" s="63">
        <f t="shared" si="60"/>
        <v>-946.7242416666663</v>
      </c>
      <c r="K105" s="63">
        <f t="shared" si="60"/>
        <v>-966.2642416666663</v>
      </c>
      <c r="L105" s="63">
        <f t="shared" si="60"/>
        <v>-985.8042416666663</v>
      </c>
      <c r="M105" s="63">
        <f t="shared" si="60"/>
        <v>-1005.3442416666662</v>
      </c>
      <c r="N105" s="63">
        <f t="shared" si="60"/>
        <v>-1024.8842416666662</v>
      </c>
      <c r="O105" s="63">
        <f t="shared" si="60"/>
        <v>-1044.4242416666661</v>
      </c>
      <c r="P105" s="64"/>
    </row>
    <row r="106" spans="1:16" ht="12.75">
      <c r="A106" s="27" t="s">
        <v>43</v>
      </c>
      <c r="B106" s="65"/>
      <c r="C106" s="63"/>
      <c r="D106" s="63">
        <f>+O82*(O69/12)</f>
        <v>-2.2610385079861097</v>
      </c>
      <c r="E106" s="63">
        <f>+D105*(D92/12)</f>
        <v>-1.693530326736111</v>
      </c>
      <c r="F106" s="63">
        <f aca="true" t="shared" si="61" ref="F106:O106">+E105*(E92/12)</f>
        <v>-1.7334244934027776</v>
      </c>
      <c r="G106" s="63">
        <f t="shared" si="61"/>
        <v>-1.7733186600694442</v>
      </c>
      <c r="H106" s="63">
        <f t="shared" si="61"/>
        <v>-0.7400868680555555</v>
      </c>
      <c r="I106" s="63">
        <f t="shared" si="61"/>
        <v>-0.7563702013888887</v>
      </c>
      <c r="J106" s="63">
        <f t="shared" si="61"/>
        <v>-0.772653534722222</v>
      </c>
      <c r="K106" s="63">
        <f t="shared" si="61"/>
        <v>-0.43391527743055547</v>
      </c>
      <c r="L106" s="63">
        <f t="shared" si="61"/>
        <v>-0.44287111076388874</v>
      </c>
      <c r="M106" s="63">
        <f t="shared" si="61"/>
        <v>-0.45182694409722207</v>
      </c>
      <c r="N106" s="63">
        <f t="shared" si="61"/>
        <v>-0.4607827774305554</v>
      </c>
      <c r="O106" s="63">
        <f t="shared" si="61"/>
        <v>-0.46973861076388873</v>
      </c>
      <c r="P106" s="64">
        <f>SUM(D106:O106)</f>
        <v>-11.98955731284722</v>
      </c>
    </row>
    <row r="107" spans="1:16" ht="12.75">
      <c r="A107" s="27"/>
      <c r="B107" s="65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4"/>
    </row>
    <row r="108" spans="1:16" ht="12.75">
      <c r="A108" s="27" t="s">
        <v>20</v>
      </c>
      <c r="B108" s="65">
        <f>+B85+C85</f>
        <v>-5.3252250000000005</v>
      </c>
      <c r="C108" s="63">
        <v>-1.53</v>
      </c>
      <c r="D108" s="63">
        <f>ROUND((($C108)/12),2)</f>
        <v>-0.13</v>
      </c>
      <c r="E108" s="63">
        <f aca="true" t="shared" si="62" ref="E108:O108">ROUND((($C108)/12),2)</f>
        <v>-0.13</v>
      </c>
      <c r="F108" s="63">
        <f t="shared" si="62"/>
        <v>-0.13</v>
      </c>
      <c r="G108" s="63">
        <f t="shared" si="62"/>
        <v>-0.13</v>
      </c>
      <c r="H108" s="63">
        <f t="shared" si="62"/>
        <v>-0.13</v>
      </c>
      <c r="I108" s="63">
        <f t="shared" si="62"/>
        <v>-0.13</v>
      </c>
      <c r="J108" s="63">
        <f t="shared" si="62"/>
        <v>-0.13</v>
      </c>
      <c r="K108" s="63">
        <f t="shared" si="62"/>
        <v>-0.13</v>
      </c>
      <c r="L108" s="63">
        <f t="shared" si="62"/>
        <v>-0.13</v>
      </c>
      <c r="M108" s="63">
        <f t="shared" si="62"/>
        <v>-0.13</v>
      </c>
      <c r="N108" s="63">
        <f t="shared" si="62"/>
        <v>-0.13</v>
      </c>
      <c r="O108" s="63">
        <f t="shared" si="62"/>
        <v>-0.13</v>
      </c>
      <c r="P108" s="64">
        <f>SUM(D108:O108)</f>
        <v>-1.5599999999999996</v>
      </c>
    </row>
    <row r="109" spans="1:16" ht="12.75">
      <c r="A109" s="27" t="s">
        <v>42</v>
      </c>
      <c r="B109" s="65"/>
      <c r="C109" s="63"/>
      <c r="D109" s="63">
        <f>+D108+B108</f>
        <v>-5.455225</v>
      </c>
      <c r="E109" s="63">
        <f aca="true" t="shared" si="63" ref="E109:O109">+D109+E108</f>
        <v>-5.585225</v>
      </c>
      <c r="F109" s="63">
        <f t="shared" si="63"/>
        <v>-5.715225</v>
      </c>
      <c r="G109" s="63">
        <f t="shared" si="63"/>
        <v>-5.845225</v>
      </c>
      <c r="H109" s="63">
        <f t="shared" si="63"/>
        <v>-5.975225</v>
      </c>
      <c r="I109" s="63">
        <f t="shared" si="63"/>
        <v>-6.105225</v>
      </c>
      <c r="J109" s="63">
        <f t="shared" si="63"/>
        <v>-6.235225</v>
      </c>
      <c r="K109" s="63">
        <f t="shared" si="63"/>
        <v>-6.365225</v>
      </c>
      <c r="L109" s="63">
        <f t="shared" si="63"/>
        <v>-6.495225</v>
      </c>
      <c r="M109" s="63">
        <f t="shared" si="63"/>
        <v>-6.6252249999999995</v>
      </c>
      <c r="N109" s="63">
        <f t="shared" si="63"/>
        <v>-6.755224999999999</v>
      </c>
      <c r="O109" s="63">
        <f t="shared" si="63"/>
        <v>-6.885224999999999</v>
      </c>
      <c r="P109" s="64"/>
    </row>
    <row r="110" spans="1:16" ht="12.75">
      <c r="A110" s="27" t="s">
        <v>43</v>
      </c>
      <c r="B110" s="65"/>
      <c r="C110" s="63"/>
      <c r="D110" s="63">
        <f>+O86*(O69/12)</f>
        <v>-0.014950003124999998</v>
      </c>
      <c r="E110" s="63">
        <f>+D109*(D92/12)</f>
        <v>-0.011137751041666668</v>
      </c>
      <c r="F110" s="63">
        <f aca="true" t="shared" si="64" ref="F110:O110">+E109*(E92/12)</f>
        <v>-0.011403167708333335</v>
      </c>
      <c r="G110" s="63">
        <f t="shared" si="64"/>
        <v>-0.011668584375000002</v>
      </c>
      <c r="H110" s="63">
        <f t="shared" si="64"/>
        <v>-0.004871020833333334</v>
      </c>
      <c r="I110" s="63">
        <f t="shared" si="64"/>
        <v>-0.004979354166666667</v>
      </c>
      <c r="J110" s="63">
        <f t="shared" si="64"/>
        <v>-0.0050876875</v>
      </c>
      <c r="K110" s="63">
        <f t="shared" si="64"/>
        <v>-0.0028578114583333336</v>
      </c>
      <c r="L110" s="63">
        <f t="shared" si="64"/>
        <v>-0.002917394791666667</v>
      </c>
      <c r="M110" s="63">
        <f t="shared" si="64"/>
        <v>-0.0029769781250000003</v>
      </c>
      <c r="N110" s="63">
        <f t="shared" si="64"/>
        <v>-0.003036561458333333</v>
      </c>
      <c r="O110" s="63">
        <f t="shared" si="64"/>
        <v>-0.0030961447916666666</v>
      </c>
      <c r="P110" s="64">
        <f>SUM(D110:O110)</f>
        <v>-0.07898245937500001</v>
      </c>
    </row>
    <row r="111" spans="2:16" ht="12.7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</row>
    <row r="113" spans="1:16" ht="12.75">
      <c r="A113" s="31"/>
      <c r="B113" s="31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6"/>
    </row>
    <row r="114" spans="4:15" s="20" customFormat="1" ht="12.75">
      <c r="D114" s="21">
        <v>0.0055</v>
      </c>
      <c r="E114" s="21">
        <v>0.0055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6" s="23" customFormat="1" ht="12.75">
      <c r="A115" s="22"/>
      <c r="B115" s="22"/>
      <c r="C115" s="22"/>
      <c r="D115" s="22" t="s">
        <v>26</v>
      </c>
      <c r="E115" s="22" t="s">
        <v>27</v>
      </c>
      <c r="F115" s="22" t="s">
        <v>28</v>
      </c>
      <c r="G115" s="22" t="s">
        <v>29</v>
      </c>
      <c r="H115" s="22" t="s">
        <v>30</v>
      </c>
      <c r="I115" s="22" t="s">
        <v>31</v>
      </c>
      <c r="J115" s="22" t="s">
        <v>32</v>
      </c>
      <c r="K115" s="22" t="s">
        <v>33</v>
      </c>
      <c r="L115" s="22" t="s">
        <v>34</v>
      </c>
      <c r="M115" s="22" t="s">
        <v>35</v>
      </c>
      <c r="N115" s="22" t="s">
        <v>36</v>
      </c>
      <c r="O115" s="22" t="s">
        <v>37</v>
      </c>
      <c r="P115" s="22" t="s">
        <v>38</v>
      </c>
    </row>
    <row r="116" spans="1:16" ht="25.5">
      <c r="A116" s="24" t="s">
        <v>54</v>
      </c>
      <c r="B116" s="25" t="s">
        <v>40</v>
      </c>
      <c r="C116" s="26" t="s">
        <v>41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9"/>
    </row>
    <row r="117" spans="3:16" ht="12.7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9"/>
    </row>
    <row r="118" spans="1:16" ht="12.75">
      <c r="A118" s="27" t="s">
        <v>1</v>
      </c>
      <c r="B118" s="65">
        <f>+B96+C96</f>
        <v>-55788.509999999995</v>
      </c>
      <c r="C118" s="63">
        <f>-'included J F 2010'!P7-'included J F 2010'!P18</f>
        <v>-2044.4725999999996</v>
      </c>
      <c r="D118" s="63">
        <f>ROUND(($C118/2),2)</f>
        <v>-1022.24</v>
      </c>
      <c r="E118" s="63">
        <f>ROUND(($C118/2),2)</f>
        <v>-1022.24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4">
        <f>SUM(D118:O118)</f>
        <v>-2044.48</v>
      </c>
    </row>
    <row r="119" spans="1:16" ht="12.75">
      <c r="A119" s="27" t="s">
        <v>42</v>
      </c>
      <c r="B119" s="65"/>
      <c r="C119" s="63"/>
      <c r="D119" s="63">
        <f>+B118+D118</f>
        <v>-56810.74999999999</v>
      </c>
      <c r="E119" s="63">
        <f aca="true" t="shared" si="65" ref="E119:O119">+E118+D119</f>
        <v>-57832.98999999999</v>
      </c>
      <c r="F119" s="63">
        <f t="shared" si="65"/>
        <v>-57832.98999999999</v>
      </c>
      <c r="G119" s="63">
        <f t="shared" si="65"/>
        <v>-57832.98999999999</v>
      </c>
      <c r="H119" s="63">
        <f t="shared" si="65"/>
        <v>-57832.98999999999</v>
      </c>
      <c r="I119" s="63">
        <f t="shared" si="65"/>
        <v>-57832.98999999999</v>
      </c>
      <c r="J119" s="63">
        <f t="shared" si="65"/>
        <v>-57832.98999999999</v>
      </c>
      <c r="K119" s="63">
        <f t="shared" si="65"/>
        <v>-57832.98999999999</v>
      </c>
      <c r="L119" s="63">
        <f t="shared" si="65"/>
        <v>-57832.98999999999</v>
      </c>
      <c r="M119" s="63">
        <f t="shared" si="65"/>
        <v>-57832.98999999999</v>
      </c>
      <c r="N119" s="63">
        <f t="shared" si="65"/>
        <v>-57832.98999999999</v>
      </c>
      <c r="O119" s="63">
        <f t="shared" si="65"/>
        <v>-57832.98999999999</v>
      </c>
      <c r="P119" s="64"/>
    </row>
    <row r="120" spans="1:16" ht="12.75">
      <c r="A120" s="27" t="s">
        <v>43</v>
      </c>
      <c r="B120" s="65"/>
      <c r="C120" s="63"/>
      <c r="D120" s="63">
        <f>+O96*(O91/12)</f>
        <v>0</v>
      </c>
      <c r="E120" s="63">
        <f aca="true" t="shared" si="66" ref="E120:O120">+D119*(D114/12)</f>
        <v>-26.038260416666663</v>
      </c>
      <c r="F120" s="63">
        <f t="shared" si="66"/>
        <v>-26.50678708333333</v>
      </c>
      <c r="G120" s="63">
        <f t="shared" si="66"/>
        <v>0</v>
      </c>
      <c r="H120" s="63">
        <f t="shared" si="66"/>
        <v>0</v>
      </c>
      <c r="I120" s="63">
        <f t="shared" si="66"/>
        <v>0</v>
      </c>
      <c r="J120" s="63">
        <f t="shared" si="66"/>
        <v>0</v>
      </c>
      <c r="K120" s="63">
        <f t="shared" si="66"/>
        <v>0</v>
      </c>
      <c r="L120" s="63">
        <f t="shared" si="66"/>
        <v>0</v>
      </c>
      <c r="M120" s="63">
        <f t="shared" si="66"/>
        <v>0</v>
      </c>
      <c r="N120" s="63">
        <f t="shared" si="66"/>
        <v>0</v>
      </c>
      <c r="O120" s="63">
        <f t="shared" si="66"/>
        <v>0</v>
      </c>
      <c r="P120" s="64">
        <f>SUM(D120:O120)</f>
        <v>-52.545047499999995</v>
      </c>
    </row>
    <row r="121" spans="1:16" ht="12.75">
      <c r="A121" s="27"/>
      <c r="B121" s="65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4"/>
    </row>
    <row r="122" spans="1:16" ht="12.75">
      <c r="A122" s="27" t="s">
        <v>2</v>
      </c>
      <c r="B122" s="65">
        <f>+B100+C100</f>
        <v>-19715.75</v>
      </c>
      <c r="C122" s="63">
        <f>-'included J F 2010'!P8-'included J F 2010'!P19</f>
        <v>-735.1420000000002</v>
      </c>
      <c r="D122" s="63">
        <f>ROUND((($C122)/2),2)</f>
        <v>-367.57</v>
      </c>
      <c r="E122" s="63">
        <f>ROUND((($C122)/2),2)</f>
        <v>-367.57</v>
      </c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4">
        <f>SUM(D122:O122)</f>
        <v>-735.14</v>
      </c>
    </row>
    <row r="123" spans="1:16" ht="12.75">
      <c r="A123" s="27" t="s">
        <v>42</v>
      </c>
      <c r="B123" s="65"/>
      <c r="C123" s="63"/>
      <c r="D123" s="63">
        <f>+B122+D122</f>
        <v>-20083.32</v>
      </c>
      <c r="E123" s="63">
        <f aca="true" t="shared" si="67" ref="E123:O123">+D123+E122</f>
        <v>-20450.89</v>
      </c>
      <c r="F123" s="63">
        <f t="shared" si="67"/>
        <v>-20450.89</v>
      </c>
      <c r="G123" s="63">
        <f t="shared" si="67"/>
        <v>-20450.89</v>
      </c>
      <c r="H123" s="63">
        <f t="shared" si="67"/>
        <v>-20450.89</v>
      </c>
      <c r="I123" s="63">
        <f t="shared" si="67"/>
        <v>-20450.89</v>
      </c>
      <c r="J123" s="63">
        <f t="shared" si="67"/>
        <v>-20450.89</v>
      </c>
      <c r="K123" s="63">
        <f t="shared" si="67"/>
        <v>-20450.89</v>
      </c>
      <c r="L123" s="63">
        <f t="shared" si="67"/>
        <v>-20450.89</v>
      </c>
      <c r="M123" s="63">
        <f t="shared" si="67"/>
        <v>-20450.89</v>
      </c>
      <c r="N123" s="63">
        <f t="shared" si="67"/>
        <v>-20450.89</v>
      </c>
      <c r="O123" s="63">
        <f t="shared" si="67"/>
        <v>-20450.89</v>
      </c>
      <c r="P123" s="64"/>
    </row>
    <row r="124" spans="1:16" ht="12.75">
      <c r="A124" s="27" t="s">
        <v>43</v>
      </c>
      <c r="B124" s="65"/>
      <c r="C124" s="63"/>
      <c r="D124" s="63">
        <f>+O100*(O91/12)</f>
        <v>0</v>
      </c>
      <c r="E124" s="63">
        <f aca="true" t="shared" si="68" ref="E124:O124">+D123*(D114/12)</f>
        <v>-9.204855</v>
      </c>
      <c r="F124" s="63">
        <f t="shared" si="68"/>
        <v>-9.373324583333332</v>
      </c>
      <c r="G124" s="63">
        <f t="shared" si="68"/>
        <v>0</v>
      </c>
      <c r="H124" s="63">
        <f t="shared" si="68"/>
        <v>0</v>
      </c>
      <c r="I124" s="63">
        <f t="shared" si="68"/>
        <v>0</v>
      </c>
      <c r="J124" s="63">
        <f t="shared" si="68"/>
        <v>0</v>
      </c>
      <c r="K124" s="63">
        <f t="shared" si="68"/>
        <v>0</v>
      </c>
      <c r="L124" s="63">
        <f t="shared" si="68"/>
        <v>0</v>
      </c>
      <c r="M124" s="63">
        <f t="shared" si="68"/>
        <v>0</v>
      </c>
      <c r="N124" s="63">
        <f t="shared" si="68"/>
        <v>0</v>
      </c>
      <c r="O124" s="63">
        <f t="shared" si="68"/>
        <v>0</v>
      </c>
      <c r="P124" s="64">
        <f>SUM(D124:O124)</f>
        <v>-18.57817958333333</v>
      </c>
    </row>
    <row r="125" spans="1:16" ht="12.75">
      <c r="A125" s="27"/>
      <c r="B125" s="65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4"/>
    </row>
    <row r="126" spans="1:16" ht="12.75">
      <c r="A126" s="27" t="s">
        <v>44</v>
      </c>
      <c r="B126" s="65">
        <f>+B104+C104</f>
        <v>-1044.3942416666666</v>
      </c>
      <c r="C126" s="63">
        <f>-'included J F 2010'!P9-'included J F 2010'!P20</f>
        <v>-195.65400000000008</v>
      </c>
      <c r="D126" s="63">
        <f>ROUND((($C126)/2),2)</f>
        <v>-97.83</v>
      </c>
      <c r="E126" s="63">
        <f>ROUND((($C126)/2),2)</f>
        <v>-97.83</v>
      </c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4">
        <f>SUM(D126:O126)</f>
        <v>-195.66</v>
      </c>
    </row>
    <row r="127" spans="1:16" ht="12.75">
      <c r="A127" s="27" t="s">
        <v>42</v>
      </c>
      <c r="B127" s="65"/>
      <c r="C127" s="63"/>
      <c r="D127" s="63">
        <f>+B126+D126</f>
        <v>-1142.2242416666666</v>
      </c>
      <c r="E127" s="63">
        <f aca="true" t="shared" si="69" ref="E127:O127">+D127+E126</f>
        <v>-1240.0542416666665</v>
      </c>
      <c r="F127" s="63">
        <f t="shared" si="69"/>
        <v>-1240.0542416666665</v>
      </c>
      <c r="G127" s="63">
        <f t="shared" si="69"/>
        <v>-1240.0542416666665</v>
      </c>
      <c r="H127" s="63">
        <f t="shared" si="69"/>
        <v>-1240.0542416666665</v>
      </c>
      <c r="I127" s="63">
        <f t="shared" si="69"/>
        <v>-1240.0542416666665</v>
      </c>
      <c r="J127" s="63">
        <f t="shared" si="69"/>
        <v>-1240.0542416666665</v>
      </c>
      <c r="K127" s="63">
        <f t="shared" si="69"/>
        <v>-1240.0542416666665</v>
      </c>
      <c r="L127" s="63">
        <f t="shared" si="69"/>
        <v>-1240.0542416666665</v>
      </c>
      <c r="M127" s="63">
        <f t="shared" si="69"/>
        <v>-1240.0542416666665</v>
      </c>
      <c r="N127" s="63">
        <f t="shared" si="69"/>
        <v>-1240.0542416666665</v>
      </c>
      <c r="O127" s="63">
        <f t="shared" si="69"/>
        <v>-1240.0542416666665</v>
      </c>
      <c r="P127" s="64"/>
    </row>
    <row r="128" spans="1:16" ht="12.75">
      <c r="A128" s="27" t="s">
        <v>43</v>
      </c>
      <c r="B128" s="65"/>
      <c r="C128" s="63"/>
      <c r="D128" s="63">
        <f>+O104*(O91/12)</f>
        <v>0</v>
      </c>
      <c r="E128" s="63">
        <f aca="true" t="shared" si="70" ref="E128:O128">+D127*(D114/12)</f>
        <v>-0.5235194440972222</v>
      </c>
      <c r="F128" s="63">
        <f t="shared" si="70"/>
        <v>-0.5683581940972221</v>
      </c>
      <c r="G128" s="63">
        <f t="shared" si="70"/>
        <v>0</v>
      </c>
      <c r="H128" s="63">
        <f t="shared" si="70"/>
        <v>0</v>
      </c>
      <c r="I128" s="63">
        <f t="shared" si="70"/>
        <v>0</v>
      </c>
      <c r="J128" s="63">
        <f t="shared" si="70"/>
        <v>0</v>
      </c>
      <c r="K128" s="63">
        <f t="shared" si="70"/>
        <v>0</v>
      </c>
      <c r="L128" s="63">
        <f t="shared" si="70"/>
        <v>0</v>
      </c>
      <c r="M128" s="63">
        <f t="shared" si="70"/>
        <v>0</v>
      </c>
      <c r="N128" s="63">
        <f t="shared" si="70"/>
        <v>0</v>
      </c>
      <c r="O128" s="63">
        <f t="shared" si="70"/>
        <v>0</v>
      </c>
      <c r="P128" s="64">
        <f>SUM(D128:O128)</f>
        <v>-1.0918776381944442</v>
      </c>
    </row>
    <row r="129" spans="1:16" ht="12.75">
      <c r="A129" s="27"/>
      <c r="B129" s="65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4"/>
    </row>
    <row r="130" spans="1:16" ht="12.75">
      <c r="A130" s="27" t="s">
        <v>20</v>
      </c>
      <c r="B130" s="65">
        <f>+B108+C108</f>
        <v>-6.855225000000001</v>
      </c>
      <c r="C130" s="63">
        <f>-'included J F 2010'!P10-'included J F 2010'!P21</f>
        <v>-1.0800000000000003</v>
      </c>
      <c r="D130" s="63">
        <f>ROUND((($C130)/2),2)</f>
        <v>-0.54</v>
      </c>
      <c r="E130" s="63">
        <f>ROUND((($C130)/2),2)</f>
        <v>-0.54</v>
      </c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4">
        <f>SUM(D130:O130)</f>
        <v>-1.08</v>
      </c>
    </row>
    <row r="131" spans="1:16" ht="12.75">
      <c r="A131" s="27" t="s">
        <v>42</v>
      </c>
      <c r="B131" s="65"/>
      <c r="C131" s="63"/>
      <c r="D131" s="63">
        <f>+D130+B130</f>
        <v>-7.395225000000001</v>
      </c>
      <c r="E131" s="63">
        <f aca="true" t="shared" si="71" ref="E131:O131">+D131+E130</f>
        <v>-7.935225000000001</v>
      </c>
      <c r="F131" s="63">
        <f t="shared" si="71"/>
        <v>-7.935225000000001</v>
      </c>
      <c r="G131" s="63">
        <f t="shared" si="71"/>
        <v>-7.935225000000001</v>
      </c>
      <c r="H131" s="63">
        <f t="shared" si="71"/>
        <v>-7.935225000000001</v>
      </c>
      <c r="I131" s="63">
        <f t="shared" si="71"/>
        <v>-7.935225000000001</v>
      </c>
      <c r="J131" s="63">
        <f t="shared" si="71"/>
        <v>-7.935225000000001</v>
      </c>
      <c r="K131" s="63">
        <f t="shared" si="71"/>
        <v>-7.935225000000001</v>
      </c>
      <c r="L131" s="63">
        <f t="shared" si="71"/>
        <v>-7.935225000000001</v>
      </c>
      <c r="M131" s="63">
        <f t="shared" si="71"/>
        <v>-7.935225000000001</v>
      </c>
      <c r="N131" s="63">
        <f t="shared" si="71"/>
        <v>-7.935225000000001</v>
      </c>
      <c r="O131" s="63">
        <f t="shared" si="71"/>
        <v>-7.935225000000001</v>
      </c>
      <c r="P131" s="64"/>
    </row>
    <row r="132" spans="1:16" ht="12.75">
      <c r="A132" s="27" t="s">
        <v>43</v>
      </c>
      <c r="B132" s="65"/>
      <c r="C132" s="63"/>
      <c r="D132" s="63">
        <f>+O108*(O91/12)</f>
        <v>0</v>
      </c>
      <c r="E132" s="63">
        <f aca="true" t="shared" si="72" ref="E132:O132">+D131*(D114/12)</f>
        <v>-0.0033894781250000004</v>
      </c>
      <c r="F132" s="63">
        <f t="shared" si="72"/>
        <v>-0.0036369781250000003</v>
      </c>
      <c r="G132" s="63">
        <f t="shared" si="72"/>
        <v>0</v>
      </c>
      <c r="H132" s="63">
        <f t="shared" si="72"/>
        <v>0</v>
      </c>
      <c r="I132" s="63">
        <f t="shared" si="72"/>
        <v>0</v>
      </c>
      <c r="J132" s="63">
        <f t="shared" si="72"/>
        <v>0</v>
      </c>
      <c r="K132" s="63">
        <f t="shared" si="72"/>
        <v>0</v>
      </c>
      <c r="L132" s="63">
        <f t="shared" si="72"/>
        <v>0</v>
      </c>
      <c r="M132" s="63">
        <f t="shared" si="72"/>
        <v>0</v>
      </c>
      <c r="N132" s="63">
        <f t="shared" si="72"/>
        <v>0</v>
      </c>
      <c r="O132" s="63">
        <f t="shared" si="72"/>
        <v>0</v>
      </c>
      <c r="P132" s="64">
        <f>SUM(D132:O132)</f>
        <v>-0.00702645625</v>
      </c>
    </row>
    <row r="133" spans="1:16" ht="12.75">
      <c r="A133" s="27"/>
      <c r="B133" s="33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9"/>
    </row>
    <row r="134" spans="1:16" ht="12.75">
      <c r="A134" s="27"/>
      <c r="B134" s="33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9"/>
    </row>
    <row r="135" spans="1:16" ht="12.75">
      <c r="A135" s="27"/>
      <c r="B135" s="33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9"/>
    </row>
    <row r="136" ht="12.75">
      <c r="A136" s="24" t="s">
        <v>49</v>
      </c>
    </row>
    <row r="137" ht="12.75">
      <c r="C137" s="43" t="s">
        <v>23</v>
      </c>
    </row>
    <row r="138" spans="1:9" ht="12.75">
      <c r="A138" s="27" t="s">
        <v>1</v>
      </c>
      <c r="B138" s="67"/>
      <c r="C138" s="66">
        <f>+C9+C30+C51+C73+C96+P11+P32+P53+P75+P98+P120+C118</f>
        <v>-62071.19653191667</v>
      </c>
      <c r="D138" s="66"/>
      <c r="E138" s="66"/>
      <c r="F138" s="66"/>
      <c r="G138" s="66"/>
      <c r="H138" s="66"/>
      <c r="I138" s="66"/>
    </row>
    <row r="139" spans="1:9" ht="12.75">
      <c r="A139" s="27" t="s">
        <v>2</v>
      </c>
      <c r="B139" s="67"/>
      <c r="C139" s="66">
        <f>+C13+C34+C55+C77+C100+P15+P36+P57+P79+P102+C122+P124</f>
        <v>-21957.270886416667</v>
      </c>
      <c r="D139" s="66"/>
      <c r="E139" s="66"/>
      <c r="F139" s="66"/>
      <c r="G139" s="66"/>
      <c r="H139" s="66"/>
      <c r="I139" s="66"/>
    </row>
    <row r="140" spans="1:9" ht="12.75">
      <c r="A140" s="27" t="s">
        <v>44</v>
      </c>
      <c r="B140" s="67"/>
      <c r="C140" s="66">
        <f>+C17+C38+C59+C81+C104+P19+P40+P61+P83+P106+C126+P128</f>
        <v>-1364.796186913889</v>
      </c>
      <c r="D140" s="66"/>
      <c r="E140" s="66"/>
      <c r="F140" s="66"/>
      <c r="G140" s="66"/>
      <c r="H140" s="66"/>
      <c r="I140" s="66"/>
    </row>
    <row r="141" spans="1:9" ht="12.75">
      <c r="A141" s="27" t="s">
        <v>20</v>
      </c>
      <c r="B141" s="67"/>
      <c r="C141" s="66">
        <f>+C21+C42+C63+C85+C108+P23+P44+P65+P87+P110+C130+P132</f>
        <v>-8.717773575</v>
      </c>
      <c r="D141" s="66"/>
      <c r="E141" s="66"/>
      <c r="F141" s="66"/>
      <c r="G141" s="66"/>
      <c r="H141" s="66"/>
      <c r="I141" s="66"/>
    </row>
    <row r="142" spans="2:9" ht="13.5" thickBot="1">
      <c r="B142" s="67"/>
      <c r="C142" s="68">
        <f>SUM(C138:C141)</f>
        <v>-85401.98137882222</v>
      </c>
      <c r="D142" s="66"/>
      <c r="E142" s="66"/>
      <c r="F142" s="66"/>
      <c r="G142" s="66"/>
      <c r="H142" s="66"/>
      <c r="I142" s="66"/>
    </row>
    <row r="143" spans="2:9" ht="13.5" thickTop="1">
      <c r="B143" s="66"/>
      <c r="C143" s="66"/>
      <c r="D143" s="66"/>
      <c r="E143" s="66"/>
      <c r="F143" s="66"/>
      <c r="G143" s="66"/>
      <c r="H143" s="66"/>
      <c r="I143" s="66"/>
    </row>
    <row r="144" spans="2:9" ht="12.75">
      <c r="B144" s="66"/>
      <c r="C144" s="66"/>
      <c r="D144" s="66"/>
      <c r="E144" s="66"/>
      <c r="F144" s="66"/>
      <c r="G144" s="66"/>
      <c r="H144" s="66"/>
      <c r="I144" s="66"/>
    </row>
    <row r="145" spans="1:9" ht="12.75">
      <c r="A145" s="19" t="s">
        <v>50</v>
      </c>
      <c r="B145" s="66"/>
      <c r="C145" s="66"/>
      <c r="D145" s="66"/>
      <c r="E145" s="66"/>
      <c r="F145" s="66"/>
      <c r="G145" s="66"/>
      <c r="H145" s="66"/>
      <c r="I145" s="66"/>
    </row>
    <row r="146" spans="1:9" ht="12.75">
      <c r="A146" s="19">
        <v>2005</v>
      </c>
      <c r="B146" s="66">
        <f>+P11+P15+P19+P23</f>
        <v>-218.77140833333328</v>
      </c>
      <c r="C146" s="66"/>
      <c r="D146" s="71">
        <v>2005</v>
      </c>
      <c r="E146" s="71">
        <v>2006</v>
      </c>
      <c r="F146" s="71">
        <v>2007</v>
      </c>
      <c r="G146" s="71">
        <v>2008</v>
      </c>
      <c r="H146" s="71">
        <v>2009</v>
      </c>
      <c r="I146" s="71">
        <v>2010</v>
      </c>
    </row>
    <row r="147" spans="1:9" ht="12.75">
      <c r="A147" s="19">
        <v>2006</v>
      </c>
      <c r="B147" s="66">
        <f>+P32+P36+P40+P44</f>
        <v>-951.2701897799999</v>
      </c>
      <c r="C147" s="66"/>
      <c r="D147" s="66">
        <f>+P11</f>
        <v>-174.3093333333333</v>
      </c>
      <c r="E147" s="66">
        <f>+P32</f>
        <v>-692.4334161666666</v>
      </c>
      <c r="F147" s="66">
        <f>+P53</f>
        <v>-1179.9689460833333</v>
      </c>
      <c r="G147" s="66">
        <f>+P75</f>
        <v>-1497.7907417499996</v>
      </c>
      <c r="H147" s="66">
        <f>+P98</f>
        <v>-641.1664470833332</v>
      </c>
      <c r="I147" s="66">
        <f>+P120</f>
        <v>-52.545047499999995</v>
      </c>
    </row>
    <row r="148" spans="1:9" ht="12.75">
      <c r="A148" s="19">
        <v>2007</v>
      </c>
      <c r="B148" s="66">
        <f>+P53+P57+P61+P65</f>
        <v>-1632.3195868644445</v>
      </c>
      <c r="C148" s="66"/>
      <c r="D148" s="66">
        <f>+P15</f>
        <v>-42.24260833333333</v>
      </c>
      <c r="E148" s="66">
        <f>+P36</f>
        <v>-247.98423891666664</v>
      </c>
      <c r="F148" s="66">
        <f>+P57</f>
        <v>-431.12766408333334</v>
      </c>
      <c r="G148" s="66">
        <f>+P79</f>
        <v>-538.6315059166666</v>
      </c>
      <c r="H148" s="66">
        <f>+P102</f>
        <v>-227.81468958333335</v>
      </c>
      <c r="I148" s="66">
        <f>+P124</f>
        <v>-18.57817958333333</v>
      </c>
    </row>
    <row r="149" spans="1:9" ht="12.75">
      <c r="A149" s="19">
        <v>2008</v>
      </c>
      <c r="B149" s="66">
        <f>+P75+P79+P83+P87</f>
        <v>-2064.3197862277775</v>
      </c>
      <c r="C149" s="66"/>
      <c r="D149" s="66">
        <f>+P19</f>
        <v>-2.2042416666666664</v>
      </c>
      <c r="E149" s="66">
        <f>+P40</f>
        <v>-10.779371736666665</v>
      </c>
      <c r="F149" s="66">
        <f>+P61</f>
        <v>-21.08274191402778</v>
      </c>
      <c r="G149" s="66">
        <f>+P83</f>
        <v>-27.714396645486097</v>
      </c>
      <c r="H149" s="66">
        <f>+P106</f>
        <v>-11.98955731284722</v>
      </c>
      <c r="I149" s="66">
        <f>+P128</f>
        <v>-1.0918776381944442</v>
      </c>
    </row>
    <row r="150" spans="1:9" ht="12.75">
      <c r="A150" s="19">
        <v>2009</v>
      </c>
      <c r="B150" s="66">
        <f>+P98+P102+P106+P110</f>
        <v>-881.0496764388887</v>
      </c>
      <c r="C150" s="66"/>
      <c r="D150" s="66">
        <f>+P23</f>
        <v>-0.015224999999999999</v>
      </c>
      <c r="E150" s="66">
        <f>+P44</f>
        <v>-0.07316295999999999</v>
      </c>
      <c r="F150" s="66">
        <f>+P65</f>
        <v>-0.14023478374999995</v>
      </c>
      <c r="G150" s="66">
        <f>+P87</f>
        <v>-0.18314191562499998</v>
      </c>
      <c r="H150" s="66">
        <f>+P110</f>
        <v>-0.07898245937500001</v>
      </c>
      <c r="I150" s="66">
        <f>+P132</f>
        <v>-0.00702645625</v>
      </c>
    </row>
    <row r="151" spans="1:9" ht="13.5" thickBot="1">
      <c r="A151" s="19">
        <v>2010</v>
      </c>
      <c r="B151" s="66">
        <f>+I151</f>
        <v>-72.22213117777777</v>
      </c>
      <c r="C151" s="66"/>
      <c r="D151" s="68">
        <f aca="true" t="shared" si="73" ref="D151:I151">SUM(D147:D150)</f>
        <v>-218.77140833333328</v>
      </c>
      <c r="E151" s="68">
        <f t="shared" si="73"/>
        <v>-951.2701897799999</v>
      </c>
      <c r="F151" s="68">
        <f t="shared" si="73"/>
        <v>-1632.3195868644445</v>
      </c>
      <c r="G151" s="68">
        <f t="shared" si="73"/>
        <v>-2064.3197862277775</v>
      </c>
      <c r="H151" s="68">
        <f t="shared" si="73"/>
        <v>-881.0496764388887</v>
      </c>
      <c r="I151" s="68">
        <f t="shared" si="73"/>
        <v>-72.22213117777777</v>
      </c>
    </row>
    <row r="152" spans="2:9" ht="14.25" thickBot="1" thickTop="1">
      <c r="B152" s="68">
        <f>SUM(B146:B151)</f>
        <v>-5819.952778822222</v>
      </c>
      <c r="C152" s="66"/>
      <c r="D152" s="66"/>
      <c r="E152" s="66"/>
      <c r="F152" s="66"/>
      <c r="G152" s="66"/>
      <c r="H152" s="66"/>
      <c r="I152" s="66"/>
    </row>
    <row r="153" spans="2:9" ht="13.5" thickTop="1">
      <c r="B153" s="66"/>
      <c r="C153" s="66"/>
      <c r="D153" s="66"/>
      <c r="E153" s="66"/>
      <c r="F153" s="66"/>
      <c r="G153" s="66"/>
      <c r="H153" s="66"/>
      <c r="I153" s="66"/>
    </row>
    <row r="154" spans="1:9" ht="12.75">
      <c r="A154" s="19" t="s">
        <v>51</v>
      </c>
      <c r="B154" s="66"/>
      <c r="C154" s="66"/>
      <c r="D154" s="66"/>
      <c r="E154" s="66"/>
      <c r="F154" s="66"/>
      <c r="G154" s="66"/>
      <c r="H154" s="66"/>
      <c r="I154" s="66"/>
    </row>
    <row r="155" spans="1:9" ht="12.75">
      <c r="A155" s="19">
        <v>2005</v>
      </c>
      <c r="B155" s="66">
        <f>+C9+C13+C17+C21</f>
        <v>-11396.980000000001</v>
      </c>
      <c r="C155" s="66"/>
      <c r="D155" s="66"/>
      <c r="E155" s="66"/>
      <c r="F155" s="66"/>
      <c r="G155" s="66"/>
      <c r="H155" s="66"/>
      <c r="I155" s="66"/>
    </row>
    <row r="156" spans="1:9" ht="12.75">
      <c r="A156" s="19">
        <v>2006</v>
      </c>
      <c r="B156" s="66">
        <f>+C30+C34+C38+C42</f>
        <v>-16084.04</v>
      </c>
      <c r="C156" s="66"/>
      <c r="D156" s="66"/>
      <c r="E156" s="66"/>
      <c r="F156" s="66"/>
      <c r="G156" s="66"/>
      <c r="H156" s="66"/>
      <c r="I156" s="66"/>
    </row>
    <row r="157" spans="1:9" ht="12.75">
      <c r="A157" s="19">
        <v>2007</v>
      </c>
      <c r="B157" s="66">
        <f>+C51+C55+C59+C63</f>
        <v>-15938.78</v>
      </c>
      <c r="C157" s="66"/>
      <c r="D157" s="66"/>
      <c r="E157" s="66"/>
      <c r="F157" s="66"/>
      <c r="G157" s="66"/>
      <c r="H157" s="66"/>
      <c r="I157" s="66"/>
    </row>
    <row r="158" spans="1:9" ht="12.75">
      <c r="A158" s="19">
        <v>2008</v>
      </c>
      <c r="B158" s="66">
        <f>+C73+C77+C81+C85</f>
        <v>-16222.27</v>
      </c>
      <c r="C158" s="66"/>
      <c r="D158" s="66"/>
      <c r="E158" s="66"/>
      <c r="F158" s="66"/>
      <c r="G158" s="66"/>
      <c r="H158" s="66"/>
      <c r="I158" s="66"/>
    </row>
    <row r="159" spans="1:9" ht="12.75">
      <c r="A159" s="19">
        <v>2009</v>
      </c>
      <c r="B159" s="66">
        <f>+C96+C100+C104+C108</f>
        <v>-16963.609999999997</v>
      </c>
      <c r="C159" s="66"/>
      <c r="D159" s="66"/>
      <c r="E159" s="66"/>
      <c r="F159" s="66"/>
      <c r="G159" s="66"/>
      <c r="H159" s="66"/>
      <c r="I159" s="66"/>
    </row>
    <row r="160" spans="1:9" ht="12.75">
      <c r="A160" s="19">
        <v>2010</v>
      </c>
      <c r="B160" s="66">
        <f>+C118+C122+C126+C130</f>
        <v>-2976.3486</v>
      </c>
      <c r="C160" s="66"/>
      <c r="D160" s="66"/>
      <c r="E160" s="66"/>
      <c r="F160" s="66"/>
      <c r="G160" s="66"/>
      <c r="H160" s="66"/>
      <c r="I160" s="66"/>
    </row>
    <row r="161" spans="2:9" ht="13.5" thickBot="1">
      <c r="B161" s="68">
        <f>SUM(B155:B160)</f>
        <v>-79582.0286</v>
      </c>
      <c r="C161" s="66"/>
      <c r="D161" s="66"/>
      <c r="E161" s="66"/>
      <c r="F161" s="66"/>
      <c r="G161" s="66"/>
      <c r="H161" s="66"/>
      <c r="I161" s="66"/>
    </row>
    <row r="162" spans="2:9" ht="13.5" thickTop="1">
      <c r="B162" s="66"/>
      <c r="C162" s="66"/>
      <c r="D162" s="66"/>
      <c r="E162" s="66"/>
      <c r="F162" s="66"/>
      <c r="G162" s="66"/>
      <c r="H162" s="66"/>
      <c r="I162" s="66"/>
    </row>
    <row r="163" spans="2:9" ht="13.5" thickBot="1">
      <c r="B163" s="68">
        <f>+B152+B161</f>
        <v>-85401.98137882222</v>
      </c>
      <c r="C163" s="66"/>
      <c r="D163" s="66"/>
      <c r="E163" s="66"/>
      <c r="F163" s="66"/>
      <c r="G163" s="66"/>
      <c r="H163" s="66"/>
      <c r="I163" s="66"/>
    </row>
    <row r="164" ht="13.5" thickTop="1">
      <c r="B164" s="37"/>
    </row>
    <row r="165" spans="1:9" ht="12.75">
      <c r="A165" s="41" t="s">
        <v>55</v>
      </c>
      <c r="B165" s="40"/>
      <c r="C165" s="40">
        <v>2005</v>
      </c>
      <c r="D165" s="40">
        <v>2006</v>
      </c>
      <c r="E165" s="40">
        <v>2007</v>
      </c>
      <c r="F165" s="40">
        <v>2008</v>
      </c>
      <c r="G165" s="40">
        <v>2009</v>
      </c>
      <c r="H165" s="40">
        <v>2010</v>
      </c>
      <c r="I165" s="42" t="s">
        <v>23</v>
      </c>
    </row>
    <row r="167" spans="1:9" ht="12.75">
      <c r="A167" s="27" t="s">
        <v>1</v>
      </c>
      <c r="C167" s="66">
        <f>+C9</f>
        <v>-8243.17</v>
      </c>
      <c r="D167" s="66">
        <f>+C30</f>
        <v>-11544.67</v>
      </c>
      <c r="E167" s="66">
        <f>+C51</f>
        <v>-11610.44</v>
      </c>
      <c r="F167" s="66">
        <f>+C73</f>
        <v>-11939.34</v>
      </c>
      <c r="G167" s="66">
        <f>+C96</f>
        <v>-12450.89</v>
      </c>
      <c r="H167" s="66">
        <f>+C118</f>
        <v>-2044.4725999999996</v>
      </c>
      <c r="I167" s="66">
        <f>SUM(C167:H167)</f>
        <v>-57832.982599999996</v>
      </c>
    </row>
    <row r="168" spans="1:9" ht="12.75">
      <c r="A168" s="27" t="s">
        <v>2</v>
      </c>
      <c r="C168" s="66">
        <f>+C13</f>
        <v>-2996.46</v>
      </c>
      <c r="D168" s="66">
        <f>+C34</f>
        <v>-4303.34</v>
      </c>
      <c r="E168" s="66">
        <f>+C55</f>
        <v>-4092.31</v>
      </c>
      <c r="F168" s="66">
        <f>+C77</f>
        <v>-4046.9</v>
      </c>
      <c r="G168" s="66">
        <f>+C100</f>
        <v>-4276.74</v>
      </c>
      <c r="H168" s="66">
        <f>+C122</f>
        <v>-735.1420000000002</v>
      </c>
      <c r="I168" s="66">
        <f>SUM(C168:H168)</f>
        <v>-20450.892</v>
      </c>
    </row>
    <row r="169" spans="1:9" ht="12.75">
      <c r="A169" s="27" t="s">
        <v>44</v>
      </c>
      <c r="C169" s="66">
        <f>+C17</f>
        <v>-156.33</v>
      </c>
      <c r="D169" s="66">
        <f>+C38</f>
        <v>-234.5</v>
      </c>
      <c r="E169" s="66">
        <f>+C59</f>
        <v>-234.5</v>
      </c>
      <c r="F169" s="66">
        <f>+C81</f>
        <v>-234.5</v>
      </c>
      <c r="G169" s="66">
        <f>+C104</f>
        <v>-234.45</v>
      </c>
      <c r="H169" s="66">
        <f>+C126</f>
        <v>-195.65400000000008</v>
      </c>
      <c r="I169" s="66">
        <f>SUM(C169:H169)</f>
        <v>-1289.934</v>
      </c>
    </row>
    <row r="170" spans="1:9" ht="12.75">
      <c r="A170" s="27" t="s">
        <v>20</v>
      </c>
      <c r="C170" s="66">
        <f>+C21</f>
        <v>-1.02</v>
      </c>
      <c r="D170" s="66">
        <f>+C42</f>
        <v>-1.53</v>
      </c>
      <c r="E170" s="66">
        <f>+C63</f>
        <v>-1.53</v>
      </c>
      <c r="F170" s="66">
        <f>+C85</f>
        <v>-1.53</v>
      </c>
      <c r="G170" s="66">
        <f>+C108</f>
        <v>-1.53</v>
      </c>
      <c r="H170" s="66">
        <f>+C130</f>
        <v>-1.0800000000000003</v>
      </c>
      <c r="I170" s="66">
        <f>SUM(C170:H170)</f>
        <v>-8.22</v>
      </c>
    </row>
    <row r="171" spans="3:9" ht="13.5" thickBot="1">
      <c r="C171" s="68">
        <f aca="true" t="shared" si="74" ref="C171:H171">SUM(C167:C170)</f>
        <v>-11396.980000000001</v>
      </c>
      <c r="D171" s="68">
        <f t="shared" si="74"/>
        <v>-16084.04</v>
      </c>
      <c r="E171" s="68">
        <f t="shared" si="74"/>
        <v>-15938.78</v>
      </c>
      <c r="F171" s="68">
        <f t="shared" si="74"/>
        <v>-16222.27</v>
      </c>
      <c r="G171" s="68">
        <f t="shared" si="74"/>
        <v>-16963.609999999997</v>
      </c>
      <c r="H171" s="68">
        <f t="shared" si="74"/>
        <v>-2976.3486</v>
      </c>
      <c r="I171" s="68">
        <f>SUM(I167:I170)</f>
        <v>-79582.02859999999</v>
      </c>
    </row>
    <row r="172" spans="3:9" ht="13.5" thickTop="1">
      <c r="C172" s="66"/>
      <c r="D172" s="66"/>
      <c r="E172" s="66"/>
      <c r="F172" s="66"/>
      <c r="G172" s="66"/>
      <c r="H172" s="66"/>
      <c r="I172" s="66"/>
    </row>
    <row r="173" spans="3:9" ht="12.75">
      <c r="C173" s="66"/>
      <c r="D173" s="66"/>
      <c r="E173" s="66"/>
      <c r="F173" s="66"/>
      <c r="G173" s="66"/>
      <c r="H173" s="66"/>
      <c r="I173" s="66"/>
    </row>
    <row r="174" spans="1:9" ht="12.75">
      <c r="A174" s="41" t="s">
        <v>50</v>
      </c>
      <c r="B174" s="40"/>
      <c r="C174" s="70">
        <v>2005</v>
      </c>
      <c r="D174" s="70">
        <v>2006</v>
      </c>
      <c r="E174" s="70">
        <v>2007</v>
      </c>
      <c r="F174" s="70">
        <v>2008</v>
      </c>
      <c r="G174" s="70">
        <v>2009</v>
      </c>
      <c r="H174" s="70">
        <v>2010</v>
      </c>
      <c r="I174" s="69" t="s">
        <v>23</v>
      </c>
    </row>
    <row r="175" spans="1:9" ht="12.75">
      <c r="A175" s="27" t="s">
        <v>1</v>
      </c>
      <c r="C175" s="66">
        <f aca="true" t="shared" si="75" ref="C175:H175">+D147</f>
        <v>-174.3093333333333</v>
      </c>
      <c r="D175" s="66">
        <f t="shared" si="75"/>
        <v>-692.4334161666666</v>
      </c>
      <c r="E175" s="66">
        <f t="shared" si="75"/>
        <v>-1179.9689460833333</v>
      </c>
      <c r="F175" s="66">
        <f t="shared" si="75"/>
        <v>-1497.7907417499996</v>
      </c>
      <c r="G175" s="66">
        <f t="shared" si="75"/>
        <v>-641.1664470833332</v>
      </c>
      <c r="H175" s="66">
        <f t="shared" si="75"/>
        <v>-52.545047499999995</v>
      </c>
      <c r="I175" s="66">
        <f>SUM(C175:H175)</f>
        <v>-4238.213931916665</v>
      </c>
    </row>
    <row r="176" spans="1:9" ht="12.75">
      <c r="A176" s="27" t="s">
        <v>2</v>
      </c>
      <c r="C176" s="66">
        <f aca="true" t="shared" si="76" ref="C176:H178">+D148</f>
        <v>-42.24260833333333</v>
      </c>
      <c r="D176" s="66">
        <f t="shared" si="76"/>
        <v>-247.98423891666664</v>
      </c>
      <c r="E176" s="66">
        <f t="shared" si="76"/>
        <v>-431.12766408333334</v>
      </c>
      <c r="F176" s="66">
        <f t="shared" si="76"/>
        <v>-538.6315059166666</v>
      </c>
      <c r="G176" s="66">
        <f t="shared" si="76"/>
        <v>-227.81468958333335</v>
      </c>
      <c r="H176" s="66">
        <f t="shared" si="76"/>
        <v>-18.57817958333333</v>
      </c>
      <c r="I176" s="66">
        <f>SUM(C176:H176)</f>
        <v>-1506.3788864166665</v>
      </c>
    </row>
    <row r="177" spans="1:9" ht="12.75">
      <c r="A177" s="27" t="s">
        <v>44</v>
      </c>
      <c r="C177" s="66">
        <f t="shared" si="76"/>
        <v>-2.2042416666666664</v>
      </c>
      <c r="D177" s="66">
        <f t="shared" si="76"/>
        <v>-10.779371736666665</v>
      </c>
      <c r="E177" s="66">
        <f t="shared" si="76"/>
        <v>-21.08274191402778</v>
      </c>
      <c r="F177" s="66">
        <f t="shared" si="76"/>
        <v>-27.714396645486097</v>
      </c>
      <c r="G177" s="66">
        <f t="shared" si="76"/>
        <v>-11.98955731284722</v>
      </c>
      <c r="H177" s="66">
        <f t="shared" si="76"/>
        <v>-1.0918776381944442</v>
      </c>
      <c r="I177" s="66">
        <f>SUM(C177:H177)</f>
        <v>-74.86218691388888</v>
      </c>
    </row>
    <row r="178" spans="1:9" ht="12.75">
      <c r="A178" s="27" t="s">
        <v>20</v>
      </c>
      <c r="C178" s="66">
        <f t="shared" si="76"/>
        <v>-0.015224999999999999</v>
      </c>
      <c r="D178" s="66">
        <f t="shared" si="76"/>
        <v>-0.07316295999999999</v>
      </c>
      <c r="E178" s="66">
        <f t="shared" si="76"/>
        <v>-0.14023478374999995</v>
      </c>
      <c r="F178" s="66">
        <f t="shared" si="76"/>
        <v>-0.18314191562499998</v>
      </c>
      <c r="G178" s="66">
        <f t="shared" si="76"/>
        <v>-0.07898245937500001</v>
      </c>
      <c r="H178" s="66">
        <f t="shared" si="76"/>
        <v>-0.00702645625</v>
      </c>
      <c r="I178" s="66">
        <f>SUM(C178:H178)</f>
        <v>-0.49777357499999997</v>
      </c>
    </row>
    <row r="179" spans="3:9" ht="13.5" thickBot="1">
      <c r="C179" s="68">
        <f aca="true" t="shared" si="77" ref="C179:H179">SUM(C175:C178)</f>
        <v>-218.77140833333328</v>
      </c>
      <c r="D179" s="68">
        <f t="shared" si="77"/>
        <v>-951.2701897799999</v>
      </c>
      <c r="E179" s="68">
        <f t="shared" si="77"/>
        <v>-1632.3195868644445</v>
      </c>
      <c r="F179" s="68">
        <f t="shared" si="77"/>
        <v>-2064.3197862277775</v>
      </c>
      <c r="G179" s="68">
        <f t="shared" si="77"/>
        <v>-881.0496764388887</v>
      </c>
      <c r="H179" s="68">
        <f t="shared" si="77"/>
        <v>-72.22213117777777</v>
      </c>
      <c r="I179" s="68">
        <f>SUM(I175:I178)</f>
        <v>-5819.95277882222</v>
      </c>
    </row>
    <row r="180" spans="3:9" ht="13.5" thickTop="1">
      <c r="C180" s="66"/>
      <c r="D180" s="66"/>
      <c r="E180" s="66"/>
      <c r="F180" s="66"/>
      <c r="G180" s="66"/>
      <c r="H180" s="66"/>
      <c r="I180" s="66"/>
    </row>
    <row r="181" spans="1:9" ht="13.5" thickBot="1">
      <c r="A181" s="51" t="s">
        <v>67</v>
      </c>
      <c r="B181" s="52"/>
      <c r="C181" s="68">
        <f aca="true" t="shared" si="78" ref="C181:I181">+C171+C179</f>
        <v>-11615.751408333335</v>
      </c>
      <c r="D181" s="68">
        <f t="shared" si="78"/>
        <v>-17035.31018978</v>
      </c>
      <c r="E181" s="68">
        <f t="shared" si="78"/>
        <v>-17571.099586864446</v>
      </c>
      <c r="F181" s="68">
        <f t="shared" si="78"/>
        <v>-18286.589786227778</v>
      </c>
      <c r="G181" s="68">
        <f t="shared" si="78"/>
        <v>-17844.659676438885</v>
      </c>
      <c r="H181" s="68">
        <f t="shared" si="78"/>
        <v>-3048.5707311777774</v>
      </c>
      <c r="I181" s="68">
        <f t="shared" si="78"/>
        <v>-85401.98137882221</v>
      </c>
    </row>
    <row r="182" spans="3:9" ht="13.5" thickTop="1">
      <c r="C182" s="66"/>
      <c r="D182" s="66"/>
      <c r="E182" s="66"/>
      <c r="F182" s="66"/>
      <c r="G182" s="66"/>
      <c r="H182" s="66"/>
      <c r="I182" s="66"/>
    </row>
    <row r="183" spans="2:4" s="55" customFormat="1" ht="12.75">
      <c r="B183" s="56"/>
      <c r="C183" s="56"/>
      <c r="D183" s="56"/>
    </row>
    <row r="184" s="55" customFormat="1" ht="12.75"/>
    <row r="185" spans="2:4" s="55" customFormat="1" ht="12.75">
      <c r="B185" s="30"/>
      <c r="C185" s="30"/>
      <c r="D185" s="30"/>
    </row>
    <row r="186" spans="2:4" s="55" customFormat="1" ht="12.75">
      <c r="B186" s="30"/>
      <c r="C186" s="30"/>
      <c r="D186" s="30"/>
    </row>
    <row r="187" spans="2:4" s="55" customFormat="1" ht="12.75">
      <c r="B187" s="30"/>
      <c r="C187" s="30"/>
      <c r="D187" s="30"/>
    </row>
    <row r="188" spans="2:4" s="55" customFormat="1" ht="12.75">
      <c r="B188" s="30"/>
      <c r="C188" s="30"/>
      <c r="D188" s="30"/>
    </row>
    <row r="189" spans="2:4" s="55" customFormat="1" ht="12.75">
      <c r="B189" s="30"/>
      <c r="C189" s="30"/>
      <c r="D189" s="30"/>
    </row>
    <row r="190" spans="2:4" s="55" customFormat="1" ht="12.75">
      <c r="B190" s="30"/>
      <c r="C190" s="30"/>
      <c r="D190" s="30"/>
    </row>
    <row r="191" s="55" customFormat="1" ht="12.75"/>
    <row r="192" s="55" customFormat="1" ht="12.75"/>
    <row r="193" spans="2:4" s="55" customFormat="1" ht="12.75">
      <c r="B193" s="30"/>
      <c r="C193" s="57"/>
      <c r="D193" s="30"/>
    </row>
    <row r="194" spans="2:4" s="55" customFormat="1" ht="12.75">
      <c r="B194" s="30"/>
      <c r="C194" s="30"/>
      <c r="D194" s="30"/>
    </row>
    <row r="195" spans="2:4" s="55" customFormat="1" ht="12.75">
      <c r="B195" s="30"/>
      <c r="C195" s="30"/>
      <c r="D195" s="30"/>
    </row>
    <row r="196" spans="2:4" s="55" customFormat="1" ht="12.75">
      <c r="B196" s="30"/>
      <c r="C196" s="30"/>
      <c r="D196" s="30"/>
    </row>
    <row r="197" spans="1:4" s="55" customFormat="1" ht="12.75">
      <c r="A197" s="58"/>
      <c r="B197" s="30"/>
      <c r="C197" s="30"/>
      <c r="D197" s="30"/>
    </row>
    <row r="198" s="55" customFormat="1" ht="12.75"/>
    <row r="199" s="55" customFormat="1" ht="12.75"/>
    <row r="200" s="55" customFormat="1" ht="12.75"/>
    <row r="201" s="55" customFormat="1" ht="12.75"/>
  </sheetData>
  <sheetProtection/>
  <printOptions/>
  <pageMargins left="0.75" right="0.75" top="0.85" bottom="0.49" header="0.25" footer="0.29"/>
  <pageSetup fitToHeight="0" fitToWidth="0" horizontalDpi="600" verticalDpi="600" orientation="landscape" scale="50" r:id="rId1"/>
  <headerFooter alignWithMargins="0">
    <oddFooter>&amp;C&amp;F</oddFooter>
  </headerFooter>
  <rowBreaks count="2" manualBreakCount="2">
    <brk id="68" max="255" man="1"/>
    <brk id="1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PageLayoutView="0" workbookViewId="0" topLeftCell="A1">
      <selection activeCell="D16" sqref="D16"/>
    </sheetView>
  </sheetViews>
  <sheetFormatPr defaultColWidth="9.140625" defaultRowHeight="15"/>
  <cols>
    <col min="2" max="2" width="35.00390625" style="0" customWidth="1"/>
    <col min="3" max="3" width="16.421875" style="0" customWidth="1"/>
    <col min="4" max="4" width="11.8515625" style="0" customWidth="1"/>
    <col min="5" max="5" width="14.140625" style="0" bestFit="1" customWidth="1"/>
    <col min="6" max="6" width="17.7109375" style="0" bestFit="1" customWidth="1"/>
    <col min="7" max="7" width="19.28125" style="0" customWidth="1"/>
  </cols>
  <sheetData>
    <row r="1" ht="15">
      <c r="A1" t="s">
        <v>56</v>
      </c>
    </row>
    <row r="2" ht="15">
      <c r="A2" t="s">
        <v>57</v>
      </c>
    </row>
    <row r="6" spans="2:7" ht="15.75" thickBot="1">
      <c r="B6" s="45"/>
      <c r="C6" s="46" t="s">
        <v>63</v>
      </c>
      <c r="D6" s="46" t="s">
        <v>64</v>
      </c>
      <c r="E6" s="46" t="s">
        <v>65</v>
      </c>
      <c r="F6" s="46" t="s">
        <v>58</v>
      </c>
      <c r="G6" s="46" t="s">
        <v>66</v>
      </c>
    </row>
    <row r="7" spans="3:4" ht="15">
      <c r="C7" s="47"/>
      <c r="D7" s="47"/>
    </row>
    <row r="8" spans="2:7" ht="15">
      <c r="B8" t="s">
        <v>59</v>
      </c>
      <c r="C8" s="48">
        <v>4641323</v>
      </c>
      <c r="D8" s="48"/>
      <c r="E8" s="86">
        <f>+F8/$F$12</f>
        <v>0.7268121363201643</v>
      </c>
      <c r="F8" s="59">
        <v>62071.196531916656</v>
      </c>
      <c r="G8" s="49">
        <f>F8/C8</f>
        <v>0.01337359984037238</v>
      </c>
    </row>
    <row r="9" spans="2:7" ht="15">
      <c r="B9" t="s">
        <v>60</v>
      </c>
      <c r="C9" s="48">
        <v>3733376</v>
      </c>
      <c r="D9" s="48"/>
      <c r="E9" s="86">
        <f>+F9/$F$12</f>
        <v>0.25710493517731875</v>
      </c>
      <c r="F9" s="59">
        <v>21957.270886416667</v>
      </c>
      <c r="G9" s="49">
        <f>F9/C9</f>
        <v>0.005881344629208702</v>
      </c>
    </row>
    <row r="10" spans="2:7" ht="15">
      <c r="B10" t="s">
        <v>61</v>
      </c>
      <c r="C10" s="48">
        <v>940</v>
      </c>
      <c r="D10" s="48">
        <v>1</v>
      </c>
      <c r="E10" s="86">
        <f>+F10/$F$12</f>
        <v>0.00010207928942924753</v>
      </c>
      <c r="F10" s="59">
        <v>8.717773575</v>
      </c>
      <c r="G10" s="49">
        <f>F10/D10</f>
        <v>8.717773575</v>
      </c>
    </row>
    <row r="11" spans="2:7" ht="15">
      <c r="B11" t="s">
        <v>62</v>
      </c>
      <c r="C11" s="48">
        <v>138310</v>
      </c>
      <c r="D11" s="48">
        <v>341</v>
      </c>
      <c r="E11" s="86">
        <f>+F11/$F$12</f>
        <v>0.01598084921308779</v>
      </c>
      <c r="F11" s="59">
        <v>1364.796186913889</v>
      </c>
      <c r="G11" s="49">
        <f>F11/D11</f>
        <v>4.002334858985011</v>
      </c>
    </row>
    <row r="12" spans="3:6" ht="15.75" thickBot="1">
      <c r="C12" s="50">
        <f>SUM(C8:C11)</f>
        <v>8513949</v>
      </c>
      <c r="D12" s="50">
        <f>SUM(D8:D11)</f>
        <v>342</v>
      </c>
      <c r="E12" s="87">
        <f>SUM(E8:E11)</f>
        <v>1</v>
      </c>
      <c r="F12" s="60">
        <v>85401.98137882221</v>
      </c>
    </row>
  </sheetData>
  <sheetProtection/>
  <printOptions/>
  <pageMargins left="0.7" right="0.7" top="0.75" bottom="0.75" header="0.3" footer="0.3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Chatham-Kent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decaire</dc:creator>
  <cp:keywords/>
  <dc:description/>
  <cp:lastModifiedBy>cheryl decaire</cp:lastModifiedBy>
  <cp:lastPrinted>2010-02-11T15:05:42Z</cp:lastPrinted>
  <dcterms:created xsi:type="dcterms:W3CDTF">2009-10-09T12:19:46Z</dcterms:created>
  <dcterms:modified xsi:type="dcterms:W3CDTF">2010-02-12T17:03:11Z</dcterms:modified>
  <cp:category/>
  <cp:version/>
  <cp:contentType/>
  <cp:contentStatus/>
</cp:coreProperties>
</file>