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Reconciliation"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<sst xmlns="http://schemas.openxmlformats.org/spreadsheetml/2006/main" count="409" uniqueCount="279">
  <si>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</si>
  <si>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</si>
  <si>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</si>
  <si>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</si>
  <si>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</si>
  <si>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</si>
  <si>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</si>
  <si>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</si>
  <si>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</si>
  <si>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</si>
  <si>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</si>
  <si>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</si>
  <si>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</si>
  <si>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</si>
  <si>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</si>
  <si>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</si>
  <si>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</si>
  <si>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</si>
  <si>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</si>
  <si>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</si>
  <si>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</si>
  <si>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</si>
  <si>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</si>
  <si>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</si>
  <si>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</si>
  <si>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</si>
  <si>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</si>
  <si>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</si>
  <si>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</si>
  <si>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</si>
  <si>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</si>
  <si>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</si>
  <si>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</si>
  <si>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</si>
  <si>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</si>
  <si>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</si>
  <si>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</si>
  <si>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</si>
  <si>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</si>
  <si>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</si>
  <si>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</si>
  <si>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</si>
  <si>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</si>
  <si>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</si>
  <si>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</si>
  <si>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</si>
  <si>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</si>
  <si>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</si>
  <si>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</si>
  <si>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</si>
  <si>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</si>
  <si>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</si>
  <si>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</si>
  <si>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</si>
  <si>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</si>
  <si>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</si>
  <si>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</si>
  <si>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</si>
  <si>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</si>
  <si>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</si>
  <si>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</si>
  <si>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</si>
  <si>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</si>
  <si>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</si>
  <si>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</si>
  <si>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</si>
  <si>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</si>
  <si>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</si>
  <si>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</si>
  <si>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</si>
  <si>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</si>
  <si>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</si>
  <si>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</si>
  <si>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</si>
  <si>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</si>
  <si>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</si>
  <si>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</si>
  <si>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</si>
  <si>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</si>
  <si>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</si>
  <si>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</si>
  <si>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</si>
  <si>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</si>
  <si>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</si>
  <si>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</si>
  <si>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</si>
  <si>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</si>
  <si>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</si>
  <si>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</si>
  <si>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</si>
  <si>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</si>
  <si>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</si>
  <si>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</si>
  <si>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</si>
  <si>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</si>
  <si>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</si>
  <si>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</si>
  <si>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</si>
  <si>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(from 2006 PILs Sheet "Test Year PILs,Tax Provision" Cell D 14)</t>
  </si>
  <si>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</si>
  <si>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</si>
  <si>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</si>
  <si>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</si>
  <si>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</si>
  <si>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</si>
  <si>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</si>
  <si>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</si>
  <si>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</si>
  <si>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</si>
  <si>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</si>
  <si>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</si>
  <si>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</si>
  <si>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</si>
  <si>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</si>
  <si>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</si>
  <si>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</si>
  <si>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</si>
  <si>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</si>
  <si>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</si>
  <si>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</si>
  <si>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</si>
  <si>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</si>
  <si>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</si>
  <si>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</si>
  <si>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</si>
  <si>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</si>
  <si>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</si>
  <si>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</si>
  <si>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</si>
  <si>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</si>
  <si>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</si>
  <si>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</si>
  <si>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</si>
  <si>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</si>
  <si>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</si>
  <si>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</si>
  <si>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</si>
  <si>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</si>
  <si>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</si>
  <si>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</si>
  <si>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</si>
  <si>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</si>
  <si>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</si>
  <si>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</si>
  <si>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</si>
  <si>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</si>
  <si>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</si>
  <si>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</si>
  <si>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</si>
  <si>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</si>
  <si>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</si>
  <si>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</si>
  <si>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</si>
  <si>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</si>
  <si>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</si>
  <si>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</si>
  <si>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</si>
  <si>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</si>
  <si>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</si>
  <si>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</si>
  <si>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</si>
  <si>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</si>
  <si>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</si>
  <si>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</si>
  <si>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</si>
  <si>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</si>
  <si>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</si>
  <si>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</si>
  <si>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</si>
  <si>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</si>
  <si>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</si>
  <si>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</si>
  <si>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</si>
  <si>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</si>
  <si>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</si>
  <si>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</si>
  <si>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</si>
  <si>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</si>
  <si>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</si>
  <si>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</si>
  <si>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</si>
  <si>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</si>
  <si>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</si>
  <si>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</si>
  <si>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</si>
  <si>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</si>
  <si>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</si>
  <si>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</si>
  <si>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</si>
  <si>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</si>
  <si>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</si>
  <si>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</si>
  <si>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</si>
  <si>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</si>
  <si>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</si>
  <si>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</si>
  <si>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Deemed Debt</t>
    </r>
    <r>
      <rPr>
        <sz val="10"/>
        <rFont val="Arial"/>
        <family val="0"/>
      </rPr>
      <t xml:space="preserve"> </t>
    </r>
    <r>
      <rPr>
        <sz val="8"/>
        <rFont val="Arial"/>
        <family val="2"/>
      </rPr>
      <t>(from 2006 EDR Sheet "3-2 COST OF CAPITAL (Input)" Cell C 18)</t>
    </r>
  </si>
  <si>
    <r>
      <t>Deemed Equity</t>
    </r>
    <r>
      <rPr>
        <sz val="10"/>
        <rFont val="Arial"/>
        <family val="0"/>
      </rPr>
      <t xml:space="preserve"> </t>
    </r>
    <r>
      <rPr>
        <sz val="8"/>
        <rFont val="Arial"/>
        <family val="2"/>
      </rPr>
      <t>(from 2006 EDR Sheet "3-2 COST OF CAPITAL (Input)" Cell C 19)</t>
    </r>
  </si>
  <si>
    <r>
      <t>Weighted Debt Rate</t>
    </r>
    <r>
      <rPr>
        <sz val="10"/>
        <rFont val="Arial"/>
        <family val="0"/>
      </rPr>
      <t xml:space="preserve"> </t>
    </r>
    <r>
      <rPr>
        <sz val="8"/>
        <rFont val="Arial"/>
        <family val="2"/>
      </rPr>
      <t>(from 2006 EDR Sheet "3-2 COST OF CAPITAL (Input)" Cell C 25)</t>
    </r>
  </si>
  <si>
    <r>
      <t>Proposed ROE</t>
    </r>
    <r>
      <rPr>
        <sz val="10"/>
        <rFont val="Arial"/>
        <family val="0"/>
      </rPr>
      <t xml:space="preserve"> </t>
    </r>
    <r>
      <rPr>
        <sz val="8"/>
        <rFont val="Arial"/>
        <family val="2"/>
      </rPr>
      <t xml:space="preserve"> (from 2006 EDR Sheet "3-2 COST OF CAPITAL (Input)" Cell E 32)</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</si>
  <si>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</si>
  <si>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</si>
  <si>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</si>
  <si>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</si>
  <si>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</si>
  <si>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</si>
  <si>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</si>
  <si>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</si>
  <si>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</si>
  <si>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</si>
  <si>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</si>
  <si>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</si>
  <si>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</si>
  <si>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</si>
  <si>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</si>
  <si>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</si>
  <si>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</si>
  <si>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</si>
  <si>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</si>
  <si>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</si>
  <si>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</si>
  <si>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</si>
  <si>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</si>
  <si>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</si>
  <si>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</si>
  <si>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</si>
  <si>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</si>
  <si>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</si>
  <si>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</si>
  <si>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</si>
  <si>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</si>
  <si>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</si>
  <si>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</si>
  <si>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</si>
  <si>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</si>
  <si>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Smart Meter Funding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</si>
  <si>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</si>
  <si>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</si>
  <si>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</si>
  <si>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</si>
  <si>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</si>
  <si>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</si>
  <si>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</si>
  <si>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</si>
  <si>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</si>
  <si>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</si>
  <si>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</si>
  <si>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</si>
  <si>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</si>
  <si>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</si>
  <si>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</si>
  <si>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</si>
  <si>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</si>
  <si>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</si>
  <si>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</si>
  <si>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</si>
  <si>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</si>
  <si>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</si>
  <si>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</si>
  <si>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</si>
  <si>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Woodstock Hydro Services Inc</t>
  </si>
  <si>
    <t>ED-2003-0011</t>
  </si>
  <si>
    <t>Patti Eitel</t>
  </si>
  <si>
    <t>Manager of Accounting &amp; Regulatory Affairs</t>
  </si>
  <si>
    <t>519-537-7172 ext 240</t>
  </si>
  <si>
    <t>peitel@woodstockhydro.com</t>
  </si>
  <si>
    <t xml:space="preserve">Sheet 8.  Calculation of Smart Meter Adder </t>
  </si>
  <si>
    <t>Total Metered Customers as at December 31, 2008 (per RRR )</t>
  </si>
  <si>
    <t>Add to tab J1.1 Smart Meter Funding Adder</t>
  </si>
  <si>
    <t>OEB 2010 IRM2 Rate Generator WHSI.xls</t>
  </si>
  <si>
    <t>Funding Adder Collected in Rate Year May to April (from sheet 7)</t>
  </si>
  <si>
    <r>
      <t>ESTIMATED</t>
    </r>
    <r>
      <rPr>
        <sz val="10"/>
        <rFont val="Arial"/>
        <family val="2"/>
      </rPr>
      <t xml:space="preserve"> @ $1.00 per metered Customer</t>
    </r>
  </si>
  <si>
    <t>Revenue Requirement for Smart Meters (from sheet 6)</t>
  </si>
  <si>
    <t>Total Funding Adder and Interest in Rate Year (May to April)</t>
  </si>
  <si>
    <t>Net Revenue Requirement in Rate Year</t>
  </si>
  <si>
    <t xml:space="preserve">Cumulative Net Revenue Requirement </t>
  </si>
  <si>
    <t xml:space="preserve">2010 Forecast Net Revenue Requirement  </t>
  </si>
  <si>
    <t>2010 Forecast Net Revenue Requirement per  Metered Customer</t>
  </si>
  <si>
    <t>Monthly Smart Meter Adder per Metered Customer</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</si>
</sst>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 numFmtId="219" formatCode="[$-409]d\-mmm\-yy;@"/>
    <numFmt numFmtId="220" formatCode="#,##0_ ;[Red]\-#,##0\ "/>
  </numFmts>
  <fonts count="62">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b/>
      <sz val="9"/>
      <name val="Arial"/>
      <family val="2"/>
    </font>
    <font>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4">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6" fontId="0" fillId="37" borderId="0" xfId="42" applyNumberFormat="1" applyFill="1" applyAlignment="1" applyProtection="1">
      <alignment/>
      <protection locked="0"/>
    </xf>
    <xf numFmtId="176" fontId="0" fillId="33" borderId="0" xfId="0" applyNumberFormat="1" applyFill="1" applyAlignment="1" applyProtection="1">
      <alignment/>
      <protection/>
    </xf>
    <xf numFmtId="0" fontId="7" fillId="33" borderId="0" xfId="0" applyFont="1" applyFill="1" applyAlignment="1" applyProtection="1">
      <alignment/>
      <protection/>
    </xf>
    <xf numFmtId="176" fontId="0" fillId="33" borderId="11" xfId="42" applyNumberFormat="1" applyFill="1" applyBorder="1" applyAlignment="1" applyProtection="1">
      <alignment/>
      <protection/>
    </xf>
    <xf numFmtId="176"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3" fontId="9" fillId="37" borderId="13" xfId="45" applyNumberFormat="1" applyFont="1" applyFill="1" applyBorder="1" applyAlignment="1" applyProtection="1">
      <alignment/>
      <protection locked="0"/>
    </xf>
    <xf numFmtId="173"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3" fontId="7" fillId="33" borderId="12" xfId="45" applyNumberFormat="1" applyFont="1" applyFill="1" applyBorder="1" applyAlignment="1" applyProtection="1">
      <alignment/>
      <protection/>
    </xf>
    <xf numFmtId="173" fontId="0" fillId="33" borderId="0" xfId="45" applyNumberFormat="1" applyFill="1" applyAlignment="1" applyProtection="1">
      <alignment/>
      <protection/>
    </xf>
    <xf numFmtId="173" fontId="7" fillId="33" borderId="0" xfId="45" applyNumberFormat="1" applyFont="1" applyFill="1" applyBorder="1" applyAlignment="1" applyProtection="1">
      <alignment/>
      <protection/>
    </xf>
    <xf numFmtId="0" fontId="0" fillId="33" borderId="0" xfId="0" applyFill="1" applyAlignment="1">
      <alignment horizontal="left" indent="2"/>
    </xf>
    <xf numFmtId="173" fontId="7" fillId="33" borderId="14" xfId="45" applyNumberFormat="1" applyFont="1" applyFill="1" applyBorder="1" applyAlignment="1" applyProtection="1">
      <alignment/>
      <protection/>
    </xf>
    <xf numFmtId="43" fontId="7" fillId="33" borderId="0" xfId="42" applyFont="1" applyFill="1" applyBorder="1" applyAlignment="1" applyProtection="1">
      <alignment/>
      <protection/>
    </xf>
    <xf numFmtId="173"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6" applyNumberFormat="1" applyFont="1" applyFill="1" applyAlignment="1" applyProtection="1">
      <alignment horizontal="center"/>
      <protection/>
    </xf>
    <xf numFmtId="0" fontId="0" fillId="33" borderId="0" xfId="0" applyFont="1" applyFill="1" applyAlignment="1" applyProtection="1">
      <alignment horizontal="left" indent="1"/>
      <protection/>
    </xf>
    <xf numFmtId="44" fontId="0" fillId="33" borderId="0" xfId="45" applyFill="1" applyAlignment="1" applyProtection="1">
      <alignment/>
      <protection/>
    </xf>
    <xf numFmtId="0" fontId="3" fillId="0" borderId="0" xfId="62">
      <alignment/>
      <protection/>
    </xf>
    <xf numFmtId="0" fontId="3" fillId="0" borderId="0" xfId="62" applyAlignment="1">
      <alignment horizontal="center"/>
      <protection/>
    </xf>
    <xf numFmtId="10" fontId="3" fillId="0" borderId="0" xfId="62" applyNumberFormat="1">
      <alignment/>
      <protection/>
    </xf>
    <xf numFmtId="10" fontId="3" fillId="0" borderId="0" xfId="66" applyNumberFormat="1" applyFont="1" applyAlignment="1">
      <alignment/>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44" fontId="8" fillId="33" borderId="15" xfId="45" applyFont="1"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44" fontId="8" fillId="33" borderId="18" xfId="45" applyFont="1" applyFill="1" applyBorder="1" applyAlignment="1" applyProtection="1">
      <alignment/>
      <protection/>
    </xf>
    <xf numFmtId="0" fontId="0" fillId="33" borderId="19" xfId="0" applyFill="1" applyBorder="1" applyAlignment="1" applyProtection="1">
      <alignment/>
      <protection/>
    </xf>
    <xf numFmtId="173" fontId="0" fillId="33" borderId="0" xfId="0" applyNumberFormat="1" applyFill="1" applyBorder="1" applyAlignment="1" applyProtection="1">
      <alignment/>
      <protection/>
    </xf>
    <xf numFmtId="44" fontId="0" fillId="33" borderId="0" xfId="45" applyFill="1" applyBorder="1" applyAlignment="1" applyProtection="1">
      <alignment/>
      <protection/>
    </xf>
    <xf numFmtId="44" fontId="0" fillId="33" borderId="20" xfId="45" applyFill="1" applyBorder="1" applyAlignment="1" applyProtection="1">
      <alignment/>
      <protection/>
    </xf>
    <xf numFmtId="0" fontId="0" fillId="33" borderId="18" xfId="0" applyFill="1" applyBorder="1" applyAlignment="1" applyProtection="1">
      <alignment/>
      <protection/>
    </xf>
    <xf numFmtId="44" fontId="0" fillId="33" borderId="18" xfId="45" applyFill="1" applyBorder="1" applyAlignment="1" applyProtection="1">
      <alignment/>
      <protection/>
    </xf>
    <xf numFmtId="44" fontId="0" fillId="33" borderId="19" xfId="45" applyFill="1" applyBorder="1" applyAlignment="1" applyProtection="1">
      <alignment/>
      <protection/>
    </xf>
    <xf numFmtId="44" fontId="0" fillId="33" borderId="11" xfId="45" applyFill="1" applyBorder="1" applyAlignment="1" applyProtection="1">
      <alignment/>
      <protection/>
    </xf>
    <xf numFmtId="174" fontId="8" fillId="33" borderId="18" xfId="66" applyNumberFormat="1" applyFont="1" applyFill="1" applyBorder="1" applyAlignment="1" applyProtection="1">
      <alignment horizontal="center"/>
      <protection/>
    </xf>
    <xf numFmtId="9" fontId="0" fillId="33" borderId="18" xfId="0" applyNumberFormat="1" applyFill="1" applyBorder="1" applyAlignment="1" applyProtection="1">
      <alignment/>
      <protection/>
    </xf>
    <xf numFmtId="173" fontId="0" fillId="33" borderId="19" xfId="0" applyNumberFormat="1" applyFill="1" applyBorder="1" applyAlignment="1" applyProtection="1">
      <alignment/>
      <protection/>
    </xf>
    <xf numFmtId="44" fontId="8" fillId="33" borderId="19" xfId="45" applyFont="1" applyFill="1" applyBorder="1" applyAlignment="1" applyProtection="1">
      <alignment/>
      <protection/>
    </xf>
    <xf numFmtId="44" fontId="8" fillId="33" borderId="0" xfId="45" applyFont="1" applyFill="1" applyBorder="1" applyAlignment="1" applyProtection="1">
      <alignment/>
      <protection/>
    </xf>
    <xf numFmtId="44" fontId="9" fillId="33" borderId="19" xfId="45" applyFont="1" applyFill="1" applyBorder="1" applyAlignment="1" applyProtection="1">
      <alignment/>
      <protection/>
    </xf>
    <xf numFmtId="173" fontId="0" fillId="33" borderId="19" xfId="45" applyNumberFormat="1" applyFill="1" applyBorder="1" applyAlignment="1" applyProtection="1">
      <alignment/>
      <protection/>
    </xf>
    <xf numFmtId="44" fontId="0" fillId="33" borderId="21" xfId="45" applyFill="1" applyBorder="1" applyAlignment="1" applyProtection="1">
      <alignment/>
      <protection/>
    </xf>
    <xf numFmtId="44" fontId="9" fillId="33" borderId="21" xfId="45" applyFont="1" applyFill="1" applyBorder="1" applyAlignment="1" applyProtection="1">
      <alignment/>
      <protection/>
    </xf>
    <xf numFmtId="44" fontId="0" fillId="33" borderId="19" xfId="45" applyFont="1" applyFill="1" applyBorder="1" applyAlignment="1" applyProtection="1">
      <alignment/>
      <protection/>
    </xf>
    <xf numFmtId="44" fontId="7" fillId="33" borderId="22" xfId="45" applyFont="1" applyFill="1" applyBorder="1" applyAlignment="1" applyProtection="1">
      <alignment/>
      <protection/>
    </xf>
    <xf numFmtId="0" fontId="0" fillId="33" borderId="0" xfId="0" applyFont="1" applyFill="1" applyAlignment="1">
      <alignment/>
    </xf>
    <xf numFmtId="44" fontId="8" fillId="33" borderId="0" xfId="45" applyFont="1" applyFill="1" applyAlignment="1" applyProtection="1">
      <alignment/>
      <protection/>
    </xf>
    <xf numFmtId="44" fontId="8" fillId="33" borderId="23" xfId="45" applyFont="1" applyFill="1" applyBorder="1" applyAlignment="1" applyProtection="1">
      <alignment/>
      <protection/>
    </xf>
    <xf numFmtId="178" fontId="0" fillId="33" borderId="0" xfId="66" applyNumberFormat="1" applyFill="1" applyAlignment="1" applyProtection="1">
      <alignment/>
      <protection/>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44" fontId="24" fillId="33" borderId="11" xfId="45" applyFont="1" applyFill="1" applyBorder="1" applyAlignment="1" applyProtection="1">
      <alignment/>
      <protection/>
    </xf>
    <xf numFmtId="44" fontId="0" fillId="33" borderId="12" xfId="45" applyFill="1" applyBorder="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6" fontId="0" fillId="33" borderId="0" xfId="42" applyNumberFormat="1" applyFill="1" applyBorder="1" applyAlignment="1" applyProtection="1">
      <alignment/>
      <protection/>
    </xf>
    <xf numFmtId="9" fontId="0" fillId="33" borderId="0" xfId="66"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24" xfId="0" applyFont="1" applyFill="1" applyBorder="1" applyAlignment="1" applyProtection="1">
      <alignment vertical="top"/>
      <protection/>
    </xf>
    <xf numFmtId="173" fontId="0" fillId="37" borderId="0" xfId="45" applyNumberFormat="1" applyFont="1" applyFill="1" applyAlignment="1" applyProtection="1">
      <alignment/>
      <protection/>
    </xf>
    <xf numFmtId="9" fontId="0" fillId="39" borderId="0" xfId="66" applyFont="1" applyFill="1" applyAlignment="1" applyProtection="1">
      <alignment horizontal="center"/>
      <protection/>
    </xf>
    <xf numFmtId="10" fontId="0" fillId="37" borderId="0" xfId="66" applyNumberFormat="1" applyFont="1" applyFill="1" applyAlignment="1" applyProtection="1">
      <alignment horizontal="center"/>
      <protection locked="0"/>
    </xf>
    <xf numFmtId="176" fontId="0" fillId="37" borderId="0" xfId="42" applyNumberFormat="1" applyFill="1" applyAlignment="1" applyProtection="1">
      <alignment horizontal="center"/>
      <protection locked="0"/>
    </xf>
    <xf numFmtId="43" fontId="20" fillId="33" borderId="16" xfId="42" applyFont="1" applyFill="1" applyBorder="1" applyAlignment="1" applyProtection="1">
      <alignment/>
      <protection/>
    </xf>
    <xf numFmtId="43" fontId="0" fillId="33" borderId="0" xfId="42" applyFont="1" applyFill="1" applyAlignment="1" applyProtection="1">
      <alignment/>
      <protection/>
    </xf>
    <xf numFmtId="10" fontId="0" fillId="39" borderId="0" xfId="66" applyNumberFormat="1" applyFont="1" applyFill="1" applyAlignment="1" applyProtection="1">
      <alignment horizontal="center"/>
      <protection/>
    </xf>
    <xf numFmtId="173" fontId="0" fillId="39" borderId="0" xfId="45" applyNumberFormat="1" applyFont="1" applyFill="1" applyAlignment="1" applyProtection="1">
      <alignment/>
      <protection/>
    </xf>
    <xf numFmtId="173" fontId="0" fillId="39" borderId="0" xfId="0" applyNumberFormat="1" applyFill="1" applyAlignment="1" applyProtection="1">
      <alignment/>
      <protection/>
    </xf>
    <xf numFmtId="173" fontId="0" fillId="39" borderId="12" xfId="0" applyNumberFormat="1" applyFill="1" applyBorder="1" applyAlignment="1" applyProtection="1">
      <alignment/>
      <protection/>
    </xf>
    <xf numFmtId="173" fontId="0" fillId="39" borderId="0" xfId="45" applyNumberFormat="1" applyFill="1" applyAlignment="1" applyProtection="1">
      <alignment/>
      <protection/>
    </xf>
    <xf numFmtId="173" fontId="0" fillId="39" borderId="12" xfId="45" applyNumberFormat="1" applyFont="1" applyFill="1" applyBorder="1" applyAlignment="1" applyProtection="1">
      <alignment/>
      <protection/>
    </xf>
    <xf numFmtId="173" fontId="0" fillId="39" borderId="12" xfId="45" applyNumberFormat="1" applyFill="1" applyBorder="1" applyAlignment="1" applyProtection="1">
      <alignment/>
      <protection/>
    </xf>
    <xf numFmtId="44" fontId="0" fillId="39" borderId="0" xfId="45" applyFill="1" applyAlignment="1" applyProtection="1">
      <alignment/>
      <protection/>
    </xf>
    <xf numFmtId="176" fontId="0" fillId="39" borderId="0" xfId="42" applyNumberFormat="1" applyFill="1" applyAlignment="1" applyProtection="1">
      <alignment/>
      <protection/>
    </xf>
    <xf numFmtId="9" fontId="0" fillId="39" borderId="0" xfId="66" applyFill="1" applyAlignment="1" applyProtection="1">
      <alignment/>
      <protection/>
    </xf>
    <xf numFmtId="44" fontId="0" fillId="39" borderId="11" xfId="0" applyNumberFormat="1" applyFill="1" applyBorder="1" applyAlignment="1" applyProtection="1">
      <alignment/>
      <protection/>
    </xf>
    <xf numFmtId="0" fontId="0" fillId="39" borderId="0" xfId="0" applyFill="1" applyAlignment="1" applyProtection="1">
      <alignment/>
      <protection/>
    </xf>
    <xf numFmtId="173"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5" applyNumberFormat="1" applyFill="1" applyBorder="1" applyAlignment="1" applyProtection="1">
      <alignment horizontal="center"/>
      <protection/>
    </xf>
    <xf numFmtId="9" fontId="0" fillId="33" borderId="0" xfId="66" applyFill="1" applyBorder="1" applyAlignment="1" applyProtection="1">
      <alignment horizontal="center"/>
      <protection/>
    </xf>
    <xf numFmtId="10" fontId="8" fillId="33" borderId="0" xfId="0" applyNumberFormat="1" applyFont="1" applyFill="1" applyAlignment="1" applyProtection="1">
      <alignment horizontal="center"/>
      <protection/>
    </xf>
    <xf numFmtId="0" fontId="3" fillId="0" borderId="0" xfId="62" applyFont="1">
      <alignment/>
      <protection/>
    </xf>
    <xf numFmtId="173" fontId="3" fillId="37" borderId="0" xfId="45" applyNumberFormat="1" applyFont="1" applyFill="1" applyAlignment="1">
      <alignment/>
    </xf>
    <xf numFmtId="173" fontId="3" fillId="39" borderId="0" xfId="45" applyNumberFormat="1" applyFont="1" applyFill="1" applyAlignment="1">
      <alignment/>
    </xf>
    <xf numFmtId="173" fontId="3" fillId="39" borderId="0" xfId="62" applyNumberFormat="1" applyFill="1">
      <alignment/>
      <protection/>
    </xf>
    <xf numFmtId="17" fontId="3" fillId="0" borderId="0" xfId="62" applyNumberFormat="1" applyAlignment="1">
      <alignment horizontal="center"/>
      <protection/>
    </xf>
    <xf numFmtId="0" fontId="14" fillId="39" borderId="0" xfId="62" applyFont="1" applyFill="1">
      <alignment/>
      <protection/>
    </xf>
    <xf numFmtId="0" fontId="14" fillId="39" borderId="0" xfId="62" applyFont="1" applyFill="1" applyAlignment="1">
      <alignment horizontal="center" wrapText="1"/>
      <protection/>
    </xf>
    <xf numFmtId="0" fontId="14" fillId="39" borderId="0" xfId="62" applyFont="1" applyFill="1" applyAlignment="1">
      <alignment horizontal="center"/>
      <protection/>
    </xf>
    <xf numFmtId="178" fontId="0" fillId="0" borderId="0" xfId="63" applyNumberFormat="1">
      <alignment/>
      <protection/>
    </xf>
    <xf numFmtId="10" fontId="0" fillId="39" borderId="0" xfId="66" applyNumberFormat="1" applyFont="1" applyFill="1" applyAlignment="1" applyProtection="1">
      <alignment horizontal="center"/>
      <protection locked="0"/>
    </xf>
    <xf numFmtId="4" fontId="14" fillId="39" borderId="0" xfId="62" applyNumberFormat="1" applyFont="1" applyFill="1" applyAlignment="1">
      <alignment horizontal="center"/>
      <protection/>
    </xf>
    <xf numFmtId="0" fontId="0" fillId="37" borderId="0" xfId="0" applyFont="1" applyFill="1" applyAlignment="1">
      <alignment/>
    </xf>
    <xf numFmtId="173" fontId="3" fillId="0" borderId="0" xfId="62" applyNumberFormat="1">
      <alignment/>
      <protection/>
    </xf>
    <xf numFmtId="167" fontId="3" fillId="0" borderId="0" xfId="62" applyNumberFormat="1">
      <alignment/>
      <protection/>
    </xf>
    <xf numFmtId="167" fontId="14" fillId="0" borderId="0" xfId="62" applyNumberFormat="1" applyFont="1">
      <alignment/>
      <protection/>
    </xf>
    <xf numFmtId="44" fontId="0" fillId="0" borderId="0" xfId="0" applyNumberFormat="1" applyAlignment="1">
      <alignment/>
    </xf>
    <xf numFmtId="0" fontId="12" fillId="0" borderId="0" xfId="0" applyFont="1" applyAlignment="1">
      <alignment/>
    </xf>
    <xf numFmtId="173" fontId="3" fillId="9" borderId="0" xfId="45" applyNumberFormat="1" applyFont="1" applyFill="1" applyAlignment="1">
      <alignment/>
    </xf>
    <xf numFmtId="0" fontId="27" fillId="0" borderId="0" xfId="0" applyFont="1" applyAlignment="1">
      <alignment/>
    </xf>
    <xf numFmtId="0" fontId="0" fillId="33" borderId="25" xfId="0" applyFill="1" applyBorder="1" applyAlignment="1" applyProtection="1">
      <alignment/>
      <protection/>
    </xf>
    <xf numFmtId="44" fontId="0" fillId="33" borderId="23" xfId="45" applyFill="1" applyBorder="1" applyAlignment="1" applyProtection="1">
      <alignment/>
      <protection/>
    </xf>
    <xf numFmtId="44" fontId="0" fillId="33" borderId="26" xfId="45" applyFill="1" applyBorder="1" applyAlignment="1" applyProtection="1">
      <alignment/>
      <protection/>
    </xf>
    <xf numFmtId="44" fontId="0" fillId="33" borderId="25" xfId="45" applyFill="1" applyBorder="1" applyAlignment="1" applyProtection="1">
      <alignment/>
      <protection/>
    </xf>
    <xf numFmtId="9" fontId="0" fillId="39" borderId="0" xfId="66" applyFont="1" applyFill="1" applyAlignment="1" applyProtection="1">
      <alignment horizontal="center"/>
      <protection locked="0"/>
    </xf>
    <xf numFmtId="9" fontId="0" fillId="37" borderId="0" xfId="66" applyFont="1" applyFill="1" applyAlignment="1" applyProtection="1">
      <alignment horizontal="center"/>
      <protection locked="0"/>
    </xf>
    <xf numFmtId="9" fontId="0" fillId="37" borderId="0" xfId="66" applyFont="1" applyFill="1" applyAlignment="1" applyProtection="1">
      <alignment horizontal="center"/>
      <protection locked="0"/>
    </xf>
    <xf numFmtId="9" fontId="0" fillId="39" borderId="0" xfId="66" applyFont="1" applyFill="1" applyAlignment="1" applyProtection="1">
      <alignment horizontal="center"/>
      <protection/>
    </xf>
    <xf numFmtId="44" fontId="0" fillId="33" borderId="11" xfId="45" applyFont="1" applyFill="1" applyBorder="1" applyAlignment="1" applyProtection="1">
      <alignment/>
      <protection/>
    </xf>
    <xf numFmtId="44" fontId="0" fillId="33" borderId="12" xfId="45" applyFont="1" applyFill="1" applyBorder="1" applyAlignment="1" applyProtection="1">
      <alignment/>
      <protection/>
    </xf>
    <xf numFmtId="167" fontId="3" fillId="9" borderId="0" xfId="62" applyNumberFormat="1" applyFill="1" applyAlignment="1">
      <alignment horizontal="centerContinuous"/>
      <protection/>
    </xf>
    <xf numFmtId="10" fontId="3" fillId="0" borderId="0" xfId="68" applyNumberFormat="1" applyFont="1" applyAlignment="1">
      <alignment/>
    </xf>
    <xf numFmtId="0" fontId="3" fillId="9" borderId="0" xfId="62" applyFill="1" applyAlignment="1">
      <alignment horizontal="centerContinuous"/>
      <protection/>
    </xf>
    <xf numFmtId="0" fontId="28" fillId="0" borderId="0" xfId="0" applyFont="1" applyAlignment="1">
      <alignment/>
    </xf>
    <xf numFmtId="0" fontId="27" fillId="0" borderId="11" xfId="0" applyFont="1" applyBorder="1" applyAlignment="1">
      <alignment/>
    </xf>
    <xf numFmtId="44" fontId="27" fillId="0" borderId="11" xfId="0" applyNumberFormat="1" applyFont="1" applyBorder="1" applyAlignment="1">
      <alignment/>
    </xf>
    <xf numFmtId="44" fontId="28" fillId="0" borderId="0" xfId="0" applyNumberFormat="1" applyFont="1" applyAlignment="1">
      <alignment/>
    </xf>
    <xf numFmtId="0" fontId="28" fillId="0" borderId="11" xfId="0" applyFont="1" applyBorder="1" applyAlignment="1">
      <alignment/>
    </xf>
    <xf numFmtId="0" fontId="27" fillId="0" borderId="0" xfId="60" applyFont="1">
      <alignment/>
      <protection/>
    </xf>
    <xf numFmtId="220" fontId="28" fillId="0" borderId="0" xfId="0" applyNumberFormat="1" applyFont="1" applyAlignment="1">
      <alignment/>
    </xf>
    <xf numFmtId="0" fontId="27" fillId="0" borderId="14" xfId="60" applyFont="1" applyBorder="1">
      <alignment/>
      <protection/>
    </xf>
    <xf numFmtId="0" fontId="28" fillId="0" borderId="14" xfId="0" applyFont="1" applyBorder="1" applyAlignment="1">
      <alignment/>
    </xf>
    <xf numFmtId="44" fontId="28" fillId="0" borderId="14" xfId="0" applyNumberFormat="1" applyFont="1" applyBorder="1" applyAlignment="1">
      <alignment/>
    </xf>
    <xf numFmtId="0" fontId="28" fillId="33" borderId="11" xfId="0" applyFont="1" applyFill="1" applyBorder="1" applyAlignment="1" applyProtection="1">
      <alignment/>
      <protection/>
    </xf>
    <xf numFmtId="44" fontId="27" fillId="0" borderId="14" xfId="0" applyNumberFormat="1" applyFont="1" applyBorder="1" applyAlignment="1">
      <alignment/>
    </xf>
    <xf numFmtId="0" fontId="2" fillId="35" borderId="27" xfId="56" applyFill="1" applyBorder="1" applyAlignment="1" applyProtection="1">
      <alignment horizontal="left"/>
      <protection locked="0"/>
    </xf>
    <xf numFmtId="0" fontId="0" fillId="35" borderId="28"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7" xfId="0" applyFont="1" applyFill="1" applyBorder="1" applyAlignment="1" applyProtection="1">
      <alignment horizontal="left"/>
      <protection locked="0"/>
    </xf>
    <xf numFmtId="0" fontId="12" fillId="35" borderId="28" xfId="0" applyFont="1" applyFill="1" applyBorder="1" applyAlignment="1" applyProtection="1">
      <alignment horizontal="left"/>
      <protection locked="0"/>
    </xf>
    <xf numFmtId="0" fontId="25" fillId="33" borderId="0" xfId="0" applyFont="1" applyFill="1" applyAlignment="1" applyProtection="1">
      <alignment/>
      <protection/>
    </xf>
    <xf numFmtId="0" fontId="20" fillId="33" borderId="24" xfId="0" applyFont="1" applyFill="1" applyBorder="1" applyAlignment="1" applyProtection="1">
      <alignment horizontal="center" vertical="top"/>
      <protection/>
    </xf>
    <xf numFmtId="0" fontId="18" fillId="33" borderId="0" xfId="0" applyFont="1" applyFill="1" applyAlignment="1" applyProtection="1">
      <alignment/>
      <protection/>
    </xf>
    <xf numFmtId="0" fontId="19" fillId="33" borderId="15" xfId="0" applyFont="1" applyFill="1" applyBorder="1" applyAlignment="1" applyProtection="1">
      <alignment horizontal="center"/>
      <protection/>
    </xf>
    <xf numFmtId="0" fontId="19" fillId="33" borderId="16" xfId="0" applyFont="1" applyFill="1" applyBorder="1" applyAlignment="1" applyProtection="1">
      <alignment horizontal="center"/>
      <protection/>
    </xf>
    <xf numFmtId="0" fontId="19" fillId="33" borderId="17" xfId="0" applyFont="1" applyFill="1" applyBorder="1" applyAlignment="1" applyProtection="1">
      <alignment horizontal="center"/>
      <protection/>
    </xf>
    <xf numFmtId="0" fontId="19" fillId="33" borderId="29" xfId="0" applyFont="1" applyFill="1" applyBorder="1" applyAlignment="1" applyProtection="1">
      <alignment horizontal="center"/>
      <protection/>
    </xf>
    <xf numFmtId="0" fontId="19" fillId="33" borderId="30" xfId="0" applyFont="1" applyFill="1" applyBorder="1" applyAlignment="1" applyProtection="1">
      <alignment horizontal="center"/>
      <protection/>
    </xf>
    <xf numFmtId="0" fontId="19" fillId="33" borderId="31" xfId="0" applyFont="1" applyFill="1" applyBorder="1" applyAlignment="1" applyProtection="1">
      <alignment horizontal="center"/>
      <protection/>
    </xf>
    <xf numFmtId="0" fontId="18" fillId="33" borderId="0" xfId="0" applyFont="1" applyFill="1" applyAlignment="1" applyProtection="1">
      <alignment horizontal="left"/>
      <protection/>
    </xf>
    <xf numFmtId="0" fontId="22" fillId="0" borderId="32" xfId="62" applyFont="1" applyBorder="1" applyAlignment="1">
      <alignment horizontal="center"/>
      <protection/>
    </xf>
    <xf numFmtId="0" fontId="22" fillId="0" borderId="33" xfId="62" applyFont="1" applyBorder="1" applyAlignment="1">
      <alignment horizontal="center"/>
      <protection/>
    </xf>
    <xf numFmtId="0" fontId="22" fillId="0" borderId="34" xfId="62" applyFont="1" applyBorder="1" applyAlignment="1">
      <alignment horizontal="center"/>
      <protection/>
    </xf>
    <xf numFmtId="0" fontId="15" fillId="33" borderId="15" xfId="0" applyFont="1" applyFill="1" applyBorder="1" applyAlignment="1" applyProtection="1">
      <alignment horizontal="center"/>
      <protection/>
    </xf>
    <xf numFmtId="0" fontId="15" fillId="33" borderId="16" xfId="0" applyFont="1" applyFill="1" applyBorder="1" applyAlignment="1" applyProtection="1">
      <alignment horizontal="center"/>
      <protection/>
    </xf>
    <xf numFmtId="0" fontId="15" fillId="33" borderId="17" xfId="0" applyFont="1" applyFill="1" applyBorder="1" applyAlignment="1" applyProtection="1">
      <alignment horizontal="center"/>
      <protection/>
    </xf>
    <xf numFmtId="0" fontId="15" fillId="33" borderId="29" xfId="0" applyFont="1" applyFill="1" applyBorder="1" applyAlignment="1" applyProtection="1">
      <alignment horizontal="center"/>
      <protection/>
    </xf>
    <xf numFmtId="0" fontId="15" fillId="33" borderId="30" xfId="0" applyFont="1" applyFill="1" applyBorder="1" applyAlignment="1" applyProtection="1">
      <alignment horizontal="center"/>
      <protection/>
    </xf>
    <xf numFmtId="0" fontId="15" fillId="33" borderId="31" xfId="0" applyFont="1" applyFill="1" applyBorder="1" applyAlignment="1" applyProtection="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Calculation of Revenue Requirement" xfId="62"/>
    <cellStyle name="Normal_Tax Rates for 2006-2012_Sep42008"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itel@woodstockhydr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tabSelected="1" zoomScalePageLayoutView="0" workbookViewId="0" topLeftCell="A1">
      <selection activeCell="B28" sqref="B28"/>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195</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147" t="s">
        <v>260</v>
      </c>
      <c r="D4"/>
      <c r="E4" s="12"/>
      <c r="F4" s="1"/>
      <c r="G4" s="1"/>
      <c r="H4" s="1"/>
    </row>
    <row r="5" spans="1:8" ht="15.75">
      <c r="A5" s="10"/>
      <c r="B5" s="11"/>
      <c r="C5" s="13"/>
      <c r="D5" s="13"/>
      <c r="E5" s="13"/>
      <c r="F5" s="1"/>
      <c r="G5" s="1"/>
      <c r="H5" s="1"/>
    </row>
    <row r="6" spans="1:8" ht="15.75">
      <c r="A6" s="10"/>
      <c r="B6" s="11" t="s">
        <v>1</v>
      </c>
      <c r="C6" s="147" t="s">
        <v>261</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40148</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82" t="s">
        <v>3</v>
      </c>
      <c r="B13" s="182"/>
      <c r="C13" s="16"/>
      <c r="D13" s="16"/>
      <c r="E13" s="16"/>
      <c r="F13" s="15"/>
      <c r="G13" s="15"/>
      <c r="H13" s="15"/>
    </row>
    <row r="14" spans="1:8" ht="16.5" thickBot="1">
      <c r="A14" s="15"/>
      <c r="B14" s="19" t="s">
        <v>4</v>
      </c>
      <c r="C14" s="183" t="s">
        <v>262</v>
      </c>
      <c r="D14" s="184"/>
      <c r="E14" s="20"/>
      <c r="F14" s="15"/>
      <c r="G14" s="15"/>
      <c r="H14" s="15"/>
    </row>
    <row r="15" spans="1:8" ht="16.5" thickBot="1">
      <c r="A15" s="15"/>
      <c r="B15" s="21"/>
      <c r="C15" s="16"/>
      <c r="D15" s="16"/>
      <c r="E15" s="16"/>
      <c r="F15" s="15"/>
      <c r="G15" s="15"/>
      <c r="H15" s="15"/>
    </row>
    <row r="16" spans="1:8" ht="16.5" thickBot="1">
      <c r="A16" s="15"/>
      <c r="B16" s="19" t="s">
        <v>5</v>
      </c>
      <c r="C16" s="183" t="s">
        <v>263</v>
      </c>
      <c r="D16" s="184"/>
      <c r="E16" s="20"/>
      <c r="F16" s="2"/>
      <c r="G16" s="15"/>
      <c r="H16" s="15"/>
    </row>
    <row r="17" spans="1:8" ht="16.5" thickBot="1">
      <c r="A17" s="15"/>
      <c r="B17" s="21"/>
      <c r="C17" s="16"/>
      <c r="D17" s="16"/>
      <c r="E17" s="16"/>
      <c r="F17" s="15"/>
      <c r="G17" s="15"/>
      <c r="H17" s="15"/>
    </row>
    <row r="18" spans="1:8" ht="16.5" thickBot="1">
      <c r="A18" s="15"/>
      <c r="B18" s="19" t="s">
        <v>6</v>
      </c>
      <c r="C18" s="183" t="s">
        <v>264</v>
      </c>
      <c r="D18" s="184"/>
      <c r="E18" s="20"/>
      <c r="F18" s="15"/>
      <c r="G18" s="15"/>
      <c r="H18" s="15"/>
    </row>
    <row r="19" spans="1:8" ht="15" thickBot="1">
      <c r="A19" s="1"/>
      <c r="B19" s="22"/>
      <c r="C19" s="23"/>
      <c r="D19" s="23"/>
      <c r="E19" s="23"/>
      <c r="F19" s="1"/>
      <c r="G19" s="1"/>
      <c r="H19" s="1"/>
    </row>
    <row r="20" spans="1:8" ht="16.5" thickBot="1">
      <c r="A20" s="1"/>
      <c r="B20" s="19" t="s">
        <v>7</v>
      </c>
      <c r="C20" s="180" t="s">
        <v>265</v>
      </c>
      <c r="D20" s="181"/>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peitel@woodstockhydro.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47"/>
  <sheetViews>
    <sheetView showGridLines="0" zoomScale="80" zoomScaleNormal="80" zoomScalePageLayoutView="0" workbookViewId="0" topLeftCell="A1">
      <pane xSplit="3" ySplit="4" topLeftCell="G118" activePane="bottomRight" state="frozen"/>
      <selection pane="topLeft" activeCell="A1" sqref="A1"/>
      <selection pane="topRight" activeCell="D1" sqref="D1"/>
      <selection pane="bottomLeft" activeCell="A5" sqref="A5"/>
      <selection pane="bottomRight" activeCell="B61" sqref="B61"/>
    </sheetView>
  </sheetViews>
  <sheetFormatPr defaultColWidth="9.140625" defaultRowHeight="12.75"/>
  <cols>
    <col min="1" max="1" width="17.57421875" style="7" customWidth="1"/>
    <col min="2" max="2" width="55.140625" style="7" customWidth="1"/>
    <col min="3" max="3" width="19.851562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85" t="s">
        <v>12</v>
      </c>
      <c r="C1" s="185"/>
      <c r="D1" s="185"/>
      <c r="E1" s="185"/>
      <c r="F1" s="185"/>
      <c r="G1" s="185"/>
      <c r="H1" s="185"/>
      <c r="I1" s="185"/>
      <c r="J1" s="98"/>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101" t="s">
        <v>212</v>
      </c>
      <c r="K4" s="24" t="s">
        <v>16</v>
      </c>
    </row>
    <row r="5" spans="1:11" ht="12.75">
      <c r="A5" s="5"/>
      <c r="B5" s="29"/>
      <c r="C5" s="29"/>
      <c r="D5" s="100" t="s">
        <v>210</v>
      </c>
      <c r="E5" s="100" t="s">
        <v>210</v>
      </c>
      <c r="F5" s="100" t="s">
        <v>209</v>
      </c>
      <c r="G5" s="100" t="s">
        <v>211</v>
      </c>
      <c r="H5" s="100" t="s">
        <v>211</v>
      </c>
      <c r="I5" s="100" t="s">
        <v>211</v>
      </c>
      <c r="J5" s="100" t="s">
        <v>211</v>
      </c>
      <c r="K5" s="30"/>
    </row>
    <row r="6" spans="1:11" ht="12.75">
      <c r="A6" s="5"/>
      <c r="B6" s="31" t="s">
        <v>17</v>
      </c>
      <c r="C6" s="31"/>
      <c r="D6" s="111">
        <v>0</v>
      </c>
      <c r="E6" s="111"/>
      <c r="F6" s="111"/>
      <c r="G6" s="111">
        <f>10100</f>
        <v>10100</v>
      </c>
      <c r="H6" s="111">
        <v>3301</v>
      </c>
      <c r="I6" s="111">
        <v>0</v>
      </c>
      <c r="J6" s="111"/>
      <c r="K6" s="33">
        <f>SUM(D6:J6)</f>
        <v>13401</v>
      </c>
    </row>
    <row r="7" ht="12.75"/>
    <row r="8" spans="1:11" ht="12.75">
      <c r="A8" s="5"/>
      <c r="B8" s="31" t="s">
        <v>18</v>
      </c>
      <c r="C8" s="31"/>
      <c r="D8" s="32">
        <v>0</v>
      </c>
      <c r="E8" s="32"/>
      <c r="F8" s="32"/>
      <c r="G8" s="32">
        <v>806</v>
      </c>
      <c r="H8" s="32">
        <v>413</v>
      </c>
      <c r="I8" s="32">
        <v>0</v>
      </c>
      <c r="J8" s="32"/>
      <c r="K8" s="33">
        <f>SUM(D8:J8)</f>
        <v>1219</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10906</v>
      </c>
      <c r="H10" s="35">
        <f t="shared" si="0"/>
        <v>3714</v>
      </c>
      <c r="I10" s="35">
        <f t="shared" si="0"/>
        <v>0</v>
      </c>
      <c r="J10" s="35">
        <f t="shared" si="0"/>
        <v>0</v>
      </c>
      <c r="K10" s="35">
        <f t="shared" si="0"/>
        <v>14620</v>
      </c>
    </row>
    <row r="11" spans="1:11" ht="12.75">
      <c r="A11" s="5"/>
      <c r="B11" s="34"/>
      <c r="C11" s="34"/>
      <c r="D11" s="103"/>
      <c r="E11" s="103"/>
      <c r="F11" s="103"/>
      <c r="G11" s="103"/>
      <c r="H11" s="103"/>
      <c r="I11" s="103"/>
      <c r="J11" s="103"/>
      <c r="K11" s="103"/>
    </row>
    <row r="12" spans="1:11" ht="12.75">
      <c r="A12" s="5"/>
      <c r="B12" s="34" t="s">
        <v>214</v>
      </c>
      <c r="C12" s="34"/>
      <c r="D12" s="104">
        <f>IF(ISERROR(SUM($D10:D10)/$K10),0,SUM($D10:D10)/$K10)</f>
        <v>0</v>
      </c>
      <c r="E12" s="104">
        <f>IF(ISERROR(SUM($D10:E10)/$K10),0,SUM($D10:E10)/$K10)</f>
        <v>0</v>
      </c>
      <c r="F12" s="104">
        <f>IF(ISERROR(SUM($D10:F10)/$K10),0,SUM($D10:F10)/$K10)</f>
        <v>0</v>
      </c>
      <c r="G12" s="104">
        <f>IF(ISERROR(SUM($D10:G10)/$K10),0,SUM($D10:G10)/$K10)</f>
        <v>0.7459644322845417</v>
      </c>
      <c r="H12" s="104">
        <f>IF(ISERROR(SUM($D10:H10)/$K10),0,SUM($D10:H10)/$K10)</f>
        <v>1</v>
      </c>
      <c r="I12" s="104">
        <f>IF(ISERROR(SUM($D10:I10)/$K10),0,SUM($D10:I10)/$K10)</f>
        <v>1</v>
      </c>
      <c r="J12" s="104">
        <f>IF(ISERROR(SUM($D10:J10)/$K10),0,SUM($D10:J10)/$K10)</f>
        <v>1</v>
      </c>
      <c r="K12" s="103"/>
    </row>
    <row r="13" spans="1:11" ht="12.75">
      <c r="A13" s="5"/>
      <c r="B13" s="5"/>
      <c r="C13" s="5"/>
      <c r="D13" s="5"/>
      <c r="E13" s="5"/>
      <c r="F13" s="5"/>
      <c r="G13" s="5"/>
      <c r="H13" s="5"/>
      <c r="I13" s="5"/>
      <c r="J13" s="5"/>
      <c r="K13" s="5"/>
    </row>
    <row r="14" spans="1:11" ht="12.75">
      <c r="A14" s="5"/>
      <c r="B14" s="57" t="s">
        <v>19</v>
      </c>
      <c r="C14" s="31"/>
      <c r="D14" s="32">
        <v>0</v>
      </c>
      <c r="E14" s="32">
        <v>0</v>
      </c>
      <c r="F14" s="32"/>
      <c r="G14" s="32">
        <v>0</v>
      </c>
      <c r="H14" s="32"/>
      <c r="I14" s="32"/>
      <c r="J14" s="32"/>
      <c r="K14" s="33">
        <f>SUM(D14:J14)</f>
        <v>0</v>
      </c>
    </row>
    <row r="16" spans="1:11" ht="13.5" thickBot="1">
      <c r="A16" s="5"/>
      <c r="B16" s="57" t="s">
        <v>213</v>
      </c>
      <c r="C16" s="31"/>
      <c r="D16" s="36">
        <f aca="true" t="shared" si="1" ref="D16:J16">SUM(D10,D14)</f>
        <v>0</v>
      </c>
      <c r="E16" s="36">
        <f t="shared" si="1"/>
        <v>0</v>
      </c>
      <c r="F16" s="36">
        <f t="shared" si="1"/>
        <v>0</v>
      </c>
      <c r="G16" s="36">
        <f t="shared" si="1"/>
        <v>10906</v>
      </c>
      <c r="H16" s="36">
        <f t="shared" si="1"/>
        <v>3714</v>
      </c>
      <c r="I16" s="36">
        <f t="shared" si="1"/>
        <v>0</v>
      </c>
      <c r="J16" s="36">
        <f t="shared" si="1"/>
        <v>0</v>
      </c>
      <c r="K16" s="36">
        <f>SUM(D16:J16)</f>
        <v>14620</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Actual</v>
      </c>
      <c r="G20" s="24" t="str">
        <f t="shared" si="3"/>
        <v>Forecasted</v>
      </c>
      <c r="H20" s="24" t="str">
        <f t="shared" si="3"/>
        <v>Forecasted</v>
      </c>
      <c r="I20" s="24" t="str">
        <f t="shared" si="3"/>
        <v>Forecasted</v>
      </c>
      <c r="J20" s="24" t="str">
        <f t="shared" si="3"/>
        <v>Forecasted</v>
      </c>
      <c r="K20" s="30"/>
    </row>
    <row r="21" spans="1:11" ht="12.75">
      <c r="A21" s="5"/>
      <c r="B21" s="31" t="s">
        <v>22</v>
      </c>
      <c r="C21" s="31"/>
      <c r="D21" s="32">
        <v>0</v>
      </c>
      <c r="E21" s="32">
        <v>0</v>
      </c>
      <c r="F21" s="32">
        <v>0</v>
      </c>
      <c r="G21" s="32">
        <v>24</v>
      </c>
      <c r="H21" s="32">
        <v>0</v>
      </c>
      <c r="I21" s="32">
        <v>0</v>
      </c>
      <c r="J21" s="32">
        <v>0</v>
      </c>
      <c r="K21" s="33">
        <f>SUM(D21:J21)</f>
        <v>24</v>
      </c>
    </row>
    <row r="22" ht="12.75">
      <c r="U22" s="7"/>
    </row>
    <row r="23" spans="1:11" ht="12.75">
      <c r="A23" s="5"/>
      <c r="B23" s="31" t="s">
        <v>23</v>
      </c>
      <c r="C23" s="31"/>
      <c r="D23" s="32">
        <v>0</v>
      </c>
      <c r="E23" s="32">
        <v>0</v>
      </c>
      <c r="F23" s="32">
        <v>0</v>
      </c>
      <c r="G23" s="32">
        <v>0</v>
      </c>
      <c r="H23" s="32">
        <v>0</v>
      </c>
      <c r="I23" s="32">
        <v>0</v>
      </c>
      <c r="J23" s="32">
        <v>0</v>
      </c>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Actual</v>
      </c>
      <c r="G38" s="24" t="str">
        <f t="shared" si="5"/>
        <v>Forecasted</v>
      </c>
      <c r="H38" s="24" t="str">
        <f t="shared" si="5"/>
        <v>Forecasted</v>
      </c>
      <c r="I38" s="24" t="str">
        <f t="shared" si="5"/>
        <v>Forecasted</v>
      </c>
      <c r="J38" s="24" t="str">
        <f t="shared" si="5"/>
        <v>Forecasted</v>
      </c>
      <c r="K38" s="24"/>
    </row>
    <row r="39" spans="1:21" ht="20.25">
      <c r="A39" s="5"/>
      <c r="B39" s="41" t="s">
        <v>28</v>
      </c>
      <c r="C39" s="105" t="s">
        <v>8</v>
      </c>
      <c r="D39" s="42">
        <v>0</v>
      </c>
      <c r="E39" s="42">
        <v>0</v>
      </c>
      <c r="F39" s="42">
        <v>0</v>
      </c>
      <c r="G39" s="42">
        <v>1214581.28</v>
      </c>
      <c r="H39" s="42">
        <v>419674.03</v>
      </c>
      <c r="I39" s="42">
        <v>14813.61</v>
      </c>
      <c r="J39" s="42">
        <f>14813.61*2</f>
        <v>29627.22</v>
      </c>
      <c r="K39" s="43">
        <f>SUM(D39:J39)</f>
        <v>1678696.1400000001</v>
      </c>
      <c r="U39" s="102"/>
    </row>
    <row r="40" spans="1:21" ht="20.25">
      <c r="A40" s="5"/>
      <c r="B40" s="44" t="s">
        <v>29</v>
      </c>
      <c r="C40" s="44"/>
      <c r="D40" s="107"/>
      <c r="E40" s="107"/>
      <c r="F40" s="107"/>
      <c r="G40" s="107"/>
      <c r="H40" s="107"/>
      <c r="I40" s="107"/>
      <c r="J40" s="99"/>
      <c r="K40" s="5"/>
      <c r="U40" s="102"/>
    </row>
    <row r="41" spans="1:21" ht="20.25">
      <c r="A41" s="5"/>
      <c r="B41" s="41" t="s">
        <v>30</v>
      </c>
      <c r="C41" s="105" t="s">
        <v>8</v>
      </c>
      <c r="D41" s="42">
        <v>0</v>
      </c>
      <c r="E41" s="42">
        <v>0</v>
      </c>
      <c r="F41" s="42">
        <v>0</v>
      </c>
      <c r="G41" s="42">
        <v>248271.42</v>
      </c>
      <c r="H41" s="42">
        <f>67949.52</f>
        <v>67949.52</v>
      </c>
      <c r="I41" s="42">
        <v>0</v>
      </c>
      <c r="J41" s="42">
        <v>0</v>
      </c>
      <c r="K41" s="43">
        <f>SUM(D41:J41)</f>
        <v>316220.94</v>
      </c>
      <c r="U41" s="102"/>
    </row>
    <row r="42" spans="1:11" ht="12.75">
      <c r="A42" s="5"/>
      <c r="B42" s="44" t="s">
        <v>31</v>
      </c>
      <c r="C42" s="44"/>
      <c r="D42" s="186"/>
      <c r="E42" s="186"/>
      <c r="F42" s="186"/>
      <c r="G42" s="186"/>
      <c r="H42" s="186"/>
      <c r="I42" s="186"/>
      <c r="J42" s="99"/>
      <c r="K42" s="5"/>
    </row>
    <row r="43" spans="1:11" ht="15.75">
      <c r="A43" s="5"/>
      <c r="B43" s="41" t="s">
        <v>32</v>
      </c>
      <c r="C43" s="105" t="s">
        <v>9</v>
      </c>
      <c r="D43" s="42">
        <v>0</v>
      </c>
      <c r="E43" s="42">
        <v>0</v>
      </c>
      <c r="F43" s="42">
        <v>0</v>
      </c>
      <c r="G43" s="42">
        <v>3864</v>
      </c>
      <c r="H43" s="42">
        <f>3864</f>
        <v>3864</v>
      </c>
      <c r="I43" s="42">
        <v>0</v>
      </c>
      <c r="J43" s="42">
        <v>0</v>
      </c>
      <c r="K43" s="43">
        <f>SUM(D43:J43)</f>
        <v>7728</v>
      </c>
    </row>
    <row r="44" spans="1:11" ht="12.75">
      <c r="A44" s="5"/>
      <c r="B44" s="44" t="s">
        <v>33</v>
      </c>
      <c r="C44" s="44"/>
      <c r="D44" s="186"/>
      <c r="E44" s="186"/>
      <c r="F44" s="186"/>
      <c r="G44" s="186"/>
      <c r="H44" s="186"/>
      <c r="I44" s="186"/>
      <c r="J44" s="99"/>
      <c r="K44" s="5"/>
    </row>
    <row r="45" spans="1:11" ht="15.75">
      <c r="A45" s="5"/>
      <c r="B45" s="41" t="s">
        <v>34</v>
      </c>
      <c r="C45" s="105" t="s">
        <v>10</v>
      </c>
      <c r="D45" s="42">
        <v>0</v>
      </c>
      <c r="E45" s="42">
        <v>0</v>
      </c>
      <c r="F45" s="42">
        <v>0</v>
      </c>
      <c r="G45" s="42">
        <v>0</v>
      </c>
      <c r="H45" s="42">
        <v>0</v>
      </c>
      <c r="I45" s="42">
        <v>0</v>
      </c>
      <c r="J45" s="42">
        <v>0</v>
      </c>
      <c r="K45" s="43">
        <f>SUM(D45:J45)</f>
        <v>0</v>
      </c>
    </row>
    <row r="46" spans="1:11" ht="12.75">
      <c r="A46" s="5"/>
      <c r="B46" s="44" t="s">
        <v>33</v>
      </c>
      <c r="C46" s="44"/>
      <c r="D46" s="186"/>
      <c r="E46" s="186"/>
      <c r="F46" s="186"/>
      <c r="G46" s="186"/>
      <c r="H46" s="186"/>
      <c r="I46" s="186"/>
      <c r="J46" s="99"/>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1466716.7</v>
      </c>
      <c r="H48" s="45">
        <f t="shared" si="6"/>
        <v>491487.55000000005</v>
      </c>
      <c r="I48" s="45">
        <f t="shared" si="6"/>
        <v>14813.61</v>
      </c>
      <c r="J48" s="45">
        <f t="shared" si="6"/>
        <v>29627.22</v>
      </c>
      <c r="K48" s="45">
        <f t="shared" si="6"/>
        <v>2002645.08</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Actual</v>
      </c>
      <c r="G52" s="24" t="str">
        <f t="shared" si="8"/>
        <v>Forecasted</v>
      </c>
      <c r="H52" s="24" t="str">
        <f t="shared" si="8"/>
        <v>Forecasted</v>
      </c>
      <c r="I52" s="24" t="str">
        <f t="shared" si="8"/>
        <v>Forecasted</v>
      </c>
      <c r="J52" s="24" t="str">
        <f t="shared" si="8"/>
        <v>Forecasted</v>
      </c>
      <c r="K52" s="24"/>
    </row>
    <row r="53" spans="1:11" ht="15.75">
      <c r="A53" s="5"/>
      <c r="B53" s="41" t="s">
        <v>37</v>
      </c>
      <c r="C53" s="105" t="s">
        <v>8</v>
      </c>
      <c r="D53" s="42">
        <v>0</v>
      </c>
      <c r="E53" s="42">
        <v>0</v>
      </c>
      <c r="F53" s="42">
        <v>0</v>
      </c>
      <c r="G53" s="42">
        <v>107761.13</v>
      </c>
      <c r="H53" s="42">
        <v>0</v>
      </c>
      <c r="I53" s="42">
        <v>0</v>
      </c>
      <c r="J53" s="42">
        <v>0</v>
      </c>
      <c r="K53" s="46">
        <f>SUM(D53:J53)</f>
        <v>107761.13</v>
      </c>
    </row>
    <row r="54" spans="1:11" ht="12.75">
      <c r="A54" s="5"/>
      <c r="B54" s="44"/>
      <c r="C54" s="44"/>
      <c r="D54" s="186"/>
      <c r="E54" s="186"/>
      <c r="F54" s="186"/>
      <c r="G54" s="186"/>
      <c r="H54" s="186"/>
      <c r="I54" s="186"/>
      <c r="J54" s="99"/>
      <c r="K54" s="5"/>
    </row>
    <row r="55" spans="1:11" ht="12.75">
      <c r="A55" s="5"/>
      <c r="B55" s="40"/>
      <c r="C55" s="40"/>
      <c r="D55" s="24"/>
      <c r="E55" s="24"/>
      <c r="F55" s="24"/>
      <c r="G55" s="24"/>
      <c r="H55" s="24"/>
      <c r="I55" s="24"/>
      <c r="J55" s="24"/>
      <c r="K55" s="24"/>
    </row>
    <row r="56" spans="1:11" ht="15.75">
      <c r="A56" s="5"/>
      <c r="B56" s="41" t="s">
        <v>38</v>
      </c>
      <c r="C56" s="105" t="s">
        <v>8</v>
      </c>
      <c r="D56" s="42">
        <v>0</v>
      </c>
      <c r="E56" s="42">
        <v>0</v>
      </c>
      <c r="F56" s="42">
        <v>0</v>
      </c>
      <c r="G56" s="42">
        <v>0</v>
      </c>
      <c r="H56" s="42">
        <v>0</v>
      </c>
      <c r="I56" s="42">
        <v>0</v>
      </c>
      <c r="J56" s="42">
        <v>0</v>
      </c>
      <c r="K56" s="46">
        <f>SUM(D56:J56)</f>
        <v>0</v>
      </c>
    </row>
    <row r="57" spans="1:11" ht="12.75">
      <c r="A57" s="5"/>
      <c r="B57" s="44" t="s">
        <v>39</v>
      </c>
      <c r="C57" s="44"/>
      <c r="D57" s="186"/>
      <c r="E57" s="186"/>
      <c r="F57" s="186"/>
      <c r="G57" s="186"/>
      <c r="H57" s="186"/>
      <c r="I57" s="186"/>
      <c r="J57" s="99"/>
      <c r="K57" s="5"/>
    </row>
    <row r="58" spans="1:11" ht="12.75">
      <c r="A58" s="5"/>
      <c r="B58" s="40"/>
      <c r="C58" s="40"/>
      <c r="D58" s="24"/>
      <c r="E58" s="24"/>
      <c r="F58" s="24"/>
      <c r="G58" s="24"/>
      <c r="H58" s="24"/>
      <c r="I58" s="24"/>
      <c r="J58" s="24"/>
      <c r="K58" s="24"/>
    </row>
    <row r="59" spans="1:11" ht="15.75">
      <c r="A59" s="5"/>
      <c r="B59" s="41" t="s">
        <v>40</v>
      </c>
      <c r="C59" s="105" t="s">
        <v>8</v>
      </c>
      <c r="D59" s="42">
        <v>0</v>
      </c>
      <c r="E59" s="42">
        <v>0</v>
      </c>
      <c r="F59" s="42">
        <v>0</v>
      </c>
      <c r="G59" s="42">
        <v>74365.45</v>
      </c>
      <c r="H59" s="42">
        <v>0</v>
      </c>
      <c r="I59" s="42">
        <v>0</v>
      </c>
      <c r="J59" s="42">
        <v>0</v>
      </c>
      <c r="K59" s="46">
        <f>SUM(D59:J59)</f>
        <v>74365.45</v>
      </c>
    </row>
    <row r="60" spans="1:11" ht="12.75">
      <c r="A60" s="5"/>
      <c r="B60" s="44" t="s">
        <v>41</v>
      </c>
      <c r="C60" s="44"/>
      <c r="D60" s="186"/>
      <c r="E60" s="186"/>
      <c r="F60" s="186"/>
      <c r="G60" s="186"/>
      <c r="H60" s="186"/>
      <c r="I60" s="186"/>
      <c r="J60" s="99"/>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182126.58000000002</v>
      </c>
      <c r="H62" s="45">
        <f t="shared" si="9"/>
        <v>0</v>
      </c>
      <c r="I62" s="45">
        <f t="shared" si="9"/>
        <v>0</v>
      </c>
      <c r="J62" s="45">
        <f t="shared" si="9"/>
        <v>0</v>
      </c>
      <c r="K62" s="45">
        <f t="shared" si="9"/>
        <v>182126.58000000002</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Actual</v>
      </c>
      <c r="G66" s="24" t="str">
        <f t="shared" si="11"/>
        <v>Forecasted</v>
      </c>
      <c r="H66" s="24" t="str">
        <f t="shared" si="11"/>
        <v>Forecasted</v>
      </c>
      <c r="I66" s="24" t="str">
        <f t="shared" si="11"/>
        <v>Forecasted</v>
      </c>
      <c r="J66" s="24" t="str">
        <f t="shared" si="11"/>
        <v>Forecasted</v>
      </c>
      <c r="K66" s="24"/>
    </row>
    <row r="67" spans="1:11" ht="15.75">
      <c r="A67" s="5"/>
      <c r="B67" s="41" t="s">
        <v>44</v>
      </c>
      <c r="C67" s="105" t="s">
        <v>9</v>
      </c>
      <c r="D67" s="42">
        <v>0</v>
      </c>
      <c r="E67" s="42">
        <v>0</v>
      </c>
      <c r="F67" s="42">
        <v>0</v>
      </c>
      <c r="G67" s="42">
        <v>0</v>
      </c>
      <c r="H67" s="42">
        <v>0</v>
      </c>
      <c r="I67" s="42">
        <v>0</v>
      </c>
      <c r="J67" s="42">
        <v>0</v>
      </c>
      <c r="K67" s="46">
        <f>SUM(D67:J67)</f>
        <v>0</v>
      </c>
    </row>
    <row r="68" spans="1:11" ht="12.75">
      <c r="A68" s="5"/>
      <c r="B68" s="44"/>
      <c r="C68" s="44"/>
      <c r="D68" s="106"/>
      <c r="E68" s="106"/>
      <c r="F68" s="106"/>
      <c r="G68" s="106"/>
      <c r="H68" s="106"/>
      <c r="I68" s="106"/>
      <c r="J68" s="99"/>
      <c r="K68" s="5"/>
    </row>
    <row r="69" spans="1:11" ht="15.75">
      <c r="A69" s="5"/>
      <c r="B69" s="41" t="s">
        <v>45</v>
      </c>
      <c r="C69" s="105" t="s">
        <v>10</v>
      </c>
      <c r="D69" s="42">
        <v>0</v>
      </c>
      <c r="E69" s="42">
        <v>0</v>
      </c>
      <c r="F69" s="42">
        <v>0</v>
      </c>
      <c r="G69" s="42">
        <v>60172.64</v>
      </c>
      <c r="H69" s="42">
        <v>0</v>
      </c>
      <c r="I69" s="42">
        <v>0</v>
      </c>
      <c r="J69" s="42">
        <v>0</v>
      </c>
      <c r="K69" s="46">
        <f>SUM(D69:J69)</f>
        <v>60172.64</v>
      </c>
    </row>
    <row r="70" spans="1:11" ht="12.75">
      <c r="A70" s="5"/>
      <c r="B70" s="44"/>
      <c r="C70" s="44"/>
      <c r="D70" s="186"/>
      <c r="E70" s="186"/>
      <c r="F70" s="186"/>
      <c r="G70" s="186"/>
      <c r="H70" s="186"/>
      <c r="I70" s="186"/>
      <c r="J70" s="99"/>
      <c r="K70" s="5"/>
    </row>
    <row r="71" spans="1:11" ht="15.75">
      <c r="A71" s="5"/>
      <c r="B71" s="41" t="s">
        <v>46</v>
      </c>
      <c r="C71" s="105" t="s">
        <v>10</v>
      </c>
      <c r="D71" s="42">
        <v>0</v>
      </c>
      <c r="E71" s="42">
        <v>0</v>
      </c>
      <c r="F71" s="42">
        <v>0</v>
      </c>
      <c r="G71" s="42">
        <v>0</v>
      </c>
      <c r="H71" s="42">
        <v>0</v>
      </c>
      <c r="I71" s="42">
        <v>0</v>
      </c>
      <c r="J71" s="42">
        <v>0</v>
      </c>
      <c r="K71" s="46">
        <f>SUM(D71:J71)</f>
        <v>0</v>
      </c>
    </row>
    <row r="72" spans="1:11" ht="22.5">
      <c r="A72" s="5"/>
      <c r="B72" s="44" t="s">
        <v>47</v>
      </c>
      <c r="C72" s="44"/>
      <c r="D72" s="186"/>
      <c r="E72" s="186"/>
      <c r="F72" s="186"/>
      <c r="G72" s="186"/>
      <c r="H72" s="186"/>
      <c r="I72" s="186"/>
      <c r="J72" s="99"/>
      <c r="K72" s="5"/>
    </row>
    <row r="73" spans="1:11" ht="13.5" thickBot="1">
      <c r="A73" s="5"/>
      <c r="B73" s="41" t="s">
        <v>48</v>
      </c>
      <c r="C73" s="41"/>
      <c r="D73" s="45">
        <f aca="true" t="shared" si="12" ref="D73:K73">SUM(D67,D69,D71)</f>
        <v>0</v>
      </c>
      <c r="E73" s="45">
        <f t="shared" si="12"/>
        <v>0</v>
      </c>
      <c r="F73" s="45">
        <f t="shared" si="12"/>
        <v>0</v>
      </c>
      <c r="G73" s="45">
        <f t="shared" si="12"/>
        <v>60172.64</v>
      </c>
      <c r="H73" s="45">
        <f t="shared" si="12"/>
        <v>0</v>
      </c>
      <c r="I73" s="45">
        <f t="shared" si="12"/>
        <v>0</v>
      </c>
      <c r="J73" s="45">
        <f t="shared" si="12"/>
        <v>0</v>
      </c>
      <c r="K73" s="45">
        <f t="shared" si="12"/>
        <v>60172.64</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Actual</v>
      </c>
      <c r="G77" s="24" t="str">
        <f t="shared" si="14"/>
        <v>Forecasted</v>
      </c>
      <c r="H77" s="24" t="str">
        <f t="shared" si="14"/>
        <v>Forecasted</v>
      </c>
      <c r="I77" s="24" t="str">
        <f t="shared" si="14"/>
        <v>Forecasted</v>
      </c>
      <c r="J77" s="24" t="str">
        <f t="shared" si="14"/>
        <v>Forecasted</v>
      </c>
      <c r="K77" s="24"/>
    </row>
    <row r="78" spans="1:11" ht="15.75">
      <c r="A78" s="5"/>
      <c r="B78" s="41" t="s">
        <v>50</v>
      </c>
      <c r="C78" s="105" t="s">
        <v>215</v>
      </c>
      <c r="D78" s="42">
        <v>0</v>
      </c>
      <c r="E78" s="42">
        <v>0</v>
      </c>
      <c r="F78" s="42">
        <v>0</v>
      </c>
      <c r="G78" s="42">
        <v>0</v>
      </c>
      <c r="H78" s="42">
        <v>0</v>
      </c>
      <c r="I78" s="42">
        <v>0</v>
      </c>
      <c r="J78" s="42">
        <v>0</v>
      </c>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Actual</v>
      </c>
      <c r="G84" s="24" t="str">
        <f t="shared" si="17"/>
        <v>Forecasted</v>
      </c>
      <c r="H84" s="24" t="str">
        <f t="shared" si="17"/>
        <v>Forecasted</v>
      </c>
      <c r="I84" s="24" t="str">
        <f t="shared" si="17"/>
        <v>Forecasted</v>
      </c>
      <c r="J84" s="24" t="str">
        <f t="shared" si="17"/>
        <v>Forecasted</v>
      </c>
      <c r="K84" s="24"/>
    </row>
    <row r="85" spans="1:11" ht="15.75">
      <c r="A85" s="5"/>
      <c r="B85" s="41" t="s">
        <v>53</v>
      </c>
      <c r="C85" s="105" t="s">
        <v>8</v>
      </c>
      <c r="D85" s="42">
        <v>0</v>
      </c>
      <c r="E85" s="42">
        <v>0</v>
      </c>
      <c r="F85" s="42">
        <v>0</v>
      </c>
      <c r="G85" s="42">
        <v>0</v>
      </c>
      <c r="H85" s="42">
        <v>0</v>
      </c>
      <c r="I85" s="42">
        <v>0</v>
      </c>
      <c r="J85" s="42">
        <v>0</v>
      </c>
      <c r="K85" s="46">
        <f>SUM(D85:J85)</f>
        <v>0</v>
      </c>
    </row>
    <row r="86" spans="1:11" ht="12.75">
      <c r="A86" s="5"/>
      <c r="B86" s="44"/>
      <c r="C86" s="44"/>
      <c r="D86" s="186"/>
      <c r="E86" s="186"/>
      <c r="F86" s="186"/>
      <c r="G86" s="186"/>
      <c r="H86" s="186"/>
      <c r="I86" s="186"/>
      <c r="J86" s="99"/>
      <c r="K86" s="5"/>
    </row>
    <row r="87" spans="1:11" ht="15.75">
      <c r="A87" s="5"/>
      <c r="B87" s="41" t="s">
        <v>54</v>
      </c>
      <c r="C87" s="105" t="s">
        <v>10</v>
      </c>
      <c r="D87" s="42">
        <v>0</v>
      </c>
      <c r="E87" s="42">
        <v>0</v>
      </c>
      <c r="F87" s="42">
        <v>0</v>
      </c>
      <c r="G87" s="42">
        <v>20454</v>
      </c>
      <c r="H87" s="42">
        <v>0</v>
      </c>
      <c r="I87" s="42">
        <v>0</v>
      </c>
      <c r="J87" s="42">
        <v>0</v>
      </c>
      <c r="K87" s="46">
        <f>SUM(D87:J87)</f>
        <v>20454</v>
      </c>
    </row>
    <row r="88" spans="1:11" ht="12.75">
      <c r="A88" s="5"/>
      <c r="B88" s="44"/>
      <c r="C88" s="44"/>
      <c r="D88" s="186"/>
      <c r="E88" s="186"/>
      <c r="F88" s="186"/>
      <c r="G88" s="186"/>
      <c r="H88" s="186"/>
      <c r="I88" s="186"/>
      <c r="J88" s="99"/>
      <c r="K88" s="5"/>
    </row>
    <row r="89" spans="1:11" ht="15.75">
      <c r="A89" s="5"/>
      <c r="B89" s="41" t="s">
        <v>55</v>
      </c>
      <c r="C89" s="105" t="s">
        <v>10</v>
      </c>
      <c r="D89" s="42">
        <v>0</v>
      </c>
      <c r="E89" s="42">
        <v>0</v>
      </c>
      <c r="F89" s="42">
        <v>0</v>
      </c>
      <c r="G89" s="42">
        <v>78225</v>
      </c>
      <c r="H89" s="42">
        <v>59325</v>
      </c>
      <c r="I89" s="42">
        <v>0</v>
      </c>
      <c r="J89" s="42">
        <v>0</v>
      </c>
      <c r="K89" s="46">
        <f>SUM(D89:J89)</f>
        <v>137550</v>
      </c>
    </row>
    <row r="90" spans="1:11" ht="12.75">
      <c r="A90" s="5"/>
      <c r="B90" s="44"/>
      <c r="C90" s="44"/>
      <c r="D90" s="186"/>
      <c r="E90" s="186"/>
      <c r="F90" s="186"/>
      <c r="G90" s="186"/>
      <c r="H90" s="186"/>
      <c r="I90" s="186"/>
      <c r="J90" s="99"/>
      <c r="K90" s="5"/>
    </row>
    <row r="91" spans="1:11" ht="15.75">
      <c r="A91" s="5"/>
      <c r="B91" s="41" t="s">
        <v>56</v>
      </c>
      <c r="C91" s="105" t="s">
        <v>10</v>
      </c>
      <c r="D91" s="42">
        <v>0</v>
      </c>
      <c r="E91" s="42">
        <v>0</v>
      </c>
      <c r="F91" s="42">
        <v>0</v>
      </c>
      <c r="G91" s="42">
        <v>4252.5</v>
      </c>
      <c r="H91" s="42">
        <v>33169.5</v>
      </c>
      <c r="I91" s="42">
        <v>0</v>
      </c>
      <c r="J91" s="42">
        <v>0</v>
      </c>
      <c r="K91" s="46">
        <f>SUM(D91:J91)</f>
        <v>37422</v>
      </c>
    </row>
    <row r="92" spans="1:11" ht="12.75">
      <c r="A92" s="5"/>
      <c r="B92" s="44"/>
      <c r="C92" s="44"/>
      <c r="D92" s="186"/>
      <c r="E92" s="186"/>
      <c r="F92" s="186"/>
      <c r="G92" s="186"/>
      <c r="H92" s="186"/>
      <c r="I92" s="186"/>
      <c r="J92" s="99"/>
      <c r="K92" s="5"/>
    </row>
    <row r="93" spans="1:11" ht="15.75">
      <c r="A93" s="5"/>
      <c r="B93" s="41" t="s">
        <v>57</v>
      </c>
      <c r="C93" s="105" t="s">
        <v>10</v>
      </c>
      <c r="D93" s="42">
        <v>0</v>
      </c>
      <c r="E93" s="42">
        <v>0</v>
      </c>
      <c r="F93" s="42">
        <v>0</v>
      </c>
      <c r="G93" s="42">
        <v>0</v>
      </c>
      <c r="H93" s="42">
        <v>135035.48</v>
      </c>
      <c r="I93" s="42">
        <v>0</v>
      </c>
      <c r="J93" s="42">
        <v>0</v>
      </c>
      <c r="K93" s="46">
        <f>SUM(D93:J93)</f>
        <v>135035.48</v>
      </c>
    </row>
    <row r="94" spans="1:11" ht="12.75">
      <c r="A94" s="5"/>
      <c r="B94" s="44"/>
      <c r="D94" s="186"/>
      <c r="E94" s="186"/>
      <c r="F94" s="186"/>
      <c r="G94" s="186"/>
      <c r="H94" s="186"/>
      <c r="I94" s="186"/>
      <c r="J94" s="99"/>
      <c r="K94" s="5"/>
    </row>
    <row r="95" spans="1:11" ht="15.75">
      <c r="A95" s="5"/>
      <c r="B95" s="41" t="s">
        <v>58</v>
      </c>
      <c r="C95" s="105" t="s">
        <v>10</v>
      </c>
      <c r="D95" s="42">
        <v>0</v>
      </c>
      <c r="E95" s="42">
        <v>0</v>
      </c>
      <c r="F95" s="42">
        <v>0</v>
      </c>
      <c r="G95" s="42">
        <v>0</v>
      </c>
      <c r="H95" s="42">
        <v>0</v>
      </c>
      <c r="I95" s="42">
        <v>0</v>
      </c>
      <c r="J95" s="42">
        <v>0</v>
      </c>
      <c r="K95" s="46">
        <f>SUM(D95:J95)</f>
        <v>0</v>
      </c>
    </row>
    <row r="96" spans="1:11" ht="12.75">
      <c r="A96" s="5"/>
      <c r="B96" s="44"/>
      <c r="D96" s="186"/>
      <c r="E96" s="186"/>
      <c r="F96" s="186"/>
      <c r="G96" s="186"/>
      <c r="H96" s="186"/>
      <c r="I96" s="186"/>
      <c r="J96" s="99"/>
      <c r="K96" s="5"/>
    </row>
    <row r="97" spans="1:11" ht="13.5" thickBot="1">
      <c r="A97" s="5"/>
      <c r="B97" s="41" t="s">
        <v>59</v>
      </c>
      <c r="C97" s="41"/>
      <c r="D97" s="45">
        <f aca="true" t="shared" si="18" ref="D97:K97">SUM(D85,D87,D89,D91,D95,D93)</f>
        <v>0</v>
      </c>
      <c r="E97" s="45">
        <f t="shared" si="18"/>
        <v>0</v>
      </c>
      <c r="F97" s="45">
        <f t="shared" si="18"/>
        <v>0</v>
      </c>
      <c r="G97" s="45">
        <f t="shared" si="18"/>
        <v>102931.5</v>
      </c>
      <c r="H97" s="45">
        <f t="shared" si="18"/>
        <v>227529.98</v>
      </c>
      <c r="I97" s="45">
        <f t="shared" si="18"/>
        <v>0</v>
      </c>
      <c r="J97" s="45">
        <f t="shared" si="18"/>
        <v>0</v>
      </c>
      <c r="K97" s="45">
        <f t="shared" si="18"/>
        <v>330461.48</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0</v>
      </c>
      <c r="E99" s="49">
        <f t="shared" si="19"/>
        <v>0</v>
      </c>
      <c r="F99" s="49">
        <f t="shared" si="19"/>
        <v>0</v>
      </c>
      <c r="G99" s="49">
        <f t="shared" si="19"/>
        <v>1811947.42</v>
      </c>
      <c r="H99" s="49">
        <f t="shared" si="19"/>
        <v>719017.53</v>
      </c>
      <c r="I99" s="49">
        <f t="shared" si="19"/>
        <v>14813.61</v>
      </c>
      <c r="J99" s="49">
        <f t="shared" si="19"/>
        <v>29627.22</v>
      </c>
      <c r="K99" s="49">
        <f t="shared" si="19"/>
        <v>2575405.7800000003</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Actual</v>
      </c>
      <c r="G104" s="24" t="str">
        <f t="shared" si="21"/>
        <v>Forecasted</v>
      </c>
      <c r="H104" s="24" t="str">
        <f t="shared" si="21"/>
        <v>Forecasted</v>
      </c>
      <c r="I104" s="24" t="str">
        <f t="shared" si="21"/>
        <v>Forecasted</v>
      </c>
      <c r="J104" s="24" t="str">
        <f t="shared" si="21"/>
        <v>Forecasted</v>
      </c>
      <c r="K104" s="24"/>
    </row>
    <row r="105" spans="1:11" ht="12.75">
      <c r="A105" s="5"/>
      <c r="B105" s="41" t="s">
        <v>63</v>
      </c>
      <c r="C105" s="41"/>
      <c r="D105" s="42">
        <v>0</v>
      </c>
      <c r="E105" s="42">
        <v>0</v>
      </c>
      <c r="F105" s="42">
        <v>0</v>
      </c>
      <c r="G105" s="42">
        <v>0</v>
      </c>
      <c r="H105" s="42">
        <v>0</v>
      </c>
      <c r="I105" s="42">
        <v>0</v>
      </c>
      <c r="J105" s="42">
        <v>0</v>
      </c>
      <c r="K105" s="46">
        <f>SUM(D105:J105)</f>
        <v>0</v>
      </c>
    </row>
    <row r="106" spans="1:11" ht="12.75">
      <c r="A106" s="5"/>
      <c r="B106" s="44" t="s">
        <v>64</v>
      </c>
      <c r="C106" s="44"/>
      <c r="D106" s="186"/>
      <c r="E106" s="186"/>
      <c r="F106" s="186"/>
      <c r="G106" s="186"/>
      <c r="H106" s="186"/>
      <c r="I106" s="186"/>
      <c r="J106" s="99"/>
      <c r="K106" s="5"/>
    </row>
    <row r="107" spans="1:11" ht="13.5" thickBot="1">
      <c r="A107" s="5"/>
      <c r="B107" s="41" t="s">
        <v>65</v>
      </c>
      <c r="C107" s="41"/>
      <c r="D107" s="45">
        <f aca="true" t="shared" si="22" ref="D107:K107">SUM(D105)</f>
        <v>0</v>
      </c>
      <c r="E107" s="45">
        <f t="shared" si="22"/>
        <v>0</v>
      </c>
      <c r="F107" s="45">
        <f t="shared" si="22"/>
        <v>0</v>
      </c>
      <c r="G107" s="45">
        <f t="shared" si="22"/>
        <v>0</v>
      </c>
      <c r="H107" s="45">
        <f t="shared" si="22"/>
        <v>0</v>
      </c>
      <c r="I107" s="45">
        <f t="shared" si="22"/>
        <v>0</v>
      </c>
      <c r="J107" s="45">
        <f t="shared" si="22"/>
        <v>0</v>
      </c>
      <c r="K107" s="45">
        <f t="shared" si="22"/>
        <v>0</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v>0</v>
      </c>
      <c r="E110" s="42">
        <v>0</v>
      </c>
      <c r="F110" s="42">
        <v>0</v>
      </c>
      <c r="G110" s="42"/>
      <c r="H110" s="42"/>
      <c r="I110" s="42"/>
      <c r="J110" s="42"/>
      <c r="K110" s="46">
        <f>SUM(D110:J110)</f>
        <v>0</v>
      </c>
    </row>
    <row r="111" spans="1:11" ht="12.75">
      <c r="A111" s="5"/>
      <c r="B111" s="44"/>
      <c r="C111" s="44"/>
      <c r="D111" s="186"/>
      <c r="E111" s="186"/>
      <c r="F111" s="186"/>
      <c r="G111" s="186"/>
      <c r="H111" s="186"/>
      <c r="I111" s="186"/>
      <c r="J111" s="99"/>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0</v>
      </c>
      <c r="I113" s="45">
        <f t="shared" si="23"/>
        <v>0</v>
      </c>
      <c r="J113" s="45">
        <f t="shared" si="23"/>
        <v>0</v>
      </c>
      <c r="K113" s="45">
        <f t="shared" si="23"/>
        <v>0</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v>0</v>
      </c>
      <c r="E116" s="42">
        <v>0</v>
      </c>
      <c r="F116" s="42">
        <v>0</v>
      </c>
      <c r="G116" s="42">
        <v>0</v>
      </c>
      <c r="H116" s="42">
        <v>0</v>
      </c>
      <c r="I116" s="42">
        <v>0</v>
      </c>
      <c r="J116" s="42">
        <v>0</v>
      </c>
      <c r="K116" s="46">
        <f>SUM(D116:J116)</f>
        <v>0</v>
      </c>
    </row>
    <row r="117" spans="1:11" ht="12.75">
      <c r="A117" s="5"/>
      <c r="B117" s="44" t="s">
        <v>70</v>
      </c>
      <c r="C117" s="44"/>
      <c r="D117" s="186"/>
      <c r="E117" s="186"/>
      <c r="F117" s="186"/>
      <c r="G117" s="186"/>
      <c r="H117" s="186"/>
      <c r="I117" s="186"/>
      <c r="J117" s="99"/>
      <c r="K117" s="5"/>
    </row>
    <row r="118" spans="1:11" ht="12.75">
      <c r="A118" s="5"/>
      <c r="B118" s="40"/>
      <c r="C118" s="40"/>
      <c r="D118" s="24"/>
      <c r="E118" s="24"/>
      <c r="F118" s="24"/>
      <c r="G118" s="24"/>
      <c r="H118" s="24"/>
      <c r="I118" s="24"/>
      <c r="J118" s="24"/>
      <c r="K118" s="5"/>
    </row>
    <row r="119" spans="1:11" ht="12.75">
      <c r="A119" s="5"/>
      <c r="B119" s="41" t="s">
        <v>71</v>
      </c>
      <c r="C119" s="41"/>
      <c r="D119" s="42">
        <v>0</v>
      </c>
      <c r="E119" s="42">
        <v>0</v>
      </c>
      <c r="F119" s="42">
        <v>0</v>
      </c>
      <c r="G119" s="42">
        <v>14789.67</v>
      </c>
      <c r="H119" s="42">
        <v>14789.67</v>
      </c>
      <c r="I119" s="42">
        <v>14789.67</v>
      </c>
      <c r="J119" s="42">
        <v>14789.67</v>
      </c>
      <c r="K119" s="46">
        <f>SUM(D119:J119)</f>
        <v>59158.68</v>
      </c>
    </row>
    <row r="120" spans="1:11" ht="12.75">
      <c r="A120" s="5"/>
      <c r="B120" s="44" t="s">
        <v>72</v>
      </c>
      <c r="C120" s="44"/>
      <c r="D120" s="186"/>
      <c r="E120" s="186"/>
      <c r="F120" s="186"/>
      <c r="G120" s="186"/>
      <c r="H120" s="186"/>
      <c r="I120" s="186"/>
      <c r="J120" s="99"/>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14789.67</v>
      </c>
      <c r="H122" s="45">
        <f t="shared" si="24"/>
        <v>14789.67</v>
      </c>
      <c r="I122" s="45">
        <f t="shared" si="24"/>
        <v>14789.67</v>
      </c>
      <c r="J122" s="45">
        <f t="shared" si="24"/>
        <v>14789.67</v>
      </c>
      <c r="K122" s="45">
        <f t="shared" si="24"/>
        <v>59158.68</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v>0</v>
      </c>
      <c r="E126" s="42">
        <v>0</v>
      </c>
      <c r="F126" s="42">
        <v>0</v>
      </c>
      <c r="G126" s="42">
        <v>0</v>
      </c>
      <c r="H126" s="42">
        <v>7741.44</v>
      </c>
      <c r="I126" s="42">
        <v>7741.44</v>
      </c>
      <c r="J126" s="42">
        <f>7741.44*2</f>
        <v>15482.88</v>
      </c>
      <c r="K126" s="46">
        <f>SUM(D126:J126)</f>
        <v>30965.76</v>
      </c>
    </row>
    <row r="127" spans="1:11" ht="12.75">
      <c r="A127" s="5"/>
      <c r="B127" s="44" t="s">
        <v>75</v>
      </c>
      <c r="C127" s="44"/>
      <c r="D127" s="186"/>
      <c r="E127" s="186"/>
      <c r="F127" s="186"/>
      <c r="G127" s="186"/>
      <c r="H127" s="186"/>
      <c r="I127" s="186"/>
      <c r="J127" s="99"/>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7741.44</v>
      </c>
      <c r="I129" s="45">
        <f t="shared" si="25"/>
        <v>7741.44</v>
      </c>
      <c r="J129" s="45">
        <f t="shared" si="25"/>
        <v>15482.88</v>
      </c>
      <c r="K129" s="45">
        <f t="shared" si="25"/>
        <v>30965.76</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v>0</v>
      </c>
      <c r="E132" s="42">
        <v>0</v>
      </c>
      <c r="F132" s="42">
        <v>0</v>
      </c>
      <c r="G132" s="42">
        <v>0</v>
      </c>
      <c r="H132" s="42">
        <v>0</v>
      </c>
      <c r="I132" s="42">
        <v>0</v>
      </c>
      <c r="J132" s="42">
        <v>0</v>
      </c>
      <c r="K132" s="46">
        <f>SUM(D132:J132)</f>
        <v>0</v>
      </c>
    </row>
    <row r="133" spans="1:11" ht="12.75">
      <c r="A133" s="5"/>
      <c r="B133" s="44"/>
      <c r="C133" s="44"/>
      <c r="D133" s="186"/>
      <c r="E133" s="186"/>
      <c r="F133" s="186"/>
      <c r="G133" s="186"/>
      <c r="H133" s="186"/>
      <c r="I133" s="186"/>
      <c r="J133" s="99"/>
      <c r="K133" s="5"/>
    </row>
    <row r="134" spans="1:11" ht="12.75">
      <c r="A134" s="5"/>
      <c r="B134" s="41" t="s">
        <v>79</v>
      </c>
      <c r="C134" s="41"/>
      <c r="D134" s="42"/>
      <c r="E134" s="42"/>
      <c r="F134" s="42"/>
      <c r="G134" s="42">
        <v>52500</v>
      </c>
      <c r="H134" s="42">
        <v>5250</v>
      </c>
      <c r="I134" s="42">
        <v>0</v>
      </c>
      <c r="J134" s="42">
        <v>0</v>
      </c>
      <c r="K134" s="46">
        <f>SUM(D134:J134)</f>
        <v>57750</v>
      </c>
    </row>
    <row r="135" spans="1:11" ht="12.75">
      <c r="A135" s="5"/>
      <c r="B135" s="44" t="s">
        <v>80</v>
      </c>
      <c r="C135" s="44"/>
      <c r="D135" s="186"/>
      <c r="E135" s="186"/>
      <c r="F135" s="186"/>
      <c r="G135" s="186"/>
      <c r="H135" s="186"/>
      <c r="I135" s="186"/>
      <c r="J135" s="99"/>
      <c r="K135" s="5"/>
    </row>
    <row r="136" spans="1:11" ht="12.75">
      <c r="A136" s="5"/>
      <c r="B136" s="41" t="s">
        <v>81</v>
      </c>
      <c r="C136" s="41"/>
      <c r="D136" s="42"/>
      <c r="E136" s="42"/>
      <c r="F136" s="42"/>
      <c r="G136" s="42">
        <v>0</v>
      </c>
      <c r="H136" s="42"/>
      <c r="I136" s="42"/>
      <c r="J136" s="42"/>
      <c r="K136" s="46">
        <f>SUM(D136:J136)</f>
        <v>0</v>
      </c>
    </row>
    <row r="137" spans="1:11" ht="12.75">
      <c r="A137" s="5"/>
      <c r="B137" s="44"/>
      <c r="C137" s="44"/>
      <c r="D137" s="186"/>
      <c r="E137" s="186"/>
      <c r="F137" s="186"/>
      <c r="G137" s="186"/>
      <c r="H137" s="186"/>
      <c r="I137" s="186"/>
      <c r="J137" s="99"/>
      <c r="K137" s="5"/>
    </row>
    <row r="138" spans="1:11" ht="12.75">
      <c r="A138" s="5"/>
      <c r="B138" s="41" t="s">
        <v>82</v>
      </c>
      <c r="C138" s="41"/>
      <c r="D138" s="42"/>
      <c r="E138" s="42"/>
      <c r="F138" s="42"/>
      <c r="G138" s="42">
        <v>0</v>
      </c>
      <c r="H138" s="42">
        <v>19317.92</v>
      </c>
      <c r="I138" s="42">
        <v>31831.83</v>
      </c>
      <c r="J138" s="42">
        <f>31831.83*2</f>
        <v>63663.66</v>
      </c>
      <c r="K138" s="46">
        <f>SUM(D138:J138)</f>
        <v>114813.41</v>
      </c>
    </row>
    <row r="139" spans="1:11" ht="12.75">
      <c r="A139" s="5"/>
      <c r="B139" s="44" t="s">
        <v>83</v>
      </c>
      <c r="C139" s="44"/>
      <c r="D139" s="186"/>
      <c r="E139" s="186"/>
      <c r="F139" s="186"/>
      <c r="G139" s="186"/>
      <c r="H139" s="186"/>
      <c r="I139" s="186"/>
      <c r="J139" s="99"/>
      <c r="K139" s="5"/>
    </row>
    <row r="140" spans="1:11" ht="12.75">
      <c r="A140" s="5"/>
      <c r="B140" s="41" t="s">
        <v>84</v>
      </c>
      <c r="C140" s="41"/>
      <c r="D140" s="42"/>
      <c r="E140" s="42"/>
      <c r="F140" s="42"/>
      <c r="G140" s="42">
        <v>0</v>
      </c>
      <c r="H140" s="42">
        <v>12573.33</v>
      </c>
      <c r="I140" s="42">
        <v>12699.06</v>
      </c>
      <c r="J140" s="42">
        <f>25652.11+25908.63</f>
        <v>51560.740000000005</v>
      </c>
      <c r="K140" s="46">
        <f>SUM(D140:J140)</f>
        <v>76833.13</v>
      </c>
    </row>
    <row r="141" spans="1:11" ht="12.75">
      <c r="A141" s="5"/>
      <c r="B141" s="44"/>
      <c r="C141" s="44"/>
      <c r="D141" s="186"/>
      <c r="E141" s="186"/>
      <c r="F141" s="186"/>
      <c r="G141" s="186"/>
      <c r="H141" s="186"/>
      <c r="I141" s="186"/>
      <c r="J141" s="99"/>
      <c r="K141" s="5"/>
    </row>
    <row r="142" spans="1:11" ht="12.75">
      <c r="A142" s="5"/>
      <c r="B142" s="41" t="s">
        <v>85</v>
      </c>
      <c r="C142" s="41"/>
      <c r="D142" s="42"/>
      <c r="E142" s="42"/>
      <c r="F142" s="42"/>
      <c r="G142" s="42">
        <v>0</v>
      </c>
      <c r="H142" s="42">
        <v>22680</v>
      </c>
      <c r="I142" s="42">
        <v>22680</v>
      </c>
      <c r="J142" s="42">
        <f>22680*2</f>
        <v>45360</v>
      </c>
      <c r="K142" s="46">
        <f>SUM(D142:J142)</f>
        <v>90720</v>
      </c>
    </row>
    <row r="143" spans="1:11" ht="12.75">
      <c r="A143" s="5"/>
      <c r="B143" s="44"/>
      <c r="C143" s="44"/>
      <c r="D143" s="186"/>
      <c r="E143" s="186"/>
      <c r="F143" s="186"/>
      <c r="G143" s="186"/>
      <c r="H143" s="186"/>
      <c r="I143" s="186"/>
      <c r="J143" s="99"/>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0</v>
      </c>
      <c r="G145" s="45">
        <f t="shared" si="26"/>
        <v>52500</v>
      </c>
      <c r="H145" s="45">
        <f t="shared" si="26"/>
        <v>59821.25</v>
      </c>
      <c r="I145" s="45">
        <f t="shared" si="26"/>
        <v>67210.89</v>
      </c>
      <c r="J145" s="45">
        <f t="shared" si="26"/>
        <v>160584.40000000002</v>
      </c>
      <c r="K145" s="45">
        <f t="shared" si="26"/>
        <v>340116.54000000004</v>
      </c>
    </row>
    <row r="147" spans="2:11" ht="18.75" thickBot="1">
      <c r="B147" s="28" t="s">
        <v>87</v>
      </c>
      <c r="C147" s="28"/>
      <c r="D147" s="51">
        <f aca="true" t="shared" si="27" ref="D147:K147">SUM(D107,D113,D122,D129,D145)</f>
        <v>0</v>
      </c>
      <c r="E147" s="51">
        <f t="shared" si="27"/>
        <v>0</v>
      </c>
      <c r="F147" s="51">
        <f t="shared" si="27"/>
        <v>0</v>
      </c>
      <c r="G147" s="51">
        <f t="shared" si="27"/>
        <v>67289.67</v>
      </c>
      <c r="H147" s="51">
        <f t="shared" si="27"/>
        <v>82352.36</v>
      </c>
      <c r="I147" s="51">
        <f t="shared" si="27"/>
        <v>89742</v>
      </c>
      <c r="J147" s="51">
        <f t="shared" si="27"/>
        <v>190856.95</v>
      </c>
      <c r="K147" s="51">
        <f t="shared" si="27"/>
        <v>430240.98000000004</v>
      </c>
    </row>
    <row r="148" ht="13.5" thickTop="1"/>
  </sheetData>
  <sheetProtection formatColumns="0" selectLockedCells="1"/>
  <mergeCells count="26">
    <mergeCell ref="D88:I88"/>
    <mergeCell ref="D143:I143"/>
    <mergeCell ref="D135:I135"/>
    <mergeCell ref="D137:I137"/>
    <mergeCell ref="D120:I120"/>
    <mergeCell ref="D127:I127"/>
    <mergeCell ref="D133:I133"/>
    <mergeCell ref="D139:I139"/>
    <mergeCell ref="D141:I141"/>
    <mergeCell ref="D117:I117"/>
    <mergeCell ref="D106:I106"/>
    <mergeCell ref="D111:I111"/>
    <mergeCell ref="D94:I94"/>
    <mergeCell ref="D90:I90"/>
    <mergeCell ref="D92:I92"/>
    <mergeCell ref="D96:I96"/>
    <mergeCell ref="B1:I1"/>
    <mergeCell ref="D42:I42"/>
    <mergeCell ref="D54:I54"/>
    <mergeCell ref="D57:I57"/>
    <mergeCell ref="D44:I44"/>
    <mergeCell ref="D86:I86"/>
    <mergeCell ref="D46:I46"/>
    <mergeCell ref="D60:I60"/>
    <mergeCell ref="D70:I70"/>
    <mergeCell ref="D72:I72"/>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6299212598425197" bottom="0.4330708661417323" header="0.4724409448818898" footer="0.2362204724409449"/>
  <pageSetup fitToHeight="2" horizontalDpi="600" verticalDpi="600" orientation="landscape" scale="50" r:id="rId1"/>
  <headerFooter alignWithMargins="0">
    <oddHeader>&amp;R&amp;F&amp;A</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PageLayoutView="0" workbookViewId="0" topLeftCell="C44">
      <selection activeCell="A15" sqref="A15"/>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87" t="s">
        <v>88</v>
      </c>
      <c r="C1" s="187"/>
      <c r="D1" s="187"/>
      <c r="E1" s="187"/>
      <c r="F1" s="187"/>
      <c r="G1" s="187"/>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28" t="s">
        <v>93</v>
      </c>
      <c r="D10" s="128">
        <f aca="true" t="shared" si="0" ref="D10:I10">D29</f>
        <v>2007</v>
      </c>
      <c r="E10" s="128">
        <f t="shared" si="0"/>
        <v>2008</v>
      </c>
      <c r="F10" s="128">
        <f t="shared" si="0"/>
        <v>2009</v>
      </c>
      <c r="G10" s="128">
        <f t="shared" si="0"/>
        <v>2010</v>
      </c>
      <c r="H10" s="128">
        <f t="shared" si="0"/>
        <v>2011</v>
      </c>
      <c r="I10" s="128" t="str">
        <f t="shared" si="0"/>
        <v>Later</v>
      </c>
      <c r="J10" s="46"/>
      <c r="K10" s="46"/>
      <c r="L10" s="46"/>
    </row>
    <row r="11" spans="1:12" ht="15.75">
      <c r="A11" s="5"/>
      <c r="B11" s="52"/>
      <c r="C11" s="5"/>
      <c r="D11" s="5"/>
      <c r="E11" s="5"/>
      <c r="F11" s="5"/>
      <c r="G11" s="5"/>
      <c r="H11" s="46"/>
      <c r="I11" s="46"/>
      <c r="J11" s="46"/>
      <c r="K11" s="46"/>
      <c r="L11" s="46"/>
    </row>
    <row r="12" spans="1:12" ht="15.75">
      <c r="A12" s="5"/>
      <c r="B12" s="129" t="s">
        <v>156</v>
      </c>
      <c r="C12" s="108">
        <v>21861943</v>
      </c>
      <c r="D12" s="108">
        <v>21861943</v>
      </c>
      <c r="E12" s="108">
        <v>21861943</v>
      </c>
      <c r="F12" s="108">
        <v>21861943</v>
      </c>
      <c r="G12" s="108">
        <v>21861943</v>
      </c>
      <c r="H12" s="108">
        <v>21861943</v>
      </c>
      <c r="I12" s="108">
        <v>21861943</v>
      </c>
      <c r="J12" s="46"/>
      <c r="K12" s="46"/>
      <c r="L12" s="46"/>
    </row>
    <row r="13" ht="12.75"/>
    <row r="14" spans="1:12" ht="12.75">
      <c r="A14" s="5"/>
      <c r="B14" s="54" t="s">
        <v>254</v>
      </c>
      <c r="C14" s="5"/>
      <c r="D14"/>
      <c r="E14" s="159">
        <v>0.04</v>
      </c>
      <c r="F14" s="159">
        <v>0.04</v>
      </c>
      <c r="G14" s="159">
        <v>0.04</v>
      </c>
      <c r="H14" s="159">
        <v>0.04</v>
      </c>
      <c r="I14" s="159">
        <v>0.04</v>
      </c>
      <c r="J14" s="46"/>
      <c r="K14" s="46"/>
      <c r="L14" s="46"/>
    </row>
    <row r="15" spans="1:12" ht="12.75">
      <c r="A15" s="5"/>
      <c r="B15" s="54" t="s">
        <v>196</v>
      </c>
      <c r="C15" s="160">
        <v>0.5</v>
      </c>
      <c r="D15" s="160">
        <v>0.5</v>
      </c>
      <c r="E15" s="161">
        <f>53.3%-4%</f>
        <v>0.49299999999999994</v>
      </c>
      <c r="F15" s="160">
        <f>56.7%-4%</f>
        <v>0.527</v>
      </c>
      <c r="G15" s="160">
        <f>60%-4%</f>
        <v>0.5599999999999999</v>
      </c>
      <c r="H15" s="160">
        <f>60%-4%</f>
        <v>0.5599999999999999</v>
      </c>
      <c r="I15" s="160">
        <f>60%-4%</f>
        <v>0.5599999999999999</v>
      </c>
      <c r="J15" s="46"/>
      <c r="K15" s="46"/>
      <c r="L15" s="5"/>
    </row>
    <row r="16" spans="1:12" ht="12.75">
      <c r="A16" s="5"/>
      <c r="B16" s="54" t="s">
        <v>197</v>
      </c>
      <c r="C16" s="162">
        <f>1-C15</f>
        <v>0.5</v>
      </c>
      <c r="D16" s="162">
        <f>1-D15</f>
        <v>0.5</v>
      </c>
      <c r="E16" s="162">
        <f>1-E15-E14</f>
        <v>0.46700000000000014</v>
      </c>
      <c r="F16" s="162">
        <f>1-F15-F14</f>
        <v>0.433</v>
      </c>
      <c r="G16" s="162">
        <f>1-G15-G14</f>
        <v>0.4000000000000001</v>
      </c>
      <c r="H16" s="162">
        <f>1-H15-H14</f>
        <v>0.4000000000000001</v>
      </c>
      <c r="I16" s="162">
        <f>1-I15-I14</f>
        <v>0.4000000000000001</v>
      </c>
      <c r="J16" s="46"/>
      <c r="K16" s="46"/>
      <c r="L16" s="5"/>
    </row>
    <row r="17" ht="12.75"/>
    <row r="18" spans="1:12" ht="12.75">
      <c r="A18" s="5"/>
      <c r="B18" s="54" t="s">
        <v>255</v>
      </c>
      <c r="C18" s="109"/>
      <c r="D18" s="109"/>
      <c r="E18" s="145">
        <v>0.0447</v>
      </c>
      <c r="F18" s="145">
        <v>0.0113</v>
      </c>
      <c r="G18" s="145">
        <v>0.0113</v>
      </c>
      <c r="H18" s="145">
        <v>0.0113</v>
      </c>
      <c r="I18" s="145">
        <v>0.0113</v>
      </c>
      <c r="J18" s="46"/>
      <c r="K18" s="46"/>
      <c r="L18" s="5"/>
    </row>
    <row r="19" spans="1:12" ht="12.75">
      <c r="A19" s="5"/>
      <c r="B19" s="54" t="s">
        <v>198</v>
      </c>
      <c r="C19" s="110">
        <v>0.06756</v>
      </c>
      <c r="D19" s="110">
        <v>0.06756</v>
      </c>
      <c r="E19" s="110">
        <v>0.06756</v>
      </c>
      <c r="F19" s="110">
        <v>0.06756</v>
      </c>
      <c r="G19" s="110">
        <v>0.06756</v>
      </c>
      <c r="H19" s="110">
        <v>0.06756</v>
      </c>
      <c r="I19" s="110">
        <v>0.06756</v>
      </c>
      <c r="J19" s="46"/>
      <c r="K19" s="46"/>
      <c r="L19" s="5"/>
    </row>
    <row r="20" spans="1:12" ht="13.5" customHeight="1">
      <c r="A20" s="5"/>
      <c r="B20" s="54" t="s">
        <v>199</v>
      </c>
      <c r="C20" s="110">
        <v>0.09</v>
      </c>
      <c r="D20" s="110">
        <v>0.09</v>
      </c>
      <c r="E20" s="110">
        <v>0.0857</v>
      </c>
      <c r="F20" s="110">
        <v>0.0801</v>
      </c>
      <c r="G20" s="110">
        <v>0.0801</v>
      </c>
      <c r="H20" s="110">
        <v>0.0801</v>
      </c>
      <c r="I20" s="110">
        <v>0.0801</v>
      </c>
      <c r="J20" s="5"/>
      <c r="K20" s="5"/>
      <c r="L20" s="5"/>
    </row>
    <row r="21" spans="1:12" ht="18" customHeight="1">
      <c r="A21" s="5"/>
      <c r="B21" s="55" t="s">
        <v>94</v>
      </c>
      <c r="C21" s="114">
        <f>(C19*C15)+(C16*C20)</f>
        <v>0.07877999999999999</v>
      </c>
      <c r="D21" s="114">
        <f>(D19*D15)+(D16*D20)</f>
        <v>0.07877999999999999</v>
      </c>
      <c r="E21" s="114">
        <f>(E14*E18)+(E15*E19)+(E16*E20)</f>
        <v>0.07511698</v>
      </c>
      <c r="F21" s="114">
        <f>(F14*F18)+(F15*F19)+(F16*F20)</f>
        <v>0.07073942</v>
      </c>
      <c r="G21" s="114">
        <f>(G14*G18)+(G15*G19)+(G16*G20)</f>
        <v>0.0703256</v>
      </c>
      <c r="H21" s="114">
        <f>(H14*H18)+(H15*H19)+(H16*H20)</f>
        <v>0.0703256</v>
      </c>
      <c r="I21" s="114">
        <f>(I14*I18)+(I15*I19)+(I16*I20)</f>
        <v>0.0703256</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110">
        <v>0.15</v>
      </c>
      <c r="D23" s="110">
        <v>0.15</v>
      </c>
      <c r="E23" s="110">
        <v>0.15</v>
      </c>
      <c r="F23" s="110">
        <v>0.15</v>
      </c>
      <c r="G23" s="110">
        <v>0.15</v>
      </c>
      <c r="H23" s="110">
        <v>0.15</v>
      </c>
      <c r="I23" s="110">
        <v>0.15</v>
      </c>
      <c r="J23" s="5"/>
      <c r="K23" s="5"/>
      <c r="L23" s="5"/>
    </row>
    <row r="24" spans="1:12" ht="18" customHeight="1">
      <c r="A24" s="5"/>
      <c r="B24" s="55"/>
      <c r="C24" s="56"/>
      <c r="D24" s="56"/>
      <c r="E24" s="56"/>
      <c r="F24" s="56"/>
      <c r="G24" s="56"/>
      <c r="H24" s="56"/>
      <c r="I24" s="56"/>
      <c r="J24" s="5"/>
      <c r="K24" s="5"/>
      <c r="L24" s="5"/>
    </row>
    <row r="25" spans="1:12" ht="12.75">
      <c r="A25" s="5"/>
      <c r="B25" s="34" t="s">
        <v>96</v>
      </c>
      <c r="C25" s="63"/>
      <c r="D25" s="63"/>
      <c r="E25" s="63"/>
      <c r="F25" s="63"/>
      <c r="G25" s="63"/>
      <c r="H25" s="63"/>
      <c r="I25" s="63"/>
      <c r="J25" s="5"/>
      <c r="K25" s="5"/>
      <c r="L25" s="5"/>
    </row>
    <row r="26" spans="1:12" ht="12.75">
      <c r="A26" s="5"/>
      <c r="B26" s="54" t="s">
        <v>97</v>
      </c>
      <c r="C26" s="110">
        <v>0.3612</v>
      </c>
      <c r="D26" s="110">
        <v>0.3612</v>
      </c>
      <c r="E26" s="110">
        <v>0.335</v>
      </c>
      <c r="F26" s="110">
        <v>0.33</v>
      </c>
      <c r="G26" s="110">
        <v>0.32</v>
      </c>
      <c r="H26" s="110">
        <v>0.305</v>
      </c>
      <c r="I26" s="110">
        <v>0.29</v>
      </c>
      <c r="J26" s="5"/>
      <c r="K26" s="5"/>
      <c r="L26" s="5"/>
    </row>
    <row r="27" spans="1:12" ht="12.75">
      <c r="A27" s="5"/>
      <c r="B27" s="29" t="s">
        <v>98</v>
      </c>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200</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Actual</v>
      </c>
      <c r="F30" s="24" t="str">
        <f>'2. Smart Meter Data'!G5</f>
        <v>Forecasted</v>
      </c>
      <c r="G30" s="24" t="str">
        <f>'2. Smart Meter Data'!H5</f>
        <v>Forecasted</v>
      </c>
      <c r="H30" s="24" t="str">
        <f>'2. Smart Meter Data'!I5</f>
        <v>Forecasted</v>
      </c>
      <c r="I30" s="24" t="str">
        <f>'2. Smart Meter Data'!J5</f>
        <v>Forecasted</v>
      </c>
      <c r="J30" s="24"/>
      <c r="K30" s="5"/>
      <c r="L30" s="5"/>
      <c r="M30" s="5"/>
    </row>
    <row r="31" spans="1:13" ht="12.75">
      <c r="A31" s="5"/>
      <c r="B31" s="31" t="s">
        <v>8</v>
      </c>
      <c r="C31" s="115">
        <f>SUMIF('2. Smart Meter Data'!$C:$J,"Smart Meter",'2. Smart Meter Data'!D:D)</f>
        <v>0</v>
      </c>
      <c r="D31" s="115">
        <f>SUMIF('2. Smart Meter Data'!$C:$J,"Smart Meter",'2. Smart Meter Data'!E:E)</f>
        <v>0</v>
      </c>
      <c r="E31" s="115">
        <f>SUMIF('2. Smart Meter Data'!$C:$J,"Smart Meter",'2. Smart Meter Data'!F:F)</f>
        <v>0</v>
      </c>
      <c r="F31" s="115">
        <f>SUMIF('2. Smart Meter Data'!$C:$J,"Smart Meter",'2. Smart Meter Data'!G:G)</f>
        <v>1644979.28</v>
      </c>
      <c r="G31" s="115">
        <f>SUMIF('2. Smart Meter Data'!$C:$J,"Smart Meter",'2. Smart Meter Data'!H:H)</f>
        <v>487623.55000000005</v>
      </c>
      <c r="H31" s="115">
        <f>SUMIF('2. Smart Meter Data'!$C:$J,"Smart Meter",'2. Smart Meter Data'!I:I)</f>
        <v>14813.61</v>
      </c>
      <c r="I31" s="115">
        <f>SUMIF('2. Smart Meter Data'!$C:$J,"Smart Meter",'2. Smart Meter Data'!J:J)</f>
        <v>29627.22</v>
      </c>
      <c r="J31" s="116">
        <f>SUM(C31:H31)</f>
        <v>2147416.44</v>
      </c>
      <c r="K31" s="5"/>
      <c r="L31" s="5"/>
      <c r="M31" s="5"/>
    </row>
    <row r="32" spans="1:13" ht="12.75">
      <c r="A32" s="5"/>
      <c r="B32" s="31" t="s">
        <v>99</v>
      </c>
      <c r="C32" s="115">
        <f>SUMIF('2. Smart Meter Data'!$C:$J,"Comp. Hard.",'2. Smart Meter Data'!D:D)</f>
        <v>0</v>
      </c>
      <c r="D32" s="115">
        <f>SUMIF('2. Smart Meter Data'!$C:$J,"Comp. Hard.",'2. Smart Meter Data'!E:E)</f>
        <v>0</v>
      </c>
      <c r="E32" s="115">
        <f>SUMIF('2. Smart Meter Data'!$C:$J,"Comp. Hard.",'2. Smart Meter Data'!F:F)</f>
        <v>0</v>
      </c>
      <c r="F32" s="115">
        <f>SUMIF('2. Smart Meter Data'!$C:$J,"Comp. Hard.",'2. Smart Meter Data'!G:G)</f>
        <v>3864</v>
      </c>
      <c r="G32" s="115">
        <f>SUMIF('2. Smart Meter Data'!$C:$J,"Comp. Hard.",'2. Smart Meter Data'!H:H)</f>
        <v>3864</v>
      </c>
      <c r="H32" s="115">
        <f>SUMIF('2. Smart Meter Data'!$C:$J,"Comp. Hard.",'2. Smart Meter Data'!I:I)</f>
        <v>0</v>
      </c>
      <c r="I32" s="115">
        <f>SUMIF('2. Smart Meter Data'!$C:$J,"Comp. Hard.",'2. Smart Meter Data'!J:J)</f>
        <v>0</v>
      </c>
      <c r="J32" s="116">
        <f>SUM(C32:H32)</f>
        <v>7728</v>
      </c>
      <c r="K32" s="5"/>
      <c r="L32" s="5"/>
      <c r="M32" s="5"/>
    </row>
    <row r="33" spans="1:13" ht="12.75">
      <c r="A33" s="5"/>
      <c r="B33" s="31" t="s">
        <v>100</v>
      </c>
      <c r="C33" s="115">
        <f>SUMIF('2. Smart Meter Data'!$C:$J,"Comp. Soft.",'2. Smart Meter Data'!D:D)</f>
        <v>0</v>
      </c>
      <c r="D33" s="115">
        <f>SUMIF('2. Smart Meter Data'!$C:$J,"Comp. Soft.",'2. Smart Meter Data'!E:E)</f>
        <v>0</v>
      </c>
      <c r="E33" s="115">
        <f>SUMIF('2. Smart Meter Data'!$C:$J,"Comp. Soft.",'2. Smart Meter Data'!F:F)</f>
        <v>0</v>
      </c>
      <c r="F33" s="115">
        <f>SUMIF('2. Smart Meter Data'!$C:$J,"Comp. Soft.",'2. Smart Meter Data'!G:G)</f>
        <v>163104.14</v>
      </c>
      <c r="G33" s="115">
        <f>SUMIF('2. Smart Meter Data'!$C:$J,"Comp. Soft.",'2. Smart Meter Data'!H:H)</f>
        <v>227529.98</v>
      </c>
      <c r="H33" s="115">
        <f>SUMIF('2. Smart Meter Data'!$C:$J,"Comp. Soft.",'2. Smart Meter Data'!I:I)</f>
        <v>0</v>
      </c>
      <c r="I33" s="115">
        <f>SUMIF('2. Smart Meter Data'!$C:$J,"Comp. Soft.",'2. Smart Meter Data'!J:J)</f>
        <v>0</v>
      </c>
      <c r="J33" s="116">
        <f>SUM(C33:H33)</f>
        <v>390634.12</v>
      </c>
      <c r="K33" s="5"/>
      <c r="L33" s="5"/>
      <c r="M33" s="5"/>
    </row>
    <row r="34" spans="1:13" ht="12.75">
      <c r="A34" s="5"/>
      <c r="B34" s="31" t="s">
        <v>11</v>
      </c>
      <c r="C34" s="115">
        <f>SUMIF('2. Smart Meter Data'!$C:$J,"Tools &amp; Equip",'2. Smart Meter Data'!D:D)</f>
        <v>0</v>
      </c>
      <c r="D34" s="115">
        <f>SUMIF('2. Smart Meter Data'!$C:$J,"Tools &amp; Equip",'2. Smart Meter Data'!E:E)</f>
        <v>0</v>
      </c>
      <c r="E34" s="115">
        <f>SUMIF('2. Smart Meter Data'!$C:$J,"Tools &amp; Equip",'2. Smart Meter Data'!F:F)</f>
        <v>0</v>
      </c>
      <c r="F34" s="115">
        <f>SUMIF('2. Smart Meter Data'!$C:$J,"Tools &amp; Equip",'2. Smart Meter Data'!G:G)</f>
        <v>0</v>
      </c>
      <c r="G34" s="115">
        <f>SUMIF('2. Smart Meter Data'!$C:$J,"Tools &amp; Equip",'2. Smart Meter Data'!H:H)</f>
        <v>0</v>
      </c>
      <c r="H34" s="115">
        <f>SUMIF('2. Smart Meter Data'!$C:$J,"Tools &amp; Equip",'2. Smart Meter Data'!I:I)</f>
        <v>0</v>
      </c>
      <c r="I34" s="115">
        <f>SUMIF('2. Smart Meter Data'!$C:$J,"Tools &amp; Equip",'2. Smart Meter Data'!J:J)</f>
        <v>0</v>
      </c>
      <c r="J34" s="116">
        <f>SUM(C34:H34)</f>
        <v>0</v>
      </c>
      <c r="K34" s="5"/>
      <c r="L34" s="5"/>
      <c r="M34" s="5"/>
    </row>
    <row r="35" spans="1:13" ht="12.75">
      <c r="A35" s="5"/>
      <c r="B35" s="31" t="s">
        <v>13</v>
      </c>
      <c r="C35" s="115">
        <f>SUMIF('2. Smart Meter Data'!$C:$J,"Other Equip.",'2. Smart Meter Data'!D:D)</f>
        <v>0</v>
      </c>
      <c r="D35" s="115">
        <f>SUMIF('2. Smart Meter Data'!$C:$J,"Other Equip.",'2. Smart Meter Data'!E:E)</f>
        <v>0</v>
      </c>
      <c r="E35" s="115">
        <f>SUMIF('2. Smart Meter Data'!$C:$J,"Other Equip.",'2. Smart Meter Data'!F:F)</f>
        <v>0</v>
      </c>
      <c r="F35" s="115">
        <f>SUMIF('2. Smart Meter Data'!$C:$J,"Other Equip.",'2. Smart Meter Data'!G:G)</f>
        <v>0</v>
      </c>
      <c r="G35" s="115">
        <f>SUMIF('2. Smart Meter Data'!$C:$J,"Other Equip.",'2. Smart Meter Data'!H:H)</f>
        <v>0</v>
      </c>
      <c r="H35" s="115">
        <f>SUMIF('2. Smart Meter Data'!$C:$J,"Other Equip.",'2. Smart Meter Data'!I:I)</f>
        <v>0</v>
      </c>
      <c r="I35" s="115">
        <f>SUMIF('2. Smart Meter Data'!$C:$J,"Other Equip.",'2. Smart Meter Data'!J:J)</f>
        <v>0</v>
      </c>
      <c r="J35" s="116">
        <f>SUM(C35:H35)</f>
        <v>0</v>
      </c>
      <c r="K35" s="5"/>
      <c r="L35" s="5"/>
      <c r="M35" s="5"/>
    </row>
    <row r="36" spans="1:13" ht="13.5" thickBot="1">
      <c r="A36" s="5"/>
      <c r="B36" s="55" t="s">
        <v>60</v>
      </c>
      <c r="C36" s="117">
        <f aca="true" t="shared" si="1" ref="C36:J36">SUM(C31:C33)</f>
        <v>0</v>
      </c>
      <c r="D36" s="117">
        <f t="shared" si="1"/>
        <v>0</v>
      </c>
      <c r="E36" s="117">
        <f t="shared" si="1"/>
        <v>0</v>
      </c>
      <c r="F36" s="117">
        <f t="shared" si="1"/>
        <v>1811947.42</v>
      </c>
      <c r="G36" s="117">
        <f t="shared" si="1"/>
        <v>719017.53</v>
      </c>
      <c r="H36" s="117">
        <f t="shared" si="1"/>
        <v>14813.61</v>
      </c>
      <c r="I36" s="117">
        <f t="shared" si="1"/>
        <v>29627.22</v>
      </c>
      <c r="J36" s="117">
        <f t="shared" si="1"/>
        <v>2545778.56</v>
      </c>
      <c r="K36" s="5"/>
      <c r="L36" s="5"/>
      <c r="M36" s="5"/>
    </row>
    <row r="37" spans="1:13" ht="12.75">
      <c r="A37" s="5"/>
      <c r="B37" s="5"/>
      <c r="C37" s="112">
        <f>'2. Smart Meter Data'!D99-C36</f>
        <v>0</v>
      </c>
      <c r="D37" s="112">
        <f>'2. Smart Meter Data'!E99-D36</f>
        <v>0</v>
      </c>
      <c r="E37" s="112">
        <f>'2. Smart Meter Data'!F99-E36</f>
        <v>0</v>
      </c>
      <c r="F37" s="112">
        <f>'2. Smart Meter Data'!G99-F36</f>
        <v>0</v>
      </c>
      <c r="G37" s="112">
        <f>'2. Smart Meter Data'!H99-G36</f>
        <v>0</v>
      </c>
      <c r="H37" s="112">
        <f>'2. Smart Meter Data'!I99-H36</f>
        <v>0</v>
      </c>
      <c r="I37" s="112">
        <f>'2. Smart Meter Data'!J99-I36</f>
        <v>0</v>
      </c>
      <c r="J37" s="112">
        <f>'2. Smart Meter Data'!K99-J36</f>
        <v>29627.220000000205</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101</v>
      </c>
      <c r="C40" s="24" t="str">
        <f>C30</f>
        <v>Audited Actual</v>
      </c>
      <c r="D40" s="24" t="str">
        <f aca="true" t="shared" si="3" ref="D40:I40">D30</f>
        <v>Audited Actual</v>
      </c>
      <c r="E40" s="24" t="str">
        <f t="shared" si="3"/>
        <v>Actual</v>
      </c>
      <c r="F40" s="24" t="str">
        <f t="shared" si="3"/>
        <v>Forecasted</v>
      </c>
      <c r="G40" s="24" t="str">
        <f t="shared" si="3"/>
        <v>Forecasted</v>
      </c>
      <c r="H40" s="24" t="str">
        <f t="shared" si="3"/>
        <v>Forecasted</v>
      </c>
      <c r="I40" s="24" t="str">
        <f t="shared" si="3"/>
        <v>Forecasted</v>
      </c>
      <c r="J40" s="24"/>
      <c r="K40" s="5"/>
      <c r="L40" s="5"/>
      <c r="M40" s="5"/>
    </row>
    <row r="41" spans="1:13" ht="12.75">
      <c r="A41" s="5"/>
      <c r="B41" s="57" t="s">
        <v>102</v>
      </c>
      <c r="C41" s="118">
        <f>'2. Smart Meter Data'!D107</f>
        <v>0</v>
      </c>
      <c r="D41" s="118">
        <f>'2. Smart Meter Data'!E107</f>
        <v>0</v>
      </c>
      <c r="E41" s="118">
        <f>'2. Smart Meter Data'!F107</f>
        <v>0</v>
      </c>
      <c r="F41" s="118">
        <f>'2. Smart Meter Data'!G107</f>
        <v>0</v>
      </c>
      <c r="G41" s="118">
        <f>'2. Smart Meter Data'!H107</f>
        <v>0</v>
      </c>
      <c r="H41" s="118">
        <f>'2. Smart Meter Data'!I107</f>
        <v>0</v>
      </c>
      <c r="I41" s="118">
        <f>'2. Smart Meter Data'!J107</f>
        <v>0</v>
      </c>
      <c r="J41" s="116">
        <f>SUM(C41:H41)</f>
        <v>0</v>
      </c>
      <c r="K41" s="5"/>
      <c r="L41" s="5"/>
      <c r="M41" s="5"/>
    </row>
    <row r="42" spans="1:13" ht="12.75">
      <c r="A42" s="5"/>
      <c r="B42" s="57" t="s">
        <v>103</v>
      </c>
      <c r="C42" s="118">
        <f>'2. Smart Meter Data'!D113</f>
        <v>0</v>
      </c>
      <c r="D42" s="118">
        <f>'2. Smart Meter Data'!E113</f>
        <v>0</v>
      </c>
      <c r="E42" s="118">
        <f>'2. Smart Meter Data'!F113</f>
        <v>0</v>
      </c>
      <c r="F42" s="118">
        <f>'2. Smart Meter Data'!G113</f>
        <v>0</v>
      </c>
      <c r="G42" s="118">
        <f>'2. Smart Meter Data'!H113</f>
        <v>0</v>
      </c>
      <c r="H42" s="118">
        <f>'2. Smart Meter Data'!I113</f>
        <v>0</v>
      </c>
      <c r="I42" s="118">
        <f>'2. Smart Meter Data'!J113</f>
        <v>0</v>
      </c>
      <c r="J42" s="116">
        <f>SUM(C42:H42)</f>
        <v>0</v>
      </c>
      <c r="K42" s="5"/>
      <c r="L42" s="5"/>
      <c r="M42" s="5"/>
    </row>
    <row r="43" spans="1:13" ht="12.75">
      <c r="A43" s="5"/>
      <c r="B43" s="57" t="s">
        <v>104</v>
      </c>
      <c r="C43" s="118">
        <f>'2. Smart Meter Data'!D122</f>
        <v>0</v>
      </c>
      <c r="D43" s="118">
        <f>'2. Smart Meter Data'!E122</f>
        <v>0</v>
      </c>
      <c r="E43" s="118">
        <f>'2. Smart Meter Data'!F122</f>
        <v>0</v>
      </c>
      <c r="F43" s="118">
        <f>'2. Smart Meter Data'!G122</f>
        <v>14789.67</v>
      </c>
      <c r="G43" s="118">
        <f>'2. Smart Meter Data'!H122</f>
        <v>14789.67</v>
      </c>
      <c r="H43" s="118">
        <f>'2. Smart Meter Data'!I122</f>
        <v>14789.67</v>
      </c>
      <c r="I43" s="118">
        <f>'2. Smart Meter Data'!J122</f>
        <v>14789.67</v>
      </c>
      <c r="J43" s="116">
        <f>SUM(C43:H43)</f>
        <v>44369.01</v>
      </c>
      <c r="K43" s="5"/>
      <c r="L43" s="5"/>
      <c r="M43" s="5"/>
    </row>
    <row r="44" spans="1:13" ht="12.75">
      <c r="A44" s="5"/>
      <c r="B44" s="57" t="s">
        <v>105</v>
      </c>
      <c r="C44" s="118">
        <f>'2. Smart Meter Data'!D129</f>
        <v>0</v>
      </c>
      <c r="D44" s="118">
        <f>'2. Smart Meter Data'!E129</f>
        <v>0</v>
      </c>
      <c r="E44" s="118">
        <f>'2. Smart Meter Data'!F129</f>
        <v>0</v>
      </c>
      <c r="F44" s="118">
        <f>'2. Smart Meter Data'!G129</f>
        <v>0</v>
      </c>
      <c r="G44" s="118">
        <f>'2. Smart Meter Data'!H129</f>
        <v>7741.44</v>
      </c>
      <c r="H44" s="118">
        <f>'2. Smart Meter Data'!I129</f>
        <v>7741.44</v>
      </c>
      <c r="I44" s="118">
        <f>'2. Smart Meter Data'!J129</f>
        <v>15482.88</v>
      </c>
      <c r="J44" s="116">
        <f>SUM(C44:H44)</f>
        <v>15482.88</v>
      </c>
      <c r="K44" s="5"/>
      <c r="L44" s="5"/>
      <c r="M44" s="5"/>
    </row>
    <row r="45" spans="1:13" ht="12.75">
      <c r="A45" s="5"/>
      <c r="B45" s="57" t="s">
        <v>106</v>
      </c>
      <c r="C45" s="118">
        <f>'2. Smart Meter Data'!D145</f>
        <v>0</v>
      </c>
      <c r="D45" s="118">
        <f>'2. Smart Meter Data'!E145</f>
        <v>0</v>
      </c>
      <c r="E45" s="118">
        <f>'2. Smart Meter Data'!F145</f>
        <v>0</v>
      </c>
      <c r="F45" s="118">
        <f>'2. Smart Meter Data'!G145</f>
        <v>52500</v>
      </c>
      <c r="G45" s="118">
        <f>'2. Smart Meter Data'!H145</f>
        <v>59821.25</v>
      </c>
      <c r="H45" s="118">
        <f>'2. Smart Meter Data'!I145</f>
        <v>67210.89</v>
      </c>
      <c r="I45" s="118">
        <f>'2. Smart Meter Data'!J145</f>
        <v>160584.40000000002</v>
      </c>
      <c r="J45" s="116">
        <f>SUM(C45:H45)</f>
        <v>179532.14</v>
      </c>
      <c r="K45" s="5"/>
      <c r="L45" s="5"/>
      <c r="M45" s="5"/>
    </row>
    <row r="46" spans="1:13" ht="13.5" thickBot="1">
      <c r="A46" s="5"/>
      <c r="B46" s="54" t="s">
        <v>87</v>
      </c>
      <c r="C46" s="119">
        <f aca="true" t="shared" si="4" ref="C46:J46">SUM(C41:C45)</f>
        <v>0</v>
      </c>
      <c r="D46" s="119">
        <f t="shared" si="4"/>
        <v>0</v>
      </c>
      <c r="E46" s="119">
        <f t="shared" si="4"/>
        <v>0</v>
      </c>
      <c r="F46" s="120">
        <f t="shared" si="4"/>
        <v>67289.67</v>
      </c>
      <c r="G46" s="120">
        <f t="shared" si="4"/>
        <v>82352.36</v>
      </c>
      <c r="H46" s="120">
        <f t="shared" si="4"/>
        <v>89742</v>
      </c>
      <c r="I46" s="120">
        <f t="shared" si="4"/>
        <v>190856.95</v>
      </c>
      <c r="J46" s="120">
        <f t="shared" si="4"/>
        <v>239384.03000000003</v>
      </c>
      <c r="K46" s="5"/>
      <c r="L46" s="5"/>
      <c r="M46" s="5"/>
    </row>
    <row r="47" spans="1:12" ht="12.75">
      <c r="A47" s="5"/>
      <c r="B47" s="5"/>
      <c r="C47" s="113">
        <f>'2. Smart Meter Data'!D147-C46</f>
        <v>0</v>
      </c>
      <c r="D47" s="113">
        <f>'2. Smart Meter Data'!E147-D46</f>
        <v>0</v>
      </c>
      <c r="E47" s="113">
        <f>'2. Smart Meter Data'!F147-E46</f>
        <v>0</v>
      </c>
      <c r="F47" s="113">
        <f>'2. Smart Meter Data'!G147-F46</f>
        <v>0</v>
      </c>
      <c r="G47" s="113">
        <f>'2. Smart Meter Data'!H147-G46</f>
        <v>0</v>
      </c>
      <c r="H47" s="113">
        <f>'2. Smart Meter Data'!I147-H46</f>
        <v>0</v>
      </c>
      <c r="I47" s="113">
        <f>'2. Smart Meter Data'!J147-I46</f>
        <v>0</v>
      </c>
      <c r="J47" s="113">
        <f>'2. Smart Meter Data'!K147-J46</f>
        <v>190856.95</v>
      </c>
      <c r="K47" s="5"/>
      <c r="L47" s="5"/>
    </row>
    <row r="48" spans="1:12" ht="12.75">
      <c r="A48" s="5"/>
      <c r="B48" s="5"/>
      <c r="C48" s="5"/>
      <c r="D48" s="5"/>
      <c r="E48" s="5"/>
      <c r="F48" s="5"/>
      <c r="G48" s="5"/>
      <c r="H48" s="5"/>
      <c r="I48" s="5"/>
      <c r="J48" s="5"/>
      <c r="K48" s="5"/>
      <c r="L48" s="5"/>
    </row>
    <row r="49" spans="1:12" ht="15.75">
      <c r="A49" s="5"/>
      <c r="B49" s="52" t="s">
        <v>107</v>
      </c>
      <c r="C49" s="30" t="s">
        <v>108</v>
      </c>
      <c r="D49" s="30" t="s">
        <v>109</v>
      </c>
      <c r="E49" s="30" t="s">
        <v>110</v>
      </c>
      <c r="F49" s="30" t="s">
        <v>111</v>
      </c>
      <c r="G49" s="5"/>
      <c r="H49" s="5"/>
      <c r="I49" s="5"/>
      <c r="J49" s="5"/>
      <c r="K49" s="5"/>
      <c r="L49" s="5"/>
    </row>
    <row r="50" spans="1:12" ht="12.75">
      <c r="A50" s="5"/>
      <c r="B50" s="31" t="s">
        <v>112</v>
      </c>
      <c r="C50" s="121">
        <f aca="true" t="shared" si="5" ref="C50:C55">IF(ISERROR(E50/D50),0,E50/D50)</f>
        <v>146.8821094391245</v>
      </c>
      <c r="D50" s="122">
        <f>'2. Smart Meter Data'!K10</f>
        <v>14620</v>
      </c>
      <c r="E50" s="116">
        <f>J31</f>
        <v>2147416.44</v>
      </c>
      <c r="F50" s="123">
        <f aca="true" t="shared" si="6" ref="F50:F55">IF(ISERROR(E50/$E$56),0,E50/$E$56)</f>
        <v>0.7710201363863645</v>
      </c>
      <c r="G50" s="5"/>
      <c r="H50" s="5"/>
      <c r="I50" s="5"/>
      <c r="J50" s="5"/>
      <c r="K50" s="5"/>
      <c r="L50" s="5"/>
    </row>
    <row r="51" spans="1:12" ht="12.75">
      <c r="A51" s="5"/>
      <c r="B51" s="31" t="s">
        <v>113</v>
      </c>
      <c r="C51" s="121">
        <f t="shared" si="5"/>
        <v>0.5285909712722299</v>
      </c>
      <c r="D51" s="122">
        <f>D50</f>
        <v>14620</v>
      </c>
      <c r="E51" s="116">
        <f>J32</f>
        <v>7728</v>
      </c>
      <c r="F51" s="123">
        <f t="shared" si="6"/>
        <v>0.0027747033612138244</v>
      </c>
      <c r="G51" s="5"/>
      <c r="H51" s="5"/>
      <c r="I51" s="5"/>
      <c r="J51" s="5"/>
      <c r="K51" s="5"/>
      <c r="L51" s="5"/>
    </row>
    <row r="52" spans="1:12" ht="12.75">
      <c r="A52" s="5"/>
      <c r="B52" s="31" t="s">
        <v>114</v>
      </c>
      <c r="C52" s="121">
        <f t="shared" si="5"/>
        <v>26.719160054719563</v>
      </c>
      <c r="D52" s="122">
        <f>D51</f>
        <v>14620</v>
      </c>
      <c r="E52" s="116">
        <f>J33</f>
        <v>390634.12</v>
      </c>
      <c r="F52" s="123">
        <f t="shared" si="6"/>
        <v>0.1402554096491724</v>
      </c>
      <c r="G52" s="5"/>
      <c r="H52" s="5"/>
      <c r="I52" s="5"/>
      <c r="J52" s="5"/>
      <c r="K52" s="5"/>
      <c r="L52" s="5"/>
    </row>
    <row r="53" spans="1:12" ht="12.75">
      <c r="A53" s="5"/>
      <c r="B53" s="31" t="s">
        <v>11</v>
      </c>
      <c r="C53" s="121">
        <f t="shared" si="5"/>
        <v>0</v>
      </c>
      <c r="D53" s="122">
        <f>D52</f>
        <v>14620</v>
      </c>
      <c r="E53" s="116">
        <f>J34</f>
        <v>0</v>
      </c>
      <c r="F53" s="123">
        <f t="shared" si="6"/>
        <v>0</v>
      </c>
      <c r="G53" s="5"/>
      <c r="H53" s="5"/>
      <c r="I53" s="5"/>
      <c r="J53" s="5"/>
      <c r="K53" s="5"/>
      <c r="L53" s="5"/>
    </row>
    <row r="54" spans="1:12" ht="12.75">
      <c r="A54" s="5"/>
      <c r="B54" s="31" t="s">
        <v>13</v>
      </c>
      <c r="C54" s="121">
        <f t="shared" si="5"/>
        <v>0</v>
      </c>
      <c r="D54" s="122">
        <f>D53</f>
        <v>14620</v>
      </c>
      <c r="E54" s="116">
        <f>J35</f>
        <v>0</v>
      </c>
      <c r="F54" s="123">
        <f t="shared" si="6"/>
        <v>0</v>
      </c>
      <c r="G54" s="5"/>
      <c r="H54" s="5"/>
      <c r="I54" s="5"/>
      <c r="J54" s="5"/>
      <c r="K54" s="5"/>
      <c r="L54" s="5"/>
    </row>
    <row r="55" spans="1:12" ht="12.75">
      <c r="A55" s="5"/>
      <c r="B55" s="31" t="s">
        <v>115</v>
      </c>
      <c r="C55" s="121">
        <f t="shared" si="5"/>
        <v>16.373736662106705</v>
      </c>
      <c r="D55" s="122">
        <f>D52</f>
        <v>14620</v>
      </c>
      <c r="E55" s="116">
        <f>J46</f>
        <v>239384.03000000003</v>
      </c>
      <c r="F55" s="123">
        <f t="shared" si="6"/>
        <v>0.08594975060324936</v>
      </c>
      <c r="G55" s="5"/>
      <c r="H55" s="5"/>
      <c r="I55" s="5"/>
      <c r="J55" s="5"/>
      <c r="K55" s="5"/>
      <c r="L55" s="5"/>
    </row>
    <row r="56" spans="1:12" ht="12.75">
      <c r="A56" s="5"/>
      <c r="B56" s="5" t="s">
        <v>116</v>
      </c>
      <c r="C56" s="124">
        <f>SUM(C50:C55)</f>
        <v>190.50359712722297</v>
      </c>
      <c r="D56" s="125"/>
      <c r="E56" s="126">
        <f>SUM(E50:E55)</f>
        <v>2785162.59</v>
      </c>
      <c r="F56" s="127">
        <f>SUM(F50:F55)</f>
        <v>1</v>
      </c>
      <c r="G56" s="5"/>
      <c r="H56" s="5"/>
      <c r="I56" s="5"/>
      <c r="J56" s="5"/>
      <c r="K56" s="5"/>
      <c r="L56" s="5"/>
    </row>
    <row r="57" ht="15" customHeight="1"/>
    <row r="58" spans="3:9" ht="12.75">
      <c r="C58" s="130">
        <f>C39</f>
        <v>2006</v>
      </c>
      <c r="D58" s="130">
        <f aca="true" t="shared" si="7" ref="D58:I58">D39</f>
        <v>2007</v>
      </c>
      <c r="E58" s="130">
        <f t="shared" si="7"/>
        <v>2008</v>
      </c>
      <c r="F58" s="130">
        <f t="shared" si="7"/>
        <v>2009</v>
      </c>
      <c r="G58" s="130">
        <f t="shared" si="7"/>
        <v>2010</v>
      </c>
      <c r="H58" s="130">
        <f t="shared" si="7"/>
        <v>2011</v>
      </c>
      <c r="I58" s="130" t="str">
        <f t="shared" si="7"/>
        <v>Later</v>
      </c>
    </row>
    <row r="59" spans="2:9" ht="15.75">
      <c r="B59" s="52" t="s">
        <v>216</v>
      </c>
      <c r="C59" s="130" t="str">
        <f>C40</f>
        <v>Audited Actual</v>
      </c>
      <c r="D59" s="130" t="str">
        <f aca="true" t="shared" si="8" ref="D59:I59">D40</f>
        <v>Audited Actual</v>
      </c>
      <c r="E59" s="130" t="str">
        <f t="shared" si="8"/>
        <v>Actual</v>
      </c>
      <c r="F59" s="130" t="str">
        <f t="shared" si="8"/>
        <v>Forecasted</v>
      </c>
      <c r="G59" s="130" t="str">
        <f t="shared" si="8"/>
        <v>Forecasted</v>
      </c>
      <c r="H59" s="130" t="str">
        <f t="shared" si="8"/>
        <v>Forecasted</v>
      </c>
      <c r="I59" s="130" t="str">
        <f t="shared" si="8"/>
        <v>Forecasted</v>
      </c>
    </row>
    <row r="60" spans="2:9" ht="12.75">
      <c r="B60" s="31" t="s">
        <v>217</v>
      </c>
      <c r="C60" s="131">
        <v>15</v>
      </c>
      <c r="D60" s="131">
        <v>15</v>
      </c>
      <c r="E60" s="131">
        <v>15</v>
      </c>
      <c r="F60" s="131">
        <v>15</v>
      </c>
      <c r="G60" s="131">
        <v>15</v>
      </c>
      <c r="H60" s="131">
        <v>15</v>
      </c>
      <c r="I60" s="131">
        <v>15</v>
      </c>
    </row>
    <row r="61" spans="2:9" ht="12.75">
      <c r="B61" s="31" t="s">
        <v>218</v>
      </c>
      <c r="C61" s="131">
        <v>5</v>
      </c>
      <c r="D61" s="131">
        <v>5</v>
      </c>
      <c r="E61" s="131">
        <v>5</v>
      </c>
      <c r="F61" s="131">
        <v>5</v>
      </c>
      <c r="G61" s="131">
        <v>5</v>
      </c>
      <c r="H61" s="131">
        <v>5</v>
      </c>
      <c r="I61" s="131">
        <v>5</v>
      </c>
    </row>
    <row r="62" spans="2:9" ht="12.75">
      <c r="B62" s="31" t="s">
        <v>219</v>
      </c>
      <c r="C62" s="131">
        <v>5</v>
      </c>
      <c r="D62" s="131">
        <v>5</v>
      </c>
      <c r="E62" s="131">
        <v>5</v>
      </c>
      <c r="F62" s="131">
        <v>5</v>
      </c>
      <c r="G62" s="131">
        <v>5</v>
      </c>
      <c r="H62" s="131">
        <v>5</v>
      </c>
      <c r="I62" s="131">
        <v>5</v>
      </c>
    </row>
    <row r="63" spans="2:9" ht="12.75">
      <c r="B63" s="31" t="s">
        <v>220</v>
      </c>
      <c r="C63" s="131">
        <v>10</v>
      </c>
      <c r="D63" s="131">
        <v>10</v>
      </c>
      <c r="E63" s="131">
        <v>10</v>
      </c>
      <c r="F63" s="131">
        <v>10</v>
      </c>
      <c r="G63" s="131">
        <v>10</v>
      </c>
      <c r="H63" s="131">
        <v>10</v>
      </c>
      <c r="I63" s="131">
        <v>10</v>
      </c>
    </row>
    <row r="64" spans="2:9" ht="12.75">
      <c r="B64" s="31" t="s">
        <v>221</v>
      </c>
      <c r="C64" s="131">
        <v>10</v>
      </c>
      <c r="D64" s="131">
        <v>10</v>
      </c>
      <c r="E64" s="131">
        <v>10</v>
      </c>
      <c r="F64" s="131">
        <v>10</v>
      </c>
      <c r="G64" s="131">
        <v>10</v>
      </c>
      <c r="H64" s="131">
        <v>10</v>
      </c>
      <c r="I64" s="131">
        <v>10</v>
      </c>
    </row>
    <row r="66" spans="3:9" ht="12.75">
      <c r="C66" s="130">
        <f>C58</f>
        <v>2006</v>
      </c>
      <c r="D66" s="130">
        <f aca="true" t="shared" si="9" ref="D66:I66">D58</f>
        <v>2007</v>
      </c>
      <c r="E66" s="130">
        <f t="shared" si="9"/>
        <v>2008</v>
      </c>
      <c r="F66" s="130">
        <f t="shared" si="9"/>
        <v>2009</v>
      </c>
      <c r="G66" s="130">
        <f t="shared" si="9"/>
        <v>2010</v>
      </c>
      <c r="H66" s="130">
        <f t="shared" si="9"/>
        <v>2011</v>
      </c>
      <c r="I66" s="130" t="str">
        <f t="shared" si="9"/>
        <v>Later</v>
      </c>
    </row>
    <row r="67" spans="2:9" ht="15.75">
      <c r="B67" s="52" t="s">
        <v>222</v>
      </c>
      <c r="C67" s="130" t="str">
        <f>C59</f>
        <v>Audited Actual</v>
      </c>
      <c r="D67" s="130" t="str">
        <f aca="true" t="shared" si="10" ref="D67:I67">D59</f>
        <v>Audited Actual</v>
      </c>
      <c r="E67" s="130" t="str">
        <f t="shared" si="10"/>
        <v>Actual</v>
      </c>
      <c r="F67" s="130" t="str">
        <f t="shared" si="10"/>
        <v>Forecasted</v>
      </c>
      <c r="G67" s="130" t="str">
        <f t="shared" si="10"/>
        <v>Forecasted</v>
      </c>
      <c r="H67" s="130" t="str">
        <f t="shared" si="10"/>
        <v>Forecasted</v>
      </c>
      <c r="I67" s="130" t="str">
        <f t="shared" si="10"/>
        <v>Forecasted</v>
      </c>
    </row>
    <row r="68" spans="2:9" ht="12.75">
      <c r="B68" s="7" t="s">
        <v>225</v>
      </c>
      <c r="C68" s="130">
        <v>47</v>
      </c>
      <c r="D68" s="130">
        <v>47</v>
      </c>
      <c r="E68" s="130">
        <v>47</v>
      </c>
      <c r="F68" s="130">
        <v>47</v>
      </c>
      <c r="G68" s="130">
        <v>47</v>
      </c>
      <c r="H68" s="130">
        <v>47</v>
      </c>
      <c r="I68" s="130">
        <v>47</v>
      </c>
    </row>
    <row r="69" spans="2:9" ht="12.75">
      <c r="B69" s="31" t="s">
        <v>8</v>
      </c>
      <c r="C69" s="132">
        <v>0.08</v>
      </c>
      <c r="D69" s="132">
        <v>0.08</v>
      </c>
      <c r="E69" s="132">
        <v>0.08</v>
      </c>
      <c r="F69" s="132">
        <v>0.08</v>
      </c>
      <c r="G69" s="132">
        <v>0.08</v>
      </c>
      <c r="H69" s="132">
        <v>0.08</v>
      </c>
      <c r="I69" s="132">
        <v>0.08</v>
      </c>
    </row>
    <row r="71" spans="2:9" ht="12.75">
      <c r="B71" s="7" t="s">
        <v>225</v>
      </c>
      <c r="C71" s="130">
        <v>45</v>
      </c>
      <c r="D71" s="130">
        <v>50</v>
      </c>
      <c r="E71" s="130">
        <v>50</v>
      </c>
      <c r="F71" s="130">
        <v>50</v>
      </c>
      <c r="G71" s="130">
        <v>50</v>
      </c>
      <c r="H71" s="130">
        <v>50</v>
      </c>
      <c r="I71" s="130">
        <v>50</v>
      </c>
    </row>
    <row r="72" spans="2:9" ht="12.75">
      <c r="B72" s="31" t="s">
        <v>224</v>
      </c>
      <c r="C72" s="132">
        <v>0.45</v>
      </c>
      <c r="D72" s="132">
        <v>0.55</v>
      </c>
      <c r="E72" s="132">
        <v>0.55</v>
      </c>
      <c r="F72" s="132">
        <v>0.55</v>
      </c>
      <c r="G72" s="132">
        <v>0.55</v>
      </c>
      <c r="H72" s="132">
        <v>0.55</v>
      </c>
      <c r="I72" s="132">
        <v>0.55</v>
      </c>
    </row>
    <row r="74" spans="2:9" ht="12.75">
      <c r="B74" s="7" t="s">
        <v>225</v>
      </c>
      <c r="C74" s="130">
        <v>8</v>
      </c>
      <c r="D74" s="130">
        <v>8</v>
      </c>
      <c r="E74" s="130">
        <v>8</v>
      </c>
      <c r="F74" s="130">
        <v>8</v>
      </c>
      <c r="G74" s="130">
        <v>8</v>
      </c>
      <c r="H74" s="130">
        <v>8</v>
      </c>
      <c r="I74" s="130">
        <v>8</v>
      </c>
    </row>
    <row r="75" spans="2:9" ht="12.75">
      <c r="B75" s="31" t="s">
        <v>226</v>
      </c>
      <c r="C75" s="132">
        <v>0.2</v>
      </c>
      <c r="D75" s="132">
        <v>0.2</v>
      </c>
      <c r="E75" s="132">
        <v>0.2</v>
      </c>
      <c r="F75" s="132">
        <v>0.2</v>
      </c>
      <c r="G75" s="132">
        <v>0.2</v>
      </c>
      <c r="H75" s="132">
        <v>0.2</v>
      </c>
      <c r="I75" s="132">
        <v>0.2</v>
      </c>
    </row>
  </sheetData>
  <sheetProtection formatColumns="0" selectLockedCells="1"/>
  <mergeCells count="1">
    <mergeCell ref="B1:G1"/>
  </mergeCells>
  <printOptions/>
  <pageMargins left="0.7874015748031497" right="0.7480314960629921" top="0.7086614173228347" bottom="0.7086614173228347" header="0.5118110236220472" footer="0.5118110236220472"/>
  <pageSetup fitToHeight="1" fitToWidth="1" horizontalDpi="600" verticalDpi="600" orientation="landscape" scale="49" r:id="rId1"/>
  <headerFooter alignWithMargins="0">
    <oddHeader>&amp;R&amp;F&amp;A</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107" zoomScaleNormal="107" zoomScalePageLayoutView="0" workbookViewId="0" topLeftCell="N1">
      <selection activeCell="L8" sqref="L8"/>
    </sheetView>
  </sheetViews>
  <sheetFormatPr defaultColWidth="9.140625" defaultRowHeight="12.75"/>
  <cols>
    <col min="1" max="1" width="8.7109375" style="7" customWidth="1"/>
    <col min="2" max="2" width="55.8515625" style="7" customWidth="1"/>
    <col min="3" max="3" width="6.28125" style="7" bestFit="1" customWidth="1"/>
    <col min="4" max="5" width="6.00390625" style="7" bestFit="1" customWidth="1"/>
    <col min="6" max="6" width="6.28125" style="7" bestFit="1" customWidth="1"/>
    <col min="7" max="7" width="6.00390625" style="89" bestFit="1" customWidth="1"/>
    <col min="8" max="8" width="6.00390625" style="7" bestFit="1" customWidth="1"/>
    <col min="9" max="9" width="6.28125" style="7" bestFit="1" customWidth="1"/>
    <col min="10" max="11" width="6.00390625" style="7" bestFit="1" customWidth="1"/>
    <col min="12" max="12" width="17.8515625" style="7" customWidth="1"/>
    <col min="13" max="13" width="17.28125" style="7" customWidth="1"/>
    <col min="14" max="14" width="12.57421875" style="7" bestFit="1" customWidth="1"/>
    <col min="15" max="16" width="17.28125" style="7" bestFit="1" customWidth="1"/>
    <col min="17" max="17" width="16.421875" style="7" customWidth="1"/>
    <col min="18" max="19" width="17.28125" style="7" bestFit="1" customWidth="1"/>
    <col min="20" max="20" width="16.421875" style="7" customWidth="1"/>
    <col min="21" max="22" width="17.28125" style="7" bestFit="1" customWidth="1"/>
    <col min="23" max="23" width="16.140625" style="7" customWidth="1"/>
    <col min="24" max="16384" width="9.140625" style="7" customWidth="1"/>
  </cols>
  <sheetData>
    <row r="1" spans="1:7" s="3" customFormat="1" ht="21" customHeight="1">
      <c r="A1" s="1"/>
      <c r="B1" s="194" t="s">
        <v>233</v>
      </c>
      <c r="C1" s="194"/>
      <c r="D1" s="194"/>
      <c r="E1" s="26"/>
      <c r="F1" s="1"/>
      <c r="G1" s="63"/>
    </row>
    <row r="2" spans="1:7" s="3" customFormat="1" ht="6" customHeight="1">
      <c r="A2" s="27"/>
      <c r="B2" s="27"/>
      <c r="C2" s="27"/>
      <c r="D2" s="27"/>
      <c r="E2" s="27"/>
      <c r="F2" s="27"/>
      <c r="G2" s="27"/>
    </row>
    <row r="3" spans="1:7" ht="12.75">
      <c r="A3" s="5"/>
      <c r="B3" s="5"/>
      <c r="C3" s="5"/>
      <c r="D3" s="5"/>
      <c r="E3" s="5"/>
      <c r="F3" s="5"/>
      <c r="G3" s="63"/>
    </row>
    <row r="4" spans="1:7" ht="26.25">
      <c r="A4" s="64" t="s">
        <v>232</v>
      </c>
      <c r="B4" s="5"/>
      <c r="C4" s="5"/>
      <c r="D4" s="5"/>
      <c r="E4" s="5"/>
      <c r="F4" s="5"/>
      <c r="G4" s="63"/>
    </row>
    <row r="5" spans="1:7" ht="13.5" thickBot="1">
      <c r="A5" s="5"/>
      <c r="B5" s="5"/>
      <c r="C5" s="5"/>
      <c r="D5" s="5"/>
      <c r="E5" s="5"/>
      <c r="F5" s="5"/>
      <c r="G5" s="63"/>
    </row>
    <row r="6" spans="1:23" ht="18">
      <c r="A6" s="5"/>
      <c r="B6" s="28" t="s">
        <v>129</v>
      </c>
      <c r="C6" s="188">
        <f>'2. Smart Meter Data'!D4</f>
        <v>2006</v>
      </c>
      <c r="D6" s="189"/>
      <c r="E6" s="190"/>
      <c r="F6" s="188">
        <f>'2. Smart Meter Data'!E4</f>
        <v>2007</v>
      </c>
      <c r="G6" s="189"/>
      <c r="H6" s="190"/>
      <c r="I6" s="188">
        <f>'2. Smart Meter Data'!F4</f>
        <v>2008</v>
      </c>
      <c r="J6" s="189"/>
      <c r="K6" s="190"/>
      <c r="L6" s="188">
        <f>'2. Smart Meter Data'!G4</f>
        <v>2009</v>
      </c>
      <c r="M6" s="189"/>
      <c r="N6" s="190"/>
      <c r="O6" s="188">
        <f>'2. Smart Meter Data'!H4</f>
        <v>2010</v>
      </c>
      <c r="P6" s="189"/>
      <c r="Q6" s="190"/>
      <c r="R6" s="188">
        <f>'2. Smart Meter Data'!I4</f>
        <v>2011</v>
      </c>
      <c r="S6" s="189"/>
      <c r="T6" s="190"/>
      <c r="U6" s="188" t="str">
        <f>'2. Smart Meter Data'!J4</f>
        <v>Later</v>
      </c>
      <c r="V6" s="189"/>
      <c r="W6" s="190"/>
    </row>
    <row r="7" spans="1:23" ht="18.75" thickBot="1">
      <c r="A7" s="5"/>
      <c r="B7" s="28"/>
      <c r="C7" s="191" t="str">
        <f>'2. Smart Meter Data'!D5</f>
        <v>Audited Actual</v>
      </c>
      <c r="D7" s="192"/>
      <c r="E7" s="193"/>
      <c r="F7" s="191" t="str">
        <f>'2. Smart Meter Data'!E5</f>
        <v>Audited Actual</v>
      </c>
      <c r="G7" s="192"/>
      <c r="H7" s="193"/>
      <c r="I7" s="191" t="str">
        <f>'2. Smart Meter Data'!F5</f>
        <v>Actual</v>
      </c>
      <c r="J7" s="192"/>
      <c r="K7" s="193"/>
      <c r="L7" s="191" t="str">
        <f>'2. Smart Meter Data'!G5</f>
        <v>Forecasted</v>
      </c>
      <c r="M7" s="192"/>
      <c r="N7" s="193"/>
      <c r="O7" s="191" t="str">
        <f>'2. Smart Meter Data'!H5</f>
        <v>Forecasted</v>
      </c>
      <c r="P7" s="192"/>
      <c r="Q7" s="193"/>
      <c r="R7" s="191" t="str">
        <f>'2. Smart Meter Data'!I5</f>
        <v>Forecasted</v>
      </c>
      <c r="S7" s="192"/>
      <c r="T7" s="193"/>
      <c r="U7" s="191" t="str">
        <f>'2. Smart Meter Data'!J5</f>
        <v>Forecasted</v>
      </c>
      <c r="V7" s="192"/>
      <c r="W7" s="193"/>
    </row>
    <row r="8" spans="1:23" ht="12.75">
      <c r="A8" s="5"/>
      <c r="B8" s="65" t="s">
        <v>130</v>
      </c>
      <c r="C8" s="69">
        <f>'6. Avg Nt Fix Ass &amp;UCC'!C18</f>
        <v>0</v>
      </c>
      <c r="D8" s="6"/>
      <c r="E8" s="70"/>
      <c r="F8" s="66">
        <f>'6. Avg Nt Fix Ass &amp;UCC'!D18</f>
        <v>0</v>
      </c>
      <c r="G8" s="67"/>
      <c r="H8" s="68"/>
      <c r="I8" s="66">
        <f>'6. Avg Nt Fix Ass &amp;UCC'!E18</f>
        <v>0</v>
      </c>
      <c r="J8" s="67"/>
      <c r="K8" s="68"/>
      <c r="L8" s="69">
        <f>'6. Avg Nt Fix Ass &amp;UCC'!F18</f>
        <v>795073.3186666666</v>
      </c>
      <c r="M8" s="6"/>
      <c r="N8" s="70"/>
      <c r="O8" s="69">
        <f>'6. Avg Nt Fix Ass &amp;UCC'!G18</f>
        <v>1770998.7105</v>
      </c>
      <c r="P8" s="6"/>
      <c r="Q8" s="70"/>
      <c r="R8" s="69">
        <f>'6. Avg Nt Fix Ass &amp;UCC'!H18</f>
        <v>1887923.9341666666</v>
      </c>
      <c r="S8" s="6"/>
      <c r="T8" s="70"/>
      <c r="U8" s="69">
        <f>'6. Avg Nt Fix Ass &amp;UCC'!I18</f>
        <v>1766736.3596666667</v>
      </c>
      <c r="V8" s="6"/>
      <c r="W8" s="70"/>
    </row>
    <row r="9" spans="1:23" ht="12.75">
      <c r="A9" s="5"/>
      <c r="B9" s="65" t="s">
        <v>131</v>
      </c>
      <c r="C9" s="69">
        <f>'6. Avg Nt Fix Ass &amp;UCC'!C33</f>
        <v>0</v>
      </c>
      <c r="D9" s="71"/>
      <c r="E9" s="70"/>
      <c r="F9" s="69">
        <f>'6. Avg Nt Fix Ass &amp;UCC'!D33</f>
        <v>0</v>
      </c>
      <c r="G9" s="71"/>
      <c r="H9" s="70"/>
      <c r="I9" s="69">
        <f>'6. Avg Nt Fix Ass &amp;UCC'!E33</f>
        <v>0</v>
      </c>
      <c r="J9" s="71"/>
      <c r="K9" s="70"/>
      <c r="L9" s="69">
        <f>'6. Avg Nt Fix Ass &amp;UCC'!F33</f>
        <v>1738.8</v>
      </c>
      <c r="M9" s="71"/>
      <c r="N9" s="70"/>
      <c r="O9" s="69">
        <f>'6. Avg Nt Fix Ass &amp;UCC'!G33</f>
        <v>4830</v>
      </c>
      <c r="P9" s="71"/>
      <c r="Q9" s="70"/>
      <c r="R9" s="69">
        <f>'6. Avg Nt Fix Ass &amp;UCC'!H33</f>
        <v>5409.6</v>
      </c>
      <c r="S9" s="71"/>
      <c r="T9" s="70"/>
      <c r="U9" s="69">
        <f>'6. Avg Nt Fix Ass &amp;UCC'!I33</f>
        <v>3864.0000000000005</v>
      </c>
      <c r="V9" s="71"/>
      <c r="W9" s="70"/>
    </row>
    <row r="10" spans="1:23" ht="12.75">
      <c r="A10" s="5"/>
      <c r="B10" s="65" t="s">
        <v>132</v>
      </c>
      <c r="C10" s="69">
        <f>'6. Avg Nt Fix Ass &amp;UCC'!C48</f>
        <v>0</v>
      </c>
      <c r="D10" s="72"/>
      <c r="E10" s="70"/>
      <c r="F10" s="69">
        <f>'6. Avg Nt Fix Ass &amp;UCC'!D48</f>
        <v>0</v>
      </c>
      <c r="G10" s="72"/>
      <c r="H10" s="70"/>
      <c r="I10" s="69">
        <f>'6. Avg Nt Fix Ass &amp;UCC'!E48</f>
        <v>0</v>
      </c>
      <c r="J10" s="72"/>
      <c r="K10" s="70"/>
      <c r="L10" s="69">
        <f>'6. Avg Nt Fix Ass &amp;UCC'!F48</f>
        <v>73396.86300000001</v>
      </c>
      <c r="M10" s="72"/>
      <c r="N10" s="70"/>
      <c r="O10" s="69">
        <f>'6. Avg Nt Fix Ass &amp;UCC'!G48</f>
        <v>232871.803</v>
      </c>
      <c r="P10" s="72"/>
      <c r="Q10" s="70"/>
      <c r="R10" s="69">
        <f>'6. Avg Nt Fix Ass &amp;UCC'!H48</f>
        <v>279886.468</v>
      </c>
      <c r="S10" s="72"/>
      <c r="T10" s="70"/>
      <c r="U10" s="69">
        <f>'6. Avg Nt Fix Ass &amp;UCC'!I48</f>
        <v>201759.64399999997</v>
      </c>
      <c r="V10" s="72"/>
      <c r="W10" s="70"/>
    </row>
    <row r="11" spans="1:23" ht="12.75">
      <c r="A11" s="5"/>
      <c r="B11" s="65" t="s">
        <v>133</v>
      </c>
      <c r="C11" s="69">
        <f>'6. Avg Nt Fix Ass &amp;UCC'!C63</f>
        <v>0</v>
      </c>
      <c r="D11" s="72"/>
      <c r="E11" s="70"/>
      <c r="F11" s="69">
        <f>'6. Avg Nt Fix Ass &amp;UCC'!D63</f>
        <v>0</v>
      </c>
      <c r="G11" s="72"/>
      <c r="H11" s="70"/>
      <c r="I11" s="69">
        <f>'6. Avg Nt Fix Ass &amp;UCC'!E63</f>
        <v>0</v>
      </c>
      <c r="J11" s="72"/>
      <c r="K11" s="70"/>
      <c r="L11" s="69">
        <f>'6. Avg Nt Fix Ass &amp;UCC'!F63</f>
        <v>0</v>
      </c>
      <c r="M11" s="72"/>
      <c r="N11" s="70"/>
      <c r="O11" s="69">
        <f>'6. Avg Nt Fix Ass &amp;UCC'!G63</f>
        <v>0</v>
      </c>
      <c r="P11" s="72"/>
      <c r="Q11" s="70"/>
      <c r="R11" s="69">
        <f>'6. Avg Nt Fix Ass &amp;UCC'!H63</f>
        <v>0</v>
      </c>
      <c r="S11" s="72"/>
      <c r="T11" s="70"/>
      <c r="U11" s="69">
        <f>'6. Avg Nt Fix Ass &amp;UCC'!I63</f>
        <v>0</v>
      </c>
      <c r="V11" s="72"/>
      <c r="W11" s="70"/>
    </row>
    <row r="12" spans="1:23" ht="12.75">
      <c r="A12" s="5"/>
      <c r="B12" s="65" t="s">
        <v>134</v>
      </c>
      <c r="C12" s="69">
        <f>'6. Avg Nt Fix Ass &amp;UCC'!C78</f>
        <v>0</v>
      </c>
      <c r="D12" s="72"/>
      <c r="E12" s="70"/>
      <c r="F12" s="69">
        <f>'6. Avg Nt Fix Ass &amp;UCC'!D78</f>
        <v>0</v>
      </c>
      <c r="G12" s="72"/>
      <c r="H12" s="70"/>
      <c r="I12" s="69">
        <f>'6. Avg Nt Fix Ass &amp;UCC'!E78</f>
        <v>0</v>
      </c>
      <c r="J12" s="72"/>
      <c r="K12" s="70"/>
      <c r="L12" s="69">
        <f>'6. Avg Nt Fix Ass &amp;UCC'!F78</f>
        <v>0</v>
      </c>
      <c r="M12" s="72"/>
      <c r="N12" s="70"/>
      <c r="O12" s="69">
        <f>'6. Avg Nt Fix Ass &amp;UCC'!G78</f>
        <v>0</v>
      </c>
      <c r="P12" s="72"/>
      <c r="Q12" s="70"/>
      <c r="R12" s="69">
        <f>'6. Avg Nt Fix Ass &amp;UCC'!H78</f>
        <v>0</v>
      </c>
      <c r="S12" s="72"/>
      <c r="T12" s="70"/>
      <c r="U12" s="69">
        <f>'6. Avg Nt Fix Ass &amp;UCC'!I78</f>
        <v>0</v>
      </c>
      <c r="V12" s="72"/>
      <c r="W12" s="70"/>
    </row>
    <row r="13" spans="1:23" ht="12.75">
      <c r="A13" s="5"/>
      <c r="B13" s="65" t="s">
        <v>135</v>
      </c>
      <c r="C13" s="73">
        <f>SUM(C8:C12)</f>
        <v>0</v>
      </c>
      <c r="D13" s="72">
        <f>C13</f>
        <v>0</v>
      </c>
      <c r="E13" s="70"/>
      <c r="F13" s="73">
        <f>SUM(F8:F12)</f>
        <v>0</v>
      </c>
      <c r="G13" s="72">
        <f>F13</f>
        <v>0</v>
      </c>
      <c r="H13" s="70"/>
      <c r="I13" s="73">
        <f>SUM(I8:I12)</f>
        <v>0</v>
      </c>
      <c r="J13" s="72">
        <f>I13</f>
        <v>0</v>
      </c>
      <c r="K13" s="70"/>
      <c r="L13" s="73">
        <f>SUM(L8:L12)</f>
        <v>870208.9816666667</v>
      </c>
      <c r="M13" s="72">
        <f>L13</f>
        <v>870208.9816666667</v>
      </c>
      <c r="N13" s="70"/>
      <c r="O13" s="73">
        <f>SUM(O8:O12)</f>
        <v>2008700.5135000001</v>
      </c>
      <c r="P13" s="72">
        <f>O13</f>
        <v>2008700.5135000001</v>
      </c>
      <c r="Q13" s="70"/>
      <c r="R13" s="73">
        <f>SUM(R8:R12)</f>
        <v>2173220.0021666666</v>
      </c>
      <c r="S13" s="72">
        <f>R13</f>
        <v>2173220.0021666666</v>
      </c>
      <c r="T13" s="70"/>
      <c r="U13" s="73">
        <f>SUM(U8:U12)</f>
        <v>1972360.0036666668</v>
      </c>
      <c r="V13" s="72">
        <f>U13</f>
        <v>1972360.0036666668</v>
      </c>
      <c r="W13" s="70"/>
    </row>
    <row r="14" spans="1:23" ht="12.75">
      <c r="A14" s="5"/>
      <c r="B14" s="65"/>
      <c r="C14" s="74"/>
      <c r="D14" s="6"/>
      <c r="E14" s="70"/>
      <c r="F14" s="74"/>
      <c r="G14" s="6"/>
      <c r="H14" s="70"/>
      <c r="I14" s="74"/>
      <c r="J14" s="6"/>
      <c r="K14" s="70"/>
      <c r="L14" s="74"/>
      <c r="M14" s="6"/>
      <c r="N14" s="70"/>
      <c r="O14" s="74"/>
      <c r="P14" s="6"/>
      <c r="Q14" s="70"/>
      <c r="R14" s="74"/>
      <c r="S14" s="6"/>
      <c r="T14" s="70"/>
      <c r="U14" s="74"/>
      <c r="V14" s="6"/>
      <c r="W14" s="70"/>
    </row>
    <row r="15" spans="1:23" ht="18">
      <c r="A15" s="5"/>
      <c r="B15" s="28" t="s">
        <v>136</v>
      </c>
      <c r="C15" s="74"/>
      <c r="D15" s="6"/>
      <c r="E15" s="70"/>
      <c r="F15" s="74"/>
      <c r="G15" s="6"/>
      <c r="H15" s="70"/>
      <c r="I15" s="74"/>
      <c r="J15" s="6"/>
      <c r="K15" s="70"/>
      <c r="L15" s="74"/>
      <c r="M15" s="6"/>
      <c r="N15" s="70"/>
      <c r="O15" s="74"/>
      <c r="P15" s="6"/>
      <c r="Q15" s="70"/>
      <c r="R15" s="74"/>
      <c r="S15" s="6"/>
      <c r="T15" s="70"/>
      <c r="U15" s="74"/>
      <c r="V15" s="6"/>
      <c r="W15" s="70"/>
    </row>
    <row r="16" spans="1:23" ht="12.75">
      <c r="A16" s="5"/>
      <c r="B16" s="65" t="s">
        <v>118</v>
      </c>
      <c r="C16" s="75">
        <f>E33</f>
        <v>0</v>
      </c>
      <c r="D16" s="72"/>
      <c r="E16" s="76"/>
      <c r="F16" s="75">
        <f>H33</f>
        <v>0</v>
      </c>
      <c r="G16" s="72"/>
      <c r="H16" s="76"/>
      <c r="I16" s="75">
        <f>K33</f>
        <v>0</v>
      </c>
      <c r="J16" s="72"/>
      <c r="K16" s="76"/>
      <c r="L16" s="75">
        <f>N33</f>
        <v>67289.67</v>
      </c>
      <c r="M16" s="72"/>
      <c r="N16" s="76"/>
      <c r="O16" s="75">
        <f>Q33</f>
        <v>82352.36</v>
      </c>
      <c r="P16" s="72"/>
      <c r="Q16" s="70"/>
      <c r="R16" s="75">
        <f>T33</f>
        <v>89742</v>
      </c>
      <c r="S16" s="72"/>
      <c r="T16" s="70"/>
      <c r="U16" s="75">
        <f>W33</f>
        <v>190856.95</v>
      </c>
      <c r="V16" s="72"/>
      <c r="W16" s="70"/>
    </row>
    <row r="17" spans="1:23" ht="12.75">
      <c r="A17" s="5"/>
      <c r="B17" s="65" t="str">
        <f>"Working Capital  %"</f>
        <v>Working Capital  %</v>
      </c>
      <c r="C17" s="75">
        <f>C16*'3.  LDC Assumptions and Data'!$C$23</f>
        <v>0</v>
      </c>
      <c r="D17" s="72">
        <f>C17</f>
        <v>0</v>
      </c>
      <c r="E17" s="76"/>
      <c r="F17" s="75">
        <f>F16*'3.  LDC Assumptions and Data'!$D$23</f>
        <v>0</v>
      </c>
      <c r="G17" s="72">
        <f>F17</f>
        <v>0</v>
      </c>
      <c r="H17" s="76"/>
      <c r="I17" s="75">
        <f>I16*'3.  LDC Assumptions and Data'!$E$23</f>
        <v>0</v>
      </c>
      <c r="J17" s="72">
        <f>I17</f>
        <v>0</v>
      </c>
      <c r="K17" s="76"/>
      <c r="L17" s="75">
        <f>L16*'3.  LDC Assumptions and Data'!$F$23</f>
        <v>10093.450499999999</v>
      </c>
      <c r="M17" s="72">
        <f>L17</f>
        <v>10093.450499999999</v>
      </c>
      <c r="N17" s="76"/>
      <c r="O17" s="75">
        <f>O16*'3.  LDC Assumptions and Data'!$G$23</f>
        <v>12352.854</v>
      </c>
      <c r="P17" s="72">
        <f>O17</f>
        <v>12352.854</v>
      </c>
      <c r="Q17" s="70"/>
      <c r="R17" s="75">
        <f>R16*'3.  LDC Assumptions and Data'!$H$23</f>
        <v>13461.3</v>
      </c>
      <c r="S17" s="72">
        <f>R17</f>
        <v>13461.3</v>
      </c>
      <c r="T17" s="70"/>
      <c r="U17" s="75">
        <f>U16*'3.  LDC Assumptions and Data'!$I$23</f>
        <v>28628.5425</v>
      </c>
      <c r="V17" s="72">
        <f>U17</f>
        <v>28628.5425</v>
      </c>
      <c r="W17" s="70"/>
    </row>
    <row r="18" spans="1:23" ht="12.75">
      <c r="A18" s="5"/>
      <c r="B18" s="65"/>
      <c r="C18" s="75"/>
      <c r="D18" s="72"/>
      <c r="E18" s="76"/>
      <c r="F18" s="75"/>
      <c r="G18" s="72"/>
      <c r="H18" s="76"/>
      <c r="I18" s="75"/>
      <c r="J18" s="72"/>
      <c r="K18" s="76"/>
      <c r="L18" s="75"/>
      <c r="M18" s="72"/>
      <c r="N18" s="76"/>
      <c r="O18" s="75"/>
      <c r="P18" s="72"/>
      <c r="Q18" s="70"/>
      <c r="R18" s="75"/>
      <c r="S18" s="72"/>
      <c r="T18" s="70"/>
      <c r="U18" s="75"/>
      <c r="V18" s="72"/>
      <c r="W18" s="70"/>
    </row>
    <row r="19" spans="1:23" ht="15.75">
      <c r="A19" s="5"/>
      <c r="B19" s="52" t="s">
        <v>137</v>
      </c>
      <c r="C19" s="75"/>
      <c r="D19" s="77">
        <f>SUM(D9:D17)</f>
        <v>0</v>
      </c>
      <c r="E19" s="76"/>
      <c r="F19" s="75"/>
      <c r="G19" s="77">
        <f>SUM(G9:G17)</f>
        <v>0</v>
      </c>
      <c r="H19" s="76"/>
      <c r="I19" s="75"/>
      <c r="J19" s="77">
        <f>SUM(J9:J17)</f>
        <v>0</v>
      </c>
      <c r="K19" s="76"/>
      <c r="L19" s="75"/>
      <c r="M19" s="77">
        <f>SUM(M9:M17)</f>
        <v>880302.4321666667</v>
      </c>
      <c r="N19" s="76"/>
      <c r="O19" s="75"/>
      <c r="P19" s="77">
        <f>SUM(P9:P17)</f>
        <v>2021053.3675000002</v>
      </c>
      <c r="Q19" s="70"/>
      <c r="R19" s="75"/>
      <c r="S19" s="77">
        <f>SUM(S9:S17)</f>
        <v>2186681.3021666664</v>
      </c>
      <c r="T19" s="70"/>
      <c r="U19" s="75"/>
      <c r="V19" s="77">
        <f>SUM(V9:V17)</f>
        <v>2000988.5461666668</v>
      </c>
      <c r="W19" s="70"/>
    </row>
    <row r="20" spans="1:23" ht="12.75">
      <c r="A20" s="5"/>
      <c r="B20" s="65"/>
      <c r="C20" s="74"/>
      <c r="D20" s="6"/>
      <c r="E20" s="70"/>
      <c r="F20" s="74"/>
      <c r="G20" s="6"/>
      <c r="H20" s="70"/>
      <c r="I20" s="74"/>
      <c r="J20" s="6"/>
      <c r="K20" s="70"/>
      <c r="L20" s="74"/>
      <c r="M20" s="6"/>
      <c r="N20" s="70"/>
      <c r="O20" s="74"/>
      <c r="P20" s="6"/>
      <c r="Q20" s="70"/>
      <c r="R20" s="74"/>
      <c r="S20" s="6"/>
      <c r="T20" s="70"/>
      <c r="U20" s="74"/>
      <c r="V20" s="6"/>
      <c r="W20" s="70"/>
    </row>
    <row r="21" spans="1:23" ht="18">
      <c r="A21" s="5"/>
      <c r="B21" s="28" t="s">
        <v>119</v>
      </c>
      <c r="C21" s="74"/>
      <c r="D21" s="6"/>
      <c r="E21" s="70"/>
      <c r="F21" s="74"/>
      <c r="G21" s="6"/>
      <c r="H21" s="70"/>
      <c r="I21" s="74"/>
      <c r="J21" s="6"/>
      <c r="K21" s="70"/>
      <c r="L21" s="74"/>
      <c r="M21" s="6"/>
      <c r="N21" s="70"/>
      <c r="O21" s="74"/>
      <c r="P21" s="6"/>
      <c r="Q21" s="70"/>
      <c r="R21" s="74"/>
      <c r="S21" s="6"/>
      <c r="T21" s="70"/>
      <c r="U21" s="74"/>
      <c r="V21" s="6"/>
      <c r="W21" s="70"/>
    </row>
    <row r="22" spans="1:23" ht="12.75">
      <c r="A22" s="5"/>
      <c r="B22" s="2" t="s">
        <v>254</v>
      </c>
      <c r="C22" s="74"/>
      <c r="D22" s="6"/>
      <c r="E22" s="70"/>
      <c r="F22" s="78"/>
      <c r="G22" s="6"/>
      <c r="H22" s="70"/>
      <c r="I22" s="78">
        <f>'3.  LDC Assumptions and Data'!$E$14</f>
        <v>0.04</v>
      </c>
      <c r="J22" s="6"/>
      <c r="K22" s="70"/>
      <c r="L22" s="78">
        <f>'3.  LDC Assumptions and Data'!$F14</f>
        <v>0.04</v>
      </c>
      <c r="M22" s="6"/>
      <c r="N22" s="70"/>
      <c r="O22" s="78">
        <f>'3.  LDC Assumptions and Data'!$G14</f>
        <v>0.04</v>
      </c>
      <c r="P22" s="6"/>
      <c r="Q22" s="70"/>
      <c r="R22" s="78">
        <f>'3.  LDC Assumptions and Data'!$H14</f>
        <v>0.04</v>
      </c>
      <c r="S22" s="6"/>
      <c r="T22" s="70"/>
      <c r="U22" s="78">
        <f>'3.  LDC Assumptions and Data'!$I14</f>
        <v>0.04</v>
      </c>
      <c r="V22" s="6"/>
      <c r="W22" s="70"/>
    </row>
    <row r="23" spans="1:23" ht="12.75">
      <c r="A23" s="5"/>
      <c r="B23" s="2" t="s">
        <v>252</v>
      </c>
      <c r="C23" s="78">
        <f>'3.  LDC Assumptions and Data'!$C$15</f>
        <v>0.5</v>
      </c>
      <c r="D23" s="72">
        <f>D19*C23</f>
        <v>0</v>
      </c>
      <c r="E23" s="70"/>
      <c r="F23" s="78">
        <f>'3.  LDC Assumptions and Data'!$D$15</f>
        <v>0.5</v>
      </c>
      <c r="G23" s="72">
        <f>G19*F23</f>
        <v>0</v>
      </c>
      <c r="H23" s="70"/>
      <c r="I23" s="78">
        <f>'3.  LDC Assumptions and Data'!$E$15</f>
        <v>0.49299999999999994</v>
      </c>
      <c r="J23" s="72">
        <f>J19*I23</f>
        <v>0</v>
      </c>
      <c r="K23" s="70"/>
      <c r="L23" s="78">
        <f>'3.  LDC Assumptions and Data'!$F15</f>
        <v>0.527</v>
      </c>
      <c r="M23" s="72">
        <f>M19*L23</f>
        <v>463919.38175183337</v>
      </c>
      <c r="N23" s="70"/>
      <c r="O23" s="78">
        <f>'3.  LDC Assumptions and Data'!$G15</f>
        <v>0.5599999999999999</v>
      </c>
      <c r="P23" s="72">
        <f>P19*O23</f>
        <v>1131789.8858</v>
      </c>
      <c r="Q23" s="70"/>
      <c r="R23" s="78">
        <f>'3.  LDC Assumptions and Data'!$H15</f>
        <v>0.5599999999999999</v>
      </c>
      <c r="S23" s="72">
        <f>S19*R23</f>
        <v>1224541.529213333</v>
      </c>
      <c r="T23" s="70"/>
      <c r="U23" s="78">
        <f>'3.  LDC Assumptions and Data'!$I15</f>
        <v>0.5599999999999999</v>
      </c>
      <c r="V23" s="72">
        <f>V19*U23</f>
        <v>1120553.5858533334</v>
      </c>
      <c r="W23" s="70"/>
    </row>
    <row r="24" spans="1:23" ht="12.75">
      <c r="A24" s="5"/>
      <c r="B24" s="2" t="s">
        <v>253</v>
      </c>
      <c r="C24" s="78">
        <f>'3.  LDC Assumptions and Data'!$C$16</f>
        <v>0.5</v>
      </c>
      <c r="D24" s="72">
        <f>D19*C24</f>
        <v>0</v>
      </c>
      <c r="E24" s="70"/>
      <c r="F24" s="78">
        <f>'3.  LDC Assumptions and Data'!$D$16</f>
        <v>0.5</v>
      </c>
      <c r="G24" s="72">
        <f>G19*F24</f>
        <v>0</v>
      </c>
      <c r="H24" s="70"/>
      <c r="I24" s="78">
        <f>'3.  LDC Assumptions and Data'!$E$16</f>
        <v>0.46700000000000014</v>
      </c>
      <c r="J24" s="72">
        <f>J19*I24</f>
        <v>0</v>
      </c>
      <c r="K24" s="70"/>
      <c r="L24" s="78">
        <f>'3.  LDC Assumptions and Data'!$F$16</f>
        <v>0.433</v>
      </c>
      <c r="M24" s="72">
        <f>M19*L24</f>
        <v>381170.9531281667</v>
      </c>
      <c r="N24" s="70"/>
      <c r="O24" s="78">
        <f>'3.  LDC Assumptions and Data'!$G$16</f>
        <v>0.4000000000000001</v>
      </c>
      <c r="P24" s="72">
        <f>P19*O24</f>
        <v>808421.3470000002</v>
      </c>
      <c r="Q24" s="70"/>
      <c r="R24" s="78">
        <f>'3.  LDC Assumptions and Data'!$H$16</f>
        <v>0.4000000000000001</v>
      </c>
      <c r="S24" s="72">
        <f>S19*R24</f>
        <v>874672.5208666667</v>
      </c>
      <c r="T24" s="70"/>
      <c r="U24" s="78">
        <f>'3.  LDC Assumptions and Data'!$I$16</f>
        <v>0.4000000000000001</v>
      </c>
      <c r="V24" s="72">
        <f>V19*U24</f>
        <v>800395.4184666668</v>
      </c>
      <c r="W24" s="70"/>
    </row>
    <row r="25" spans="1:23" ht="12.75">
      <c r="A25" s="5"/>
      <c r="B25" s="65"/>
      <c r="C25" s="79"/>
      <c r="D25" s="77">
        <f>SUM(D23:D24)</f>
        <v>0</v>
      </c>
      <c r="E25" s="70"/>
      <c r="F25" s="79"/>
      <c r="G25" s="77">
        <f>SUM(G23:G24)</f>
        <v>0</v>
      </c>
      <c r="H25" s="70"/>
      <c r="I25" s="79"/>
      <c r="J25" s="77">
        <f>SUM(J23:J24)</f>
        <v>0</v>
      </c>
      <c r="K25" s="70"/>
      <c r="L25" s="79"/>
      <c r="M25" s="77">
        <f>SUM(M23:M24)</f>
        <v>845090.33488</v>
      </c>
      <c r="N25" s="70"/>
      <c r="O25" s="79"/>
      <c r="P25" s="77">
        <f>SUM(P23:P24)</f>
        <v>1940211.2328000003</v>
      </c>
      <c r="Q25" s="70"/>
      <c r="R25" s="79"/>
      <c r="S25" s="77">
        <f>SUM(S23:S24)</f>
        <v>2099214.0500799995</v>
      </c>
      <c r="T25" s="70"/>
      <c r="U25" s="79"/>
      <c r="V25" s="77">
        <f>SUM(V23:V24)</f>
        <v>1920949.0043200003</v>
      </c>
      <c r="W25" s="70"/>
    </row>
    <row r="26" spans="1:23" ht="12.75">
      <c r="A26" s="5"/>
      <c r="B26" s="65"/>
      <c r="C26" s="79"/>
      <c r="D26" s="72"/>
      <c r="E26" s="70"/>
      <c r="F26" s="79"/>
      <c r="G26" s="72"/>
      <c r="H26" s="70"/>
      <c r="I26" s="79"/>
      <c r="J26" s="72"/>
      <c r="K26" s="70"/>
      <c r="L26" s="79"/>
      <c r="M26" s="72"/>
      <c r="N26" s="70"/>
      <c r="O26" s="79"/>
      <c r="P26" s="72"/>
      <c r="Q26" s="70"/>
      <c r="R26" s="79"/>
      <c r="S26" s="72"/>
      <c r="T26" s="70"/>
      <c r="U26" s="79"/>
      <c r="V26" s="72"/>
      <c r="W26" s="70"/>
    </row>
    <row r="27" spans="1:23" ht="12.75">
      <c r="A27" s="5"/>
      <c r="B27" s="2" t="s">
        <v>256</v>
      </c>
      <c r="C27" s="78"/>
      <c r="D27" s="6"/>
      <c r="E27" s="70"/>
      <c r="F27" s="79"/>
      <c r="G27" s="6"/>
      <c r="H27" s="70"/>
      <c r="I27" s="78">
        <f>'3.  LDC Assumptions and Data'!$E$18</f>
        <v>0.0447</v>
      </c>
      <c r="J27" s="6"/>
      <c r="K27" s="70"/>
      <c r="L27" s="78">
        <f>'3.  LDC Assumptions and Data'!$F18</f>
        <v>0.0113</v>
      </c>
      <c r="M27" s="6"/>
      <c r="N27" s="70"/>
      <c r="O27" s="78">
        <f>'3.  LDC Assumptions and Data'!$G18</f>
        <v>0.0113</v>
      </c>
      <c r="P27" s="6"/>
      <c r="Q27" s="70"/>
      <c r="R27" s="78">
        <f>'3.  LDC Assumptions and Data'!$H18</f>
        <v>0.0113</v>
      </c>
      <c r="S27" s="6"/>
      <c r="T27" s="70"/>
      <c r="U27" s="78">
        <f>'3.  LDC Assumptions and Data'!$I18</f>
        <v>0.0113</v>
      </c>
      <c r="V27" s="6"/>
      <c r="W27" s="70"/>
    </row>
    <row r="28" spans="1:23" ht="12.75">
      <c r="A28" s="5"/>
      <c r="B28" s="65" t="s">
        <v>201</v>
      </c>
      <c r="C28" s="78">
        <f>'3.  LDC Assumptions and Data'!$C$19</f>
        <v>0.06756</v>
      </c>
      <c r="D28" s="72">
        <f>D23*C28</f>
        <v>0</v>
      </c>
      <c r="E28" s="76"/>
      <c r="F28" s="78">
        <f>'3.  LDC Assumptions and Data'!$D$19</f>
        <v>0.06756</v>
      </c>
      <c r="G28" s="72">
        <f>G23*F28</f>
        <v>0</v>
      </c>
      <c r="H28" s="76"/>
      <c r="I28" s="78">
        <f>'3.  LDC Assumptions and Data'!$E$19</f>
        <v>0.06756</v>
      </c>
      <c r="J28" s="72">
        <f>J23*I28</f>
        <v>0</v>
      </c>
      <c r="K28" s="76"/>
      <c r="L28" s="78">
        <f>'3.  LDC Assumptions and Data'!$F19</f>
        <v>0.06756</v>
      </c>
      <c r="M28" s="72">
        <f>M23*L28</f>
        <v>31342.39343115386</v>
      </c>
      <c r="N28" s="76"/>
      <c r="O28" s="78">
        <f>'3.  LDC Assumptions and Data'!$G19</f>
        <v>0.06756</v>
      </c>
      <c r="P28" s="72">
        <f>P23*O28</f>
        <v>76463.724684648</v>
      </c>
      <c r="Q28" s="76"/>
      <c r="R28" s="78">
        <f>'3.  LDC Assumptions and Data'!$H19</f>
        <v>0.06756</v>
      </c>
      <c r="S28" s="72">
        <f>S23*R28</f>
        <v>82730.02571365278</v>
      </c>
      <c r="T28" s="76"/>
      <c r="U28" s="78">
        <f>'3.  LDC Assumptions and Data'!$I19</f>
        <v>0.06756</v>
      </c>
      <c r="V28" s="72">
        <f>V23*U28</f>
        <v>75704.6002602512</v>
      </c>
      <c r="W28" s="76"/>
    </row>
    <row r="29" spans="1:23" ht="12.75">
      <c r="A29" s="5"/>
      <c r="B29" s="65" t="s">
        <v>202</v>
      </c>
      <c r="C29" s="78">
        <f>'3.  LDC Assumptions and Data'!$C$20</f>
        <v>0.09</v>
      </c>
      <c r="D29" s="72">
        <f>D24*C29</f>
        <v>0</v>
      </c>
      <c r="E29" s="76"/>
      <c r="F29" s="78">
        <f>'3.  LDC Assumptions and Data'!$D$20</f>
        <v>0.09</v>
      </c>
      <c r="G29" s="72">
        <f>G24*F29</f>
        <v>0</v>
      </c>
      <c r="H29" s="76"/>
      <c r="I29" s="78">
        <f>'3.  LDC Assumptions and Data'!$E$20</f>
        <v>0.0857</v>
      </c>
      <c r="J29" s="72">
        <f>J24*I29</f>
        <v>0</v>
      </c>
      <c r="K29" s="76"/>
      <c r="L29" s="78">
        <f>'3.  LDC Assumptions and Data'!$F$20</f>
        <v>0.0801</v>
      </c>
      <c r="M29" s="72">
        <f>M24*L29</f>
        <v>30531.79334556615</v>
      </c>
      <c r="N29" s="76"/>
      <c r="O29" s="78">
        <f>'3.  LDC Assumptions and Data'!$G$20</f>
        <v>0.0801</v>
      </c>
      <c r="P29" s="72">
        <f>P24*O29</f>
        <v>64754.549894700016</v>
      </c>
      <c r="Q29" s="76"/>
      <c r="R29" s="78">
        <f>'3.  LDC Assumptions and Data'!$H$20</f>
        <v>0.0801</v>
      </c>
      <c r="S29" s="72">
        <f>S24*R29</f>
        <v>70061.26892142</v>
      </c>
      <c r="T29" s="76"/>
      <c r="U29" s="78">
        <f>'3.  LDC Assumptions and Data'!$I$20</f>
        <v>0.0801</v>
      </c>
      <c r="V29" s="72">
        <f>V24*U29</f>
        <v>64111.673019180016</v>
      </c>
      <c r="W29" s="76"/>
    </row>
    <row r="30" spans="1:23" ht="15.75">
      <c r="A30" s="5"/>
      <c r="B30" s="52" t="s">
        <v>119</v>
      </c>
      <c r="C30" s="74"/>
      <c r="D30" s="77">
        <f>SUM(D28:D29)</f>
        <v>0</v>
      </c>
      <c r="E30" s="76">
        <f>D30</f>
        <v>0</v>
      </c>
      <c r="F30" s="74"/>
      <c r="G30" s="77">
        <f>SUM(G28:G29)</f>
        <v>0</v>
      </c>
      <c r="H30" s="76">
        <f>G30</f>
        <v>0</v>
      </c>
      <c r="I30" s="74"/>
      <c r="J30" s="77">
        <f>SUM(J28:J29)</f>
        <v>0</v>
      </c>
      <c r="K30" s="76">
        <f>J30</f>
        <v>0</v>
      </c>
      <c r="L30" s="74"/>
      <c r="M30" s="77">
        <f>SUM(M28:M29)</f>
        <v>61874.18677672002</v>
      </c>
      <c r="N30" s="76">
        <f>M30</f>
        <v>61874.18677672002</v>
      </c>
      <c r="O30" s="74"/>
      <c r="P30" s="77">
        <f>SUM(P28:P29)</f>
        <v>141218.274579348</v>
      </c>
      <c r="Q30" s="76">
        <f>P30</f>
        <v>141218.274579348</v>
      </c>
      <c r="R30" s="74"/>
      <c r="S30" s="77">
        <f>SUM(S28:S29)</f>
        <v>152791.2946350728</v>
      </c>
      <c r="T30" s="76">
        <f>S30</f>
        <v>152791.2946350728</v>
      </c>
      <c r="U30" s="74"/>
      <c r="V30" s="77">
        <f>SUM(V28:V29)</f>
        <v>139816.27327943122</v>
      </c>
      <c r="W30" s="76">
        <f>V30</f>
        <v>139816.27327943122</v>
      </c>
    </row>
    <row r="31" spans="1:23" ht="15.75">
      <c r="A31" s="5"/>
      <c r="B31" s="52"/>
      <c r="C31" s="74"/>
      <c r="D31" s="71"/>
      <c r="E31" s="80"/>
      <c r="F31" s="74"/>
      <c r="G31" s="71"/>
      <c r="H31" s="80"/>
      <c r="I31" s="74"/>
      <c r="J31" s="71"/>
      <c r="K31" s="80"/>
      <c r="L31" s="74"/>
      <c r="M31" s="71"/>
      <c r="N31" s="80"/>
      <c r="O31" s="74"/>
      <c r="P31" s="71"/>
      <c r="Q31" s="80"/>
      <c r="R31" s="74"/>
      <c r="S31" s="71"/>
      <c r="T31" s="80"/>
      <c r="U31" s="74"/>
      <c r="V31" s="71"/>
      <c r="W31" s="80"/>
    </row>
    <row r="32" spans="1:23" ht="18">
      <c r="A32" s="5"/>
      <c r="B32" s="28" t="s">
        <v>120</v>
      </c>
      <c r="C32" s="74"/>
      <c r="D32" s="71"/>
      <c r="E32" s="80"/>
      <c r="F32" s="74"/>
      <c r="G32" s="71"/>
      <c r="H32" s="80"/>
      <c r="I32" s="74"/>
      <c r="J32" s="71"/>
      <c r="K32" s="80"/>
      <c r="L32" s="74"/>
      <c r="M32" s="71"/>
      <c r="N32" s="80"/>
      <c r="O32" s="74"/>
      <c r="P32" s="71"/>
      <c r="Q32" s="80"/>
      <c r="R32" s="74"/>
      <c r="S32" s="71"/>
      <c r="T32" s="80"/>
      <c r="U32" s="74"/>
      <c r="V32" s="71"/>
      <c r="W32" s="80"/>
    </row>
    <row r="33" spans="1:23" ht="12.75">
      <c r="A33" s="5"/>
      <c r="B33" s="57" t="s">
        <v>203</v>
      </c>
      <c r="C33" s="74"/>
      <c r="D33" s="72"/>
      <c r="E33" s="81">
        <f>'3.  LDC Assumptions and Data'!C46</f>
        <v>0</v>
      </c>
      <c r="F33" s="75"/>
      <c r="G33" s="72"/>
      <c r="H33" s="81">
        <f>'3.  LDC Assumptions and Data'!D46</f>
        <v>0</v>
      </c>
      <c r="I33" s="75"/>
      <c r="J33" s="72"/>
      <c r="K33" s="81">
        <f>'3.  LDC Assumptions and Data'!E46</f>
        <v>0</v>
      </c>
      <c r="L33" s="75"/>
      <c r="M33" s="72"/>
      <c r="N33" s="81">
        <f>'3.  LDC Assumptions and Data'!F46</f>
        <v>67289.67</v>
      </c>
      <c r="O33" s="75"/>
      <c r="P33" s="72"/>
      <c r="Q33" s="81">
        <f>'3.  LDC Assumptions and Data'!G46</f>
        <v>82352.36</v>
      </c>
      <c r="R33" s="75"/>
      <c r="S33" s="72"/>
      <c r="T33" s="81">
        <f>'3.  LDC Assumptions and Data'!H46</f>
        <v>89742</v>
      </c>
      <c r="U33" s="75"/>
      <c r="V33" s="72"/>
      <c r="W33" s="81">
        <f>'3.  LDC Assumptions and Data'!I46</f>
        <v>190856.95</v>
      </c>
    </row>
    <row r="34" spans="1:23" ht="12.75">
      <c r="A34" s="5"/>
      <c r="B34" s="65"/>
      <c r="C34" s="74"/>
      <c r="D34" s="71"/>
      <c r="E34" s="80"/>
      <c r="F34" s="74"/>
      <c r="G34" s="71"/>
      <c r="H34" s="80"/>
      <c r="I34" s="74"/>
      <c r="J34" s="71"/>
      <c r="K34" s="80"/>
      <c r="L34" s="74"/>
      <c r="M34" s="71"/>
      <c r="N34" s="80"/>
      <c r="O34" s="74"/>
      <c r="P34" s="71"/>
      <c r="Q34" s="80"/>
      <c r="R34" s="74"/>
      <c r="S34" s="71"/>
      <c r="T34" s="80"/>
      <c r="U34" s="74"/>
      <c r="V34" s="71"/>
      <c r="W34" s="80"/>
    </row>
    <row r="35" spans="1:23" ht="18">
      <c r="A35" s="5"/>
      <c r="B35" s="28" t="s">
        <v>122</v>
      </c>
      <c r="C35" s="74"/>
      <c r="D35" s="71"/>
      <c r="E35" s="80"/>
      <c r="F35" s="74"/>
      <c r="G35" s="71"/>
      <c r="H35" s="80"/>
      <c r="I35" s="74"/>
      <c r="J35" s="71"/>
      <c r="K35" s="80"/>
      <c r="L35" s="74"/>
      <c r="M35" s="71"/>
      <c r="N35" s="80"/>
      <c r="O35" s="74"/>
      <c r="P35" s="71"/>
      <c r="Q35" s="80"/>
      <c r="R35" s="74"/>
      <c r="S35" s="71"/>
      <c r="T35" s="80"/>
      <c r="U35" s="74"/>
      <c r="V35" s="71"/>
      <c r="W35" s="80"/>
    </row>
    <row r="36" spans="1:23" ht="12.75">
      <c r="A36" s="5"/>
      <c r="B36" s="57" t="s">
        <v>138</v>
      </c>
      <c r="C36" s="74"/>
      <c r="D36" s="82">
        <f>SUM('6. Avg Nt Fix Ass &amp;UCC'!C13:C13)</f>
        <v>0</v>
      </c>
      <c r="E36" s="76"/>
      <c r="F36" s="75"/>
      <c r="G36" s="82">
        <f>SUM('6. Avg Nt Fix Ass &amp;UCC'!D13:D13)</f>
        <v>0</v>
      </c>
      <c r="H36" s="76"/>
      <c r="I36" s="75"/>
      <c r="J36" s="82">
        <f>SUM('6. Avg Nt Fix Ass &amp;UCC'!E13:E13)</f>
        <v>0</v>
      </c>
      <c r="K36" s="76"/>
      <c r="L36" s="75"/>
      <c r="M36" s="82">
        <f>SUM('6. Avg Nt Fix Ass &amp;UCC'!F13:F13)</f>
        <v>54832.64266666667</v>
      </c>
      <c r="N36" s="76"/>
      <c r="O36" s="75"/>
      <c r="P36" s="82">
        <f>SUM('6. Avg Nt Fix Ass &amp;UCC'!G13:G13)</f>
        <v>125919.40366666667</v>
      </c>
      <c r="Q36" s="76"/>
      <c r="R36" s="75"/>
      <c r="S36" s="82">
        <f>SUM('6. Avg Nt Fix Ass &amp;UCC'!H13:H13)</f>
        <v>142667.309</v>
      </c>
      <c r="T36" s="76"/>
      <c r="U36" s="75"/>
      <c r="V36" s="82">
        <f>SUM('6. Avg Nt Fix Ass &amp;UCC'!I13:I13)</f>
        <v>144148.66999999998</v>
      </c>
      <c r="W36" s="76"/>
    </row>
    <row r="37" spans="1:23" ht="12.75">
      <c r="A37" s="5"/>
      <c r="B37" s="57" t="s">
        <v>139</v>
      </c>
      <c r="C37" s="74"/>
      <c r="D37" s="82">
        <f>SUM('6. Avg Nt Fix Ass &amp;UCC'!C28:C28)</f>
        <v>0</v>
      </c>
      <c r="E37" s="76"/>
      <c r="F37" s="75"/>
      <c r="G37" s="82">
        <f>SUM('6. Avg Nt Fix Ass &amp;UCC'!D28:D28)</f>
        <v>0</v>
      </c>
      <c r="H37" s="76"/>
      <c r="I37" s="75"/>
      <c r="J37" s="82">
        <f>SUM('6. Avg Nt Fix Ass &amp;UCC'!E28:E28)</f>
        <v>0</v>
      </c>
      <c r="K37" s="76"/>
      <c r="L37" s="75"/>
      <c r="M37" s="82">
        <f>SUM('6. Avg Nt Fix Ass &amp;UCC'!F28:F28)</f>
        <v>386.4</v>
      </c>
      <c r="N37" s="76"/>
      <c r="O37" s="75"/>
      <c r="P37" s="82">
        <f>SUM('6. Avg Nt Fix Ass &amp;UCC'!G28:G28)</f>
        <v>1159.1999999999998</v>
      </c>
      <c r="Q37" s="76"/>
      <c r="R37" s="75"/>
      <c r="S37" s="82">
        <f>SUM('6. Avg Nt Fix Ass &amp;UCC'!H28:H28)</f>
        <v>1545.6</v>
      </c>
      <c r="T37" s="76"/>
      <c r="U37" s="75"/>
      <c r="V37" s="82">
        <f>SUM('6. Avg Nt Fix Ass &amp;UCC'!I28:I28)</f>
        <v>1545.6</v>
      </c>
      <c r="W37" s="76"/>
    </row>
    <row r="38" spans="1:23" ht="12.75">
      <c r="A38" s="5"/>
      <c r="B38" s="57" t="s">
        <v>140</v>
      </c>
      <c r="C38" s="74"/>
      <c r="D38" s="82">
        <f>SUM('6. Avg Nt Fix Ass &amp;UCC'!C43:C43)</f>
        <v>0</v>
      </c>
      <c r="E38" s="76"/>
      <c r="F38" s="75"/>
      <c r="G38" s="82">
        <f>SUM('6. Avg Nt Fix Ass &amp;UCC'!D43:D43)</f>
        <v>0</v>
      </c>
      <c r="H38" s="76"/>
      <c r="I38" s="75"/>
      <c r="J38" s="82">
        <f>SUM('6. Avg Nt Fix Ass &amp;UCC'!E43:E43)</f>
        <v>0</v>
      </c>
      <c r="K38" s="76"/>
      <c r="L38" s="75"/>
      <c r="M38" s="82">
        <f>SUM('6. Avg Nt Fix Ass &amp;UCC'!F43:F43)</f>
        <v>16310.414</v>
      </c>
      <c r="N38" s="76"/>
      <c r="O38" s="75"/>
      <c r="P38" s="82">
        <f>SUM('6. Avg Nt Fix Ass &amp;UCC'!G43:G43)</f>
        <v>55373.826</v>
      </c>
      <c r="Q38" s="76"/>
      <c r="R38" s="75"/>
      <c r="S38" s="82">
        <f>SUM('6. Avg Nt Fix Ass &amp;UCC'!H43:H43)</f>
        <v>78126.824</v>
      </c>
      <c r="T38" s="76"/>
      <c r="U38" s="75"/>
      <c r="V38" s="82">
        <f>SUM('6. Avg Nt Fix Ass &amp;UCC'!I43:I43)</f>
        <v>78126.824</v>
      </c>
      <c r="W38" s="76"/>
    </row>
    <row r="39" spans="1:23" ht="12.75">
      <c r="A39" s="5"/>
      <c r="B39" s="57" t="s">
        <v>141</v>
      </c>
      <c r="C39" s="74"/>
      <c r="D39" s="82">
        <f>SUM('6. Avg Nt Fix Ass &amp;UCC'!C58:C58)</f>
        <v>0</v>
      </c>
      <c r="E39" s="76"/>
      <c r="F39" s="75"/>
      <c r="G39" s="82">
        <f>SUM('6. Avg Nt Fix Ass &amp;UCC'!D58:D58)</f>
        <v>0</v>
      </c>
      <c r="H39" s="76"/>
      <c r="I39" s="75"/>
      <c r="J39" s="82">
        <f>SUM('6. Avg Nt Fix Ass &amp;UCC'!E58:E58)</f>
        <v>0</v>
      </c>
      <c r="K39" s="76"/>
      <c r="L39" s="75"/>
      <c r="M39" s="82">
        <f>SUM('6. Avg Nt Fix Ass &amp;UCC'!F58:F58)</f>
        <v>0</v>
      </c>
      <c r="N39" s="76"/>
      <c r="O39" s="75"/>
      <c r="P39" s="82">
        <f>SUM('6. Avg Nt Fix Ass &amp;UCC'!G58:G58)</f>
        <v>0</v>
      </c>
      <c r="Q39" s="76"/>
      <c r="R39" s="75"/>
      <c r="S39" s="82">
        <f>SUM('6. Avg Nt Fix Ass &amp;UCC'!H58:H58)</f>
        <v>0</v>
      </c>
      <c r="T39" s="76"/>
      <c r="U39" s="75"/>
      <c r="V39" s="82">
        <f>SUM('6. Avg Nt Fix Ass &amp;UCC'!I58:I58)</f>
        <v>0</v>
      </c>
      <c r="W39" s="76"/>
    </row>
    <row r="40" spans="1:23" ht="12.75">
      <c r="A40" s="5"/>
      <c r="B40" s="57" t="s">
        <v>142</v>
      </c>
      <c r="C40" s="74"/>
      <c r="D40" s="82">
        <f>SUM('6. Avg Nt Fix Ass &amp;UCC'!C73:C73)</f>
        <v>0</v>
      </c>
      <c r="E40" s="76"/>
      <c r="F40" s="75"/>
      <c r="G40" s="82">
        <f>SUM('6. Avg Nt Fix Ass &amp;UCC'!D73:D73)</f>
        <v>0</v>
      </c>
      <c r="H40" s="76"/>
      <c r="I40" s="75"/>
      <c r="J40" s="82">
        <f>SUM('6. Avg Nt Fix Ass &amp;UCC'!E73:E73)</f>
        <v>0</v>
      </c>
      <c r="K40" s="76"/>
      <c r="L40" s="75"/>
      <c r="M40" s="82">
        <f>SUM('6. Avg Nt Fix Ass &amp;UCC'!F73:F73)</f>
        <v>0</v>
      </c>
      <c r="N40" s="76"/>
      <c r="O40" s="75"/>
      <c r="P40" s="82">
        <f>SUM('6. Avg Nt Fix Ass &amp;UCC'!G73:G73)</f>
        <v>0</v>
      </c>
      <c r="Q40" s="76"/>
      <c r="R40" s="75"/>
      <c r="S40" s="82">
        <f>SUM('6. Avg Nt Fix Ass &amp;UCC'!H73:H73)</f>
        <v>0</v>
      </c>
      <c r="T40" s="76"/>
      <c r="U40" s="75"/>
      <c r="V40" s="82">
        <f>SUM('6. Avg Nt Fix Ass &amp;UCC'!I73:I73)</f>
        <v>0</v>
      </c>
      <c r="W40" s="76"/>
    </row>
    <row r="41" spans="1:23" ht="15.75">
      <c r="A41" s="5"/>
      <c r="B41" s="52" t="s">
        <v>143</v>
      </c>
      <c r="C41" s="74"/>
      <c r="D41" s="72"/>
      <c r="E41" s="83">
        <f>SUM(D36:D40)</f>
        <v>0</v>
      </c>
      <c r="F41" s="75"/>
      <c r="G41" s="72"/>
      <c r="H41" s="83">
        <f>SUM(G36:G40)</f>
        <v>0</v>
      </c>
      <c r="I41" s="75"/>
      <c r="J41" s="72"/>
      <c r="K41" s="83">
        <f>SUM(J36:J40)</f>
        <v>0</v>
      </c>
      <c r="L41" s="75"/>
      <c r="M41" s="72"/>
      <c r="N41" s="83">
        <f>SUM(M36:M40)</f>
        <v>71529.45666666667</v>
      </c>
      <c r="O41" s="75"/>
      <c r="P41" s="72"/>
      <c r="Q41" s="83">
        <f>SUM(P36:P40)</f>
        <v>182452.42966666666</v>
      </c>
      <c r="R41" s="75"/>
      <c r="S41" s="72"/>
      <c r="T41" s="83">
        <f>SUM(S36:S40)</f>
        <v>222339.733</v>
      </c>
      <c r="U41" s="75"/>
      <c r="V41" s="72"/>
      <c r="W41" s="83">
        <f>SUM(V36:V40)</f>
        <v>223821.09399999998</v>
      </c>
    </row>
    <row r="42" spans="1:23" ht="12.75">
      <c r="A42" s="5"/>
      <c r="B42" s="65"/>
      <c r="C42" s="74"/>
      <c r="D42" s="72"/>
      <c r="E42" s="76"/>
      <c r="F42" s="74"/>
      <c r="G42" s="6"/>
      <c r="H42" s="84"/>
      <c r="I42" s="74"/>
      <c r="J42" s="6"/>
      <c r="K42" s="84"/>
      <c r="L42" s="74"/>
      <c r="M42" s="6"/>
      <c r="N42" s="84"/>
      <c r="O42" s="74"/>
      <c r="P42" s="6"/>
      <c r="Q42" s="84"/>
      <c r="R42" s="74"/>
      <c r="S42" s="6"/>
      <c r="T42" s="84"/>
      <c r="U42" s="74"/>
      <c r="V42" s="6"/>
      <c r="W42" s="84"/>
    </row>
    <row r="43" spans="1:23" ht="15.75">
      <c r="A43" s="5"/>
      <c r="B43" s="52" t="s">
        <v>123</v>
      </c>
      <c r="C43" s="74"/>
      <c r="D43" s="72"/>
      <c r="E43" s="85">
        <f>SUM(E30,E41,E33)</f>
        <v>0</v>
      </c>
      <c r="F43" s="75"/>
      <c r="G43" s="72"/>
      <c r="H43" s="85">
        <f>SUM(H30,H41,H33)</f>
        <v>0</v>
      </c>
      <c r="I43" s="75"/>
      <c r="J43" s="72"/>
      <c r="K43" s="85">
        <f>SUM(K30,K41,K33)</f>
        <v>0</v>
      </c>
      <c r="L43" s="75"/>
      <c r="M43" s="72"/>
      <c r="N43" s="85">
        <f>SUM(N30,N41,N33)</f>
        <v>200693.3134433867</v>
      </c>
      <c r="O43" s="75"/>
      <c r="P43" s="72"/>
      <c r="Q43" s="85">
        <f>SUM(Q30,Q41,Q33)</f>
        <v>406023.0642460147</v>
      </c>
      <c r="R43" s="75"/>
      <c r="S43" s="72"/>
      <c r="T43" s="85">
        <f>SUM(T30,T41,T33)</f>
        <v>464873.0276350728</v>
      </c>
      <c r="U43" s="75"/>
      <c r="V43" s="72"/>
      <c r="W43" s="85">
        <f>SUM(W30,W41,W33)</f>
        <v>554494.3172794313</v>
      </c>
    </row>
    <row r="44" spans="1:23" ht="15.75">
      <c r="A44" s="5"/>
      <c r="B44" s="52"/>
      <c r="C44" s="74"/>
      <c r="D44" s="72"/>
      <c r="E44" s="76"/>
      <c r="F44" s="75"/>
      <c r="G44" s="72"/>
      <c r="H44" s="76"/>
      <c r="I44" s="75"/>
      <c r="J44" s="72"/>
      <c r="K44" s="76"/>
      <c r="L44" s="75"/>
      <c r="M44" s="72"/>
      <c r="N44" s="76"/>
      <c r="O44" s="75"/>
      <c r="P44" s="72"/>
      <c r="Q44" s="76"/>
      <c r="R44" s="75"/>
      <c r="S44" s="72"/>
      <c r="T44" s="76"/>
      <c r="U44" s="75"/>
      <c r="V44" s="72"/>
      <c r="W44" s="76"/>
    </row>
    <row r="45" spans="1:23" ht="18">
      <c r="A45" s="5"/>
      <c r="B45" s="28" t="s">
        <v>144</v>
      </c>
      <c r="C45" s="74"/>
      <c r="D45" s="72"/>
      <c r="E45" s="76"/>
      <c r="F45" s="75"/>
      <c r="G45" s="72"/>
      <c r="H45" s="76"/>
      <c r="I45" s="75"/>
      <c r="J45" s="72"/>
      <c r="K45" s="76"/>
      <c r="L45" s="75"/>
      <c r="M45" s="72"/>
      <c r="N45" s="76"/>
      <c r="O45" s="75"/>
      <c r="P45" s="72"/>
      <c r="Q45" s="76"/>
      <c r="R45" s="75"/>
      <c r="S45" s="72"/>
      <c r="T45" s="76"/>
      <c r="U45" s="75"/>
      <c r="V45" s="72"/>
      <c r="W45" s="76"/>
    </row>
    <row r="46" spans="1:23" ht="12.75">
      <c r="A46" s="5"/>
      <c r="B46" s="57" t="s">
        <v>121</v>
      </c>
      <c r="C46" s="74"/>
      <c r="D46" s="72"/>
      <c r="E46" s="76">
        <f>-E33</f>
        <v>0</v>
      </c>
      <c r="F46" s="75"/>
      <c r="G46" s="72"/>
      <c r="H46" s="76">
        <f>-H33</f>
        <v>0</v>
      </c>
      <c r="I46" s="75"/>
      <c r="J46" s="72"/>
      <c r="K46" s="76">
        <f>-K33</f>
        <v>0</v>
      </c>
      <c r="L46" s="75"/>
      <c r="M46" s="72"/>
      <c r="N46" s="76">
        <f>-N33</f>
        <v>-67289.67</v>
      </c>
      <c r="O46" s="75"/>
      <c r="P46" s="72"/>
      <c r="Q46" s="76">
        <f>-Q33</f>
        <v>-82352.36</v>
      </c>
      <c r="R46" s="75"/>
      <c r="S46" s="72"/>
      <c r="T46" s="76">
        <f>-T33</f>
        <v>-89742</v>
      </c>
      <c r="U46" s="75"/>
      <c r="V46" s="72"/>
      <c r="W46" s="76">
        <f>-W33</f>
        <v>-190856.95</v>
      </c>
    </row>
    <row r="47" spans="1:23" ht="12.75">
      <c r="A47" s="5"/>
      <c r="B47" s="57" t="s">
        <v>145</v>
      </c>
      <c r="C47" s="74"/>
      <c r="D47" s="72"/>
      <c r="E47" s="76">
        <f>-E41</f>
        <v>0</v>
      </c>
      <c r="F47" s="75"/>
      <c r="G47" s="72"/>
      <c r="H47" s="76">
        <f>-H41</f>
        <v>0</v>
      </c>
      <c r="I47" s="75"/>
      <c r="J47" s="72"/>
      <c r="K47" s="76">
        <f>-K41</f>
        <v>0</v>
      </c>
      <c r="L47" s="75"/>
      <c r="M47" s="72"/>
      <c r="N47" s="76">
        <f>-N41</f>
        <v>-71529.45666666667</v>
      </c>
      <c r="O47" s="75"/>
      <c r="P47" s="72"/>
      <c r="Q47" s="76">
        <f>-Q41</f>
        <v>-182452.42966666666</v>
      </c>
      <c r="R47" s="75"/>
      <c r="S47" s="72"/>
      <c r="T47" s="76">
        <f>-T41</f>
        <v>-222339.733</v>
      </c>
      <c r="U47" s="75"/>
      <c r="V47" s="72"/>
      <c r="W47" s="76">
        <f>-W41</f>
        <v>-223821.09399999998</v>
      </c>
    </row>
    <row r="48" spans="1:23" ht="12.75">
      <c r="A48" s="5"/>
      <c r="B48" s="57" t="s">
        <v>146</v>
      </c>
      <c r="C48" s="74"/>
      <c r="D48" s="72"/>
      <c r="E48" s="76">
        <f>-D28</f>
        <v>0</v>
      </c>
      <c r="F48" s="75"/>
      <c r="G48" s="72"/>
      <c r="H48" s="76">
        <f>-G28</f>
        <v>0</v>
      </c>
      <c r="I48" s="75"/>
      <c r="J48" s="72"/>
      <c r="K48" s="76">
        <f>-J28</f>
        <v>0</v>
      </c>
      <c r="L48" s="75"/>
      <c r="M48" s="72"/>
      <c r="N48" s="76">
        <f>-M28</f>
        <v>-31342.39343115386</v>
      </c>
      <c r="O48" s="75"/>
      <c r="P48" s="72"/>
      <c r="Q48" s="76">
        <f>-P28</f>
        <v>-76463.724684648</v>
      </c>
      <c r="R48" s="75"/>
      <c r="S48" s="72"/>
      <c r="T48" s="76">
        <f>-S28</f>
        <v>-82730.02571365278</v>
      </c>
      <c r="U48" s="75"/>
      <c r="V48" s="72"/>
      <c r="W48" s="76">
        <f>-V28</f>
        <v>-75704.6002602512</v>
      </c>
    </row>
    <row r="49" spans="1:23" ht="15.75">
      <c r="A49" s="5"/>
      <c r="B49" s="52" t="s">
        <v>147</v>
      </c>
      <c r="C49" s="74"/>
      <c r="D49" s="72"/>
      <c r="E49" s="86">
        <f>SUM(E43:E48)</f>
        <v>0</v>
      </c>
      <c r="F49" s="75"/>
      <c r="G49" s="72"/>
      <c r="H49" s="86">
        <f>SUM(H43:H48)</f>
        <v>0</v>
      </c>
      <c r="I49" s="75"/>
      <c r="J49" s="72"/>
      <c r="K49" s="86">
        <f>SUM(K43:K48)</f>
        <v>0</v>
      </c>
      <c r="L49" s="75"/>
      <c r="M49" s="72"/>
      <c r="N49" s="86">
        <f>SUM(N43:N48)</f>
        <v>30531.793345566184</v>
      </c>
      <c r="O49" s="75"/>
      <c r="P49" s="72"/>
      <c r="Q49" s="86">
        <f>SUM(Q43:Q48)</f>
        <v>64754.549894700045</v>
      </c>
      <c r="R49" s="75"/>
      <c r="S49" s="72"/>
      <c r="T49" s="86">
        <f>SUM(T43:T48)</f>
        <v>70061.26892142004</v>
      </c>
      <c r="U49" s="75"/>
      <c r="V49" s="72"/>
      <c r="W49" s="86">
        <f>SUM(W43:W48)</f>
        <v>64111.673019180074</v>
      </c>
    </row>
    <row r="50" spans="1:23" ht="15.75">
      <c r="A50" s="5"/>
      <c r="B50" s="52"/>
      <c r="C50" s="74"/>
      <c r="D50" s="72"/>
      <c r="E50" s="87"/>
      <c r="F50" s="75"/>
      <c r="G50" s="72"/>
      <c r="H50" s="87"/>
      <c r="I50" s="75"/>
      <c r="J50" s="72"/>
      <c r="K50" s="87"/>
      <c r="L50" s="75"/>
      <c r="M50" s="72"/>
      <c r="N50" s="87"/>
      <c r="O50" s="75"/>
      <c r="P50" s="72"/>
      <c r="Q50" s="87"/>
      <c r="R50" s="75"/>
      <c r="S50" s="72"/>
      <c r="T50" s="87"/>
      <c r="U50" s="75"/>
      <c r="V50" s="72"/>
      <c r="W50" s="87"/>
    </row>
    <row r="51" spans="1:23" ht="15.75">
      <c r="A51" s="5"/>
      <c r="B51" s="52" t="s">
        <v>204</v>
      </c>
      <c r="C51" s="74"/>
      <c r="D51" s="72"/>
      <c r="E51" s="81">
        <f>'5. PILs'!C42</f>
        <v>0</v>
      </c>
      <c r="F51" s="75"/>
      <c r="G51" s="72"/>
      <c r="H51" s="81">
        <f>'5. PILs'!D42</f>
        <v>0</v>
      </c>
      <c r="I51" s="75"/>
      <c r="J51" s="72"/>
      <c r="K51" s="81">
        <f>'5. PILs'!E42</f>
        <v>0</v>
      </c>
      <c r="L51" s="75"/>
      <c r="M51" s="72"/>
      <c r="N51" s="81">
        <f>'5. PILs'!F42</f>
        <v>-839.09345856442</v>
      </c>
      <c r="O51" s="75"/>
      <c r="P51" s="72"/>
      <c r="Q51" s="81">
        <f>'5. PILs'!G42</f>
        <v>-11866.03280466568</v>
      </c>
      <c r="R51" s="75"/>
      <c r="S51" s="72"/>
      <c r="T51" s="81">
        <f>'5. PILs'!H42</f>
        <v>6978.846628610737</v>
      </c>
      <c r="U51" s="75"/>
      <c r="V51" s="72"/>
      <c r="W51" s="81">
        <f>'5. PILs'!I42</f>
        <v>36443.6493705008</v>
      </c>
    </row>
    <row r="52" spans="1:23" ht="12.75">
      <c r="A52" s="5"/>
      <c r="B52" s="65"/>
      <c r="C52" s="74"/>
      <c r="D52" s="72"/>
      <c r="E52" s="87"/>
      <c r="F52" s="75"/>
      <c r="G52" s="72"/>
      <c r="H52" s="87"/>
      <c r="I52" s="75"/>
      <c r="J52" s="72"/>
      <c r="K52" s="87"/>
      <c r="L52" s="75"/>
      <c r="M52" s="72"/>
      <c r="N52" s="87"/>
      <c r="O52" s="75"/>
      <c r="P52" s="72"/>
      <c r="Q52" s="87"/>
      <c r="R52" s="75"/>
      <c r="S52" s="72"/>
      <c r="T52" s="87"/>
      <c r="U52" s="75"/>
      <c r="V52" s="72"/>
      <c r="W52" s="87"/>
    </row>
    <row r="53" spans="1:23" ht="12.75">
      <c r="A53" s="5"/>
      <c r="B53" s="65" t="str">
        <f>B43</f>
        <v>Revenue Requirement Before PILs</v>
      </c>
      <c r="C53" s="74"/>
      <c r="D53" s="72"/>
      <c r="E53" s="87">
        <f>E43</f>
        <v>0</v>
      </c>
      <c r="F53" s="75"/>
      <c r="G53" s="72"/>
      <c r="H53" s="87">
        <f>H43</f>
        <v>0</v>
      </c>
      <c r="I53" s="75"/>
      <c r="J53" s="72"/>
      <c r="K53" s="87">
        <f>K43</f>
        <v>0</v>
      </c>
      <c r="L53" s="75"/>
      <c r="M53" s="72"/>
      <c r="N53" s="87">
        <f>N43</f>
        <v>200693.3134433867</v>
      </c>
      <c r="O53" s="75"/>
      <c r="P53" s="72"/>
      <c r="Q53" s="87">
        <f>Q43</f>
        <v>406023.0642460147</v>
      </c>
      <c r="R53" s="75"/>
      <c r="S53" s="72"/>
      <c r="T53" s="87">
        <f>T43</f>
        <v>464873.0276350728</v>
      </c>
      <c r="U53" s="75"/>
      <c r="V53" s="72"/>
      <c r="W53" s="87">
        <f>W43</f>
        <v>554494.3172794313</v>
      </c>
    </row>
    <row r="54" spans="1:23" ht="12.75">
      <c r="A54" s="5"/>
      <c r="B54" s="65" t="s">
        <v>148</v>
      </c>
      <c r="C54" s="74"/>
      <c r="D54" s="72"/>
      <c r="E54" s="87">
        <f>E51</f>
        <v>0</v>
      </c>
      <c r="F54" s="75"/>
      <c r="G54" s="72"/>
      <c r="H54" s="87">
        <f>H51</f>
        <v>0</v>
      </c>
      <c r="I54" s="75"/>
      <c r="J54" s="72"/>
      <c r="K54" s="87">
        <f>K51</f>
        <v>0</v>
      </c>
      <c r="L54" s="75"/>
      <c r="M54" s="72"/>
      <c r="N54" s="87">
        <f>N51</f>
        <v>-839.09345856442</v>
      </c>
      <c r="O54" s="75"/>
      <c r="P54" s="72"/>
      <c r="Q54" s="87">
        <f>Q51</f>
        <v>-11866.03280466568</v>
      </c>
      <c r="R54" s="75"/>
      <c r="S54" s="72"/>
      <c r="T54" s="87">
        <f>T51</f>
        <v>6978.846628610737</v>
      </c>
      <c r="U54" s="75"/>
      <c r="V54" s="72"/>
      <c r="W54" s="87">
        <f>W51</f>
        <v>36443.6493705008</v>
      </c>
    </row>
    <row r="55" spans="1:23" ht="16.5" thickBot="1">
      <c r="A55" s="5"/>
      <c r="B55" s="52" t="s">
        <v>124</v>
      </c>
      <c r="C55" s="74"/>
      <c r="D55" s="72"/>
      <c r="E55" s="88">
        <f>SUM(E53:E54)</f>
        <v>0</v>
      </c>
      <c r="F55" s="75"/>
      <c r="G55" s="72"/>
      <c r="H55" s="88">
        <f>SUM(H53:H54)</f>
        <v>0</v>
      </c>
      <c r="I55" s="75"/>
      <c r="J55" s="72"/>
      <c r="K55" s="88">
        <f>SUM(K53:K54)</f>
        <v>0</v>
      </c>
      <c r="L55" s="75"/>
      <c r="M55" s="72"/>
      <c r="N55" s="88">
        <f>SUM(N53:N54)</f>
        <v>199854.21998482227</v>
      </c>
      <c r="O55" s="75"/>
      <c r="P55" s="72"/>
      <c r="Q55" s="88">
        <f>SUM(Q53:Q54)</f>
        <v>394157.031441349</v>
      </c>
      <c r="R55" s="75"/>
      <c r="S55" s="72"/>
      <c r="T55" s="88">
        <f>SUM(T53:T54)</f>
        <v>471851.87426368357</v>
      </c>
      <c r="U55" s="75"/>
      <c r="V55" s="72"/>
      <c r="W55" s="88">
        <f>SUM(W53:W54)</f>
        <v>590937.9666499321</v>
      </c>
    </row>
    <row r="56" spans="1:23" ht="12.75">
      <c r="A56" s="5"/>
      <c r="B56" s="65"/>
      <c r="C56" s="155"/>
      <c r="D56" s="156"/>
      <c r="E56" s="157"/>
      <c r="F56" s="158"/>
      <c r="G56" s="156"/>
      <c r="H56" s="157"/>
      <c r="I56" s="158"/>
      <c r="J56" s="156"/>
      <c r="K56" s="157"/>
      <c r="L56" s="158"/>
      <c r="M56" s="156"/>
      <c r="N56" s="157"/>
      <c r="O56" s="158"/>
      <c r="P56" s="156"/>
      <c r="Q56" s="157"/>
      <c r="R56" s="158"/>
      <c r="S56" s="156"/>
      <c r="T56" s="157"/>
      <c r="U56" s="158"/>
      <c r="V56" s="156"/>
      <c r="W56" s="157"/>
    </row>
    <row r="57" spans="1:7" ht="67.5" customHeight="1">
      <c r="A57" s="5"/>
      <c r="B57" s="65"/>
      <c r="C57" s="5"/>
      <c r="D57" s="5"/>
      <c r="E57" s="5"/>
      <c r="F57"/>
      <c r="G57" s="63"/>
    </row>
    <row r="58" spans="1:7" ht="12.75">
      <c r="A58" s="5"/>
      <c r="B58" s="5"/>
      <c r="C58" s="5"/>
      <c r="D58" s="5"/>
      <c r="E58" s="5"/>
      <c r="F58" s="5"/>
      <c r="G58" s="63"/>
    </row>
    <row r="59" spans="1:7" ht="12.75">
      <c r="A59" s="5"/>
      <c r="B59" s="5"/>
      <c r="C59" s="5"/>
      <c r="D59" s="5"/>
      <c r="E59" s="5"/>
      <c r="F59" s="5"/>
      <c r="G59" s="63"/>
    </row>
    <row r="60" spans="1:7" ht="21.75" customHeight="1">
      <c r="A60" s="5"/>
      <c r="B60" s="5"/>
      <c r="C60" s="5"/>
      <c r="D60" s="5"/>
      <c r="E60" s="5"/>
      <c r="F60" s="5"/>
      <c r="G60" s="63"/>
    </row>
    <row r="61" spans="1:7" ht="45.75" customHeight="1">
      <c r="A61" s="5"/>
      <c r="B61" s="65"/>
      <c r="C61" s="5"/>
      <c r="D61" s="5"/>
      <c r="E61" s="5"/>
      <c r="F61" s="5"/>
      <c r="G61" s="63"/>
    </row>
  </sheetData>
  <sheetProtection formatColumns="0" selectLockedCells="1"/>
  <mergeCells count="15">
    <mergeCell ref="B1:D1"/>
    <mergeCell ref="C7:E7"/>
    <mergeCell ref="F7:H7"/>
    <mergeCell ref="I7:K7"/>
    <mergeCell ref="I6:K6"/>
    <mergeCell ref="C6:E6"/>
    <mergeCell ref="F6:H6"/>
    <mergeCell ref="U6:W6"/>
    <mergeCell ref="U7:W7"/>
    <mergeCell ref="L7:N7"/>
    <mergeCell ref="O7:Q7"/>
    <mergeCell ref="R6:T6"/>
    <mergeCell ref="R7:T7"/>
    <mergeCell ref="L6:N6"/>
    <mergeCell ref="O6:Q6"/>
  </mergeCells>
  <printOptions horizontalCentered="1"/>
  <pageMargins left="0.03937007874015748" right="0.03937007874015748" top="0.7874015748031497" bottom="0.5511811023622047" header="0.5118110236220472" footer="0.5118110236220472"/>
  <pageSetup fitToHeight="1" fitToWidth="1" horizontalDpi="600" verticalDpi="600" orientation="landscape" scale="43" r:id="rId1"/>
  <headerFooter alignWithMargins="0">
    <oddHeader>&amp;R&amp;F&amp;A</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B17">
      <selection activeCell="I41" sqref="I41"/>
    </sheetView>
  </sheetViews>
  <sheetFormatPr defaultColWidth="9.140625" defaultRowHeight="12.75"/>
  <cols>
    <col min="1" max="1" width="16.28125" style="7" customWidth="1"/>
    <col min="2" max="2" width="33.00390625" style="7" bestFit="1" customWidth="1"/>
    <col min="3" max="4" width="13.28125" style="7" bestFit="1" customWidth="1"/>
    <col min="5" max="8" width="14.140625" style="7" bestFit="1" customWidth="1"/>
    <col min="9" max="9" width="15.28125" style="7" bestFit="1" customWidth="1"/>
    <col min="10" max="16384" width="9.140625" style="7" customWidth="1"/>
  </cols>
  <sheetData>
    <row r="1" spans="1:6" s="3" customFormat="1" ht="21" customHeight="1">
      <c r="A1" s="1"/>
      <c r="B1" s="194" t="s">
        <v>149</v>
      </c>
      <c r="C1" s="194"/>
      <c r="D1" s="194"/>
      <c r="E1" s="194"/>
      <c r="F1" s="1"/>
    </row>
    <row r="2" spans="1:7" s="3" customFormat="1" ht="6" customHeight="1">
      <c r="A2" s="27"/>
      <c r="B2" s="27"/>
      <c r="C2" s="27"/>
      <c r="D2" s="27"/>
      <c r="E2" s="27"/>
      <c r="F2" s="27"/>
      <c r="G2" s="27"/>
    </row>
    <row r="3" spans="1:6" ht="12.75">
      <c r="A3" s="5"/>
      <c r="B3" s="5"/>
      <c r="C3" s="5"/>
      <c r="D3" s="5"/>
      <c r="E3" s="5"/>
      <c r="F3" s="5"/>
    </row>
    <row r="4" spans="1:6" ht="26.25">
      <c r="A4" s="5"/>
      <c r="B4" s="64" t="s">
        <v>150</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151</v>
      </c>
      <c r="C7" s="24" t="str">
        <f>'2. Smart Meter Data'!D5</f>
        <v>Audited Actual</v>
      </c>
      <c r="D7" s="24" t="str">
        <f>'2. Smart Meter Data'!E5</f>
        <v>Audited Actual</v>
      </c>
      <c r="E7" s="24" t="str">
        <f>'2. Smart Meter Data'!F5</f>
        <v>Actual</v>
      </c>
      <c r="F7" s="24" t="str">
        <f>'2. Smart Meter Data'!G5</f>
        <v>Forecasted</v>
      </c>
      <c r="G7" s="24" t="str">
        <f>'2. Smart Meter Data'!H5</f>
        <v>Forecasted</v>
      </c>
      <c r="H7" s="24" t="str">
        <f>'2. Smart Meter Data'!I5</f>
        <v>Forecasted</v>
      </c>
      <c r="I7" s="24" t="str">
        <f>'2. Smart Meter Data'!J5</f>
        <v>Forecasted</v>
      </c>
    </row>
    <row r="8" spans="1:9" ht="12.75">
      <c r="A8" s="5"/>
      <c r="B8" s="5" t="s">
        <v>152</v>
      </c>
      <c r="C8" s="90">
        <f>'4. Smart Meter Rev Req'!E49</f>
        <v>0</v>
      </c>
      <c r="D8" s="90">
        <f>'4. Smart Meter Rev Req'!H49</f>
        <v>0</v>
      </c>
      <c r="E8" s="90">
        <f>'4. Smart Meter Rev Req'!K49</f>
        <v>0</v>
      </c>
      <c r="F8" s="90">
        <f>'4. Smart Meter Rev Req'!N49</f>
        <v>30531.793345566184</v>
      </c>
      <c r="G8" s="90">
        <f>'4. Smart Meter Rev Req'!Q49</f>
        <v>64754.549894700045</v>
      </c>
      <c r="H8" s="90">
        <f>'4. Smart Meter Rev Req'!T49</f>
        <v>70061.26892142004</v>
      </c>
      <c r="I8" s="90">
        <f>'4. Smart Meter Rev Req'!W49</f>
        <v>64111.673019180074</v>
      </c>
    </row>
    <row r="9" spans="1:9" ht="12.75">
      <c r="A9" s="5"/>
      <c r="B9" s="5" t="s">
        <v>205</v>
      </c>
      <c r="C9" s="90">
        <f>-'4. Smart Meter Rev Req'!E47</f>
        <v>0</v>
      </c>
      <c r="D9" s="90">
        <f>-'4. Smart Meter Rev Req'!H47</f>
        <v>0</v>
      </c>
      <c r="E9" s="90">
        <f>-'4. Smart Meter Rev Req'!K47</f>
        <v>0</v>
      </c>
      <c r="F9" s="90">
        <f>-'4. Smart Meter Rev Req'!N47</f>
        <v>71529.45666666667</v>
      </c>
      <c r="G9" s="90">
        <f>-'4. Smart Meter Rev Req'!Q47</f>
        <v>182452.42966666666</v>
      </c>
      <c r="H9" s="90">
        <f>-'4. Smart Meter Rev Req'!T47</f>
        <v>222339.733</v>
      </c>
      <c r="I9" s="90">
        <f>-'4. Smart Meter Rev Req'!W47</f>
        <v>223821.09399999998</v>
      </c>
    </row>
    <row r="10" spans="1:9" ht="12.75">
      <c r="A10" s="5"/>
      <c r="B10" s="5" t="s">
        <v>229</v>
      </c>
      <c r="C10" s="90">
        <f>-'6. Avg Nt Fix Ass &amp;UCC'!C93</f>
        <v>0</v>
      </c>
      <c r="D10" s="90">
        <f>-'6. Avg Nt Fix Ass &amp;UCC'!D93</f>
        <v>0</v>
      </c>
      <c r="E10" s="90">
        <f>-'6. Avg Nt Fix Ass &amp;UCC'!E93</f>
        <v>0</v>
      </c>
      <c r="F10" s="90">
        <f>-'6. Avg Nt Fix Ass &amp;UCC'!F93</f>
        <v>-65799.1712</v>
      </c>
      <c r="G10" s="90">
        <f>-'6. Avg Nt Fix Ass &amp;UCC'!G93</f>
        <v>-145839.350704</v>
      </c>
      <c r="H10" s="90">
        <f>-'6. Avg Nt Fix Ass &amp;UCC'!H93</f>
        <v>-154269.68904768</v>
      </c>
      <c r="I10" s="90">
        <f>-'6. Avg Nt Fix Ass &amp;UCC'!I93</f>
        <v>-143705.7471238656</v>
      </c>
    </row>
    <row r="11" spans="1:9" ht="12.75">
      <c r="A11" s="5"/>
      <c r="B11" s="5" t="s">
        <v>231</v>
      </c>
      <c r="C11" s="90">
        <f>-'6. Avg Nt Fix Ass &amp;UCC'!C107</f>
        <v>0</v>
      </c>
      <c r="D11" s="90">
        <f>-'6. Avg Nt Fix Ass &amp;UCC'!D107</f>
        <v>0</v>
      </c>
      <c r="E11" s="90">
        <f>-'6. Avg Nt Fix Ass &amp;UCC'!E107</f>
        <v>0</v>
      </c>
      <c r="F11" s="90">
        <f>-'6. Avg Nt Fix Ass &amp;UCC'!F107</f>
        <v>-45916.23850000001</v>
      </c>
      <c r="G11" s="90">
        <f>-'6. Avg Nt Fix Ass &amp;UCC'!G107</f>
        <v>-130211.89032500003</v>
      </c>
      <c r="H11" s="90">
        <f>-'6. Avg Nt Fix Ass &amp;UCC'!H107</f>
        <v>-122228.69514625</v>
      </c>
      <c r="I11" s="90">
        <f>-'6. Avg Nt Fix Ass &amp;UCC'!I107</f>
        <v>-55002.91281581249</v>
      </c>
    </row>
    <row r="12" spans="1:9" ht="12.75">
      <c r="A12" s="5"/>
      <c r="B12" s="5" t="s">
        <v>230</v>
      </c>
      <c r="C12" s="90">
        <f>-'6. Avg Nt Fix Ass &amp;UCC'!C121</f>
        <v>0</v>
      </c>
      <c r="D12" s="90">
        <f>-'6. Avg Nt Fix Ass &amp;UCC'!D121</f>
        <v>0</v>
      </c>
      <c r="E12" s="90">
        <f>-'6. Avg Nt Fix Ass &amp;UCC'!E121</f>
        <v>0</v>
      </c>
      <c r="F12" s="90">
        <f>-'6. Avg Nt Fix Ass &amp;UCC'!F121</f>
        <v>0</v>
      </c>
      <c r="G12" s="90">
        <f>-'6. Avg Nt Fix Ass &amp;UCC'!G121</f>
        <v>0</v>
      </c>
      <c r="H12" s="90">
        <f>-'6. Avg Nt Fix Ass &amp;UCC'!H121</f>
        <v>0</v>
      </c>
      <c r="I12" s="90">
        <f>-'6. Avg Nt Fix Ass &amp;UCC'!I121</f>
        <v>0</v>
      </c>
    </row>
    <row r="13" spans="1:9" ht="12.75">
      <c r="A13" s="5"/>
      <c r="B13" s="5" t="s">
        <v>153</v>
      </c>
      <c r="C13" s="77">
        <f aca="true" t="shared" si="0" ref="C13:I13">SUM(C8:C12)</f>
        <v>0</v>
      </c>
      <c r="D13" s="77">
        <f t="shared" si="0"/>
        <v>0</v>
      </c>
      <c r="E13" s="77">
        <f t="shared" si="0"/>
        <v>0</v>
      </c>
      <c r="F13" s="77">
        <f t="shared" si="0"/>
        <v>-9654.159687767155</v>
      </c>
      <c r="G13" s="77">
        <f t="shared" si="0"/>
        <v>-28844.261467633318</v>
      </c>
      <c r="H13" s="77">
        <f t="shared" si="0"/>
        <v>15902.61772749004</v>
      </c>
      <c r="I13" s="77">
        <f t="shared" si="0"/>
        <v>89224.10707950196</v>
      </c>
    </row>
    <row r="14" spans="1:9" ht="12.75">
      <c r="A14" s="5"/>
      <c r="B14" s="5" t="s">
        <v>206</v>
      </c>
      <c r="C14" s="135">
        <f>'3.  LDC Assumptions and Data'!C26</f>
        <v>0.3612</v>
      </c>
      <c r="D14" s="135">
        <f>'3.  LDC Assumptions and Data'!D26</f>
        <v>0.3612</v>
      </c>
      <c r="E14" s="135">
        <f>'3.  LDC Assumptions and Data'!E26</f>
        <v>0.335</v>
      </c>
      <c r="F14" s="135">
        <f>'3.  LDC Assumptions and Data'!F26</f>
        <v>0.33</v>
      </c>
      <c r="G14" s="135">
        <f>'3.  LDC Assumptions and Data'!G26</f>
        <v>0.32</v>
      </c>
      <c r="H14" s="135">
        <f>'3.  LDC Assumptions and Data'!H26</f>
        <v>0.305</v>
      </c>
      <c r="I14" s="135">
        <f>'3.  LDC Assumptions and Data'!I26</f>
        <v>0.29</v>
      </c>
    </row>
    <row r="15" spans="1:9" ht="12.75">
      <c r="A15" s="5"/>
      <c r="B15" s="5" t="s">
        <v>154</v>
      </c>
      <c r="C15" s="77">
        <f aca="true" t="shared" si="1" ref="C15:I15">C13*C14</f>
        <v>0</v>
      </c>
      <c r="D15" s="77">
        <f t="shared" si="1"/>
        <v>0</v>
      </c>
      <c r="E15" s="77">
        <f t="shared" si="1"/>
        <v>0</v>
      </c>
      <c r="F15" s="77">
        <f t="shared" si="1"/>
        <v>-3185.872696963161</v>
      </c>
      <c r="G15" s="77">
        <f t="shared" si="1"/>
        <v>-9230.163669642661</v>
      </c>
      <c r="H15" s="77">
        <f t="shared" si="1"/>
        <v>4850.298406884463</v>
      </c>
      <c r="I15" s="77">
        <f t="shared" si="1"/>
        <v>25874.991053055568</v>
      </c>
    </row>
    <row r="16" spans="1:7" ht="12.75">
      <c r="A16" s="5"/>
      <c r="B16" s="5"/>
      <c r="C16" s="5"/>
      <c r="D16" s="5"/>
      <c r="E16" s="5"/>
      <c r="F16" s="5"/>
      <c r="G16" s="5"/>
    </row>
    <row r="17" spans="1:7" ht="12.75">
      <c r="A17" s="5"/>
      <c r="B17" s="34" t="s">
        <v>155</v>
      </c>
      <c r="C17" s="5"/>
      <c r="D17" s="5"/>
      <c r="E17" s="5"/>
      <c r="F17" s="5"/>
      <c r="G17" s="5"/>
    </row>
    <row r="18" spans="1:9" ht="12.75">
      <c r="A18" s="5"/>
      <c r="B18" s="65" t="s">
        <v>117</v>
      </c>
      <c r="C18" s="90">
        <f>'6. Avg Nt Fix Ass &amp;UCC'!C17</f>
        <v>0</v>
      </c>
      <c r="D18" s="90">
        <f>'6. Avg Nt Fix Ass &amp;UCC'!D17</f>
        <v>0</v>
      </c>
      <c r="E18" s="90">
        <f>'6. Avg Nt Fix Ass &amp;UCC'!E17</f>
        <v>0</v>
      </c>
      <c r="F18" s="90">
        <f>'6. Avg Nt Fix Ass &amp;UCC'!F17</f>
        <v>1590146.6373333333</v>
      </c>
      <c r="G18" s="90">
        <f>'6. Avg Nt Fix Ass &amp;UCC'!G17</f>
        <v>1951850.7836666668</v>
      </c>
      <c r="H18" s="90">
        <f>'6. Avg Nt Fix Ass &amp;UCC'!H17</f>
        <v>1823997.0846666666</v>
      </c>
      <c r="I18" s="90">
        <f>'6. Avg Nt Fix Ass &amp;UCC'!I17</f>
        <v>1709475.6346666669</v>
      </c>
    </row>
    <row r="19" spans="1:9" ht="12.75">
      <c r="A19" s="5"/>
      <c r="B19" s="65" t="s">
        <v>99</v>
      </c>
      <c r="C19" s="90">
        <f>'6. Avg Nt Fix Ass &amp;UCC'!C32</f>
        <v>0</v>
      </c>
      <c r="D19" s="90">
        <f>'6. Avg Nt Fix Ass &amp;UCC'!D32</f>
        <v>0</v>
      </c>
      <c r="E19" s="90">
        <f>'6. Avg Nt Fix Ass &amp;UCC'!E32</f>
        <v>0</v>
      </c>
      <c r="F19" s="90">
        <f>'6. Avg Nt Fix Ass &amp;UCC'!F32</f>
        <v>3477.6</v>
      </c>
      <c r="G19" s="90">
        <f>'6. Avg Nt Fix Ass &amp;UCC'!G32</f>
        <v>6182.4</v>
      </c>
      <c r="H19" s="90">
        <f>'6. Avg Nt Fix Ass &amp;UCC'!H32</f>
        <v>4636.8</v>
      </c>
      <c r="I19" s="90">
        <f>'6. Avg Nt Fix Ass &amp;UCC'!I32</f>
        <v>3091.2000000000007</v>
      </c>
    </row>
    <row r="20" spans="1:9" ht="12.75">
      <c r="A20" s="5"/>
      <c r="B20" s="65" t="s">
        <v>100</v>
      </c>
      <c r="C20" s="82">
        <f>'6. Avg Nt Fix Ass &amp;UCC'!C47</f>
        <v>0</v>
      </c>
      <c r="D20" s="82">
        <f>'6. Avg Nt Fix Ass &amp;UCC'!D47</f>
        <v>0</v>
      </c>
      <c r="E20" s="82">
        <f>'6. Avg Nt Fix Ass &amp;UCC'!E47</f>
        <v>0</v>
      </c>
      <c r="F20" s="82">
        <f>'6. Avg Nt Fix Ass &amp;UCC'!F47</f>
        <v>146793.72600000002</v>
      </c>
      <c r="G20" s="82">
        <f>'6. Avg Nt Fix Ass &amp;UCC'!G47</f>
        <v>318949.88</v>
      </c>
      <c r="H20" s="82">
        <f>'6. Avg Nt Fix Ass &amp;UCC'!H47</f>
        <v>240823.05599999998</v>
      </c>
      <c r="I20" s="82">
        <f>'6. Avg Nt Fix Ass &amp;UCC'!I47</f>
        <v>162696.232</v>
      </c>
    </row>
    <row r="21" spans="1:9" ht="12.75">
      <c r="A21" s="5"/>
      <c r="B21" s="65" t="s">
        <v>11</v>
      </c>
      <c r="C21" s="82">
        <f>'6. Avg Nt Fix Ass &amp;UCC'!C62</f>
        <v>0</v>
      </c>
      <c r="D21" s="82">
        <f>'6. Avg Nt Fix Ass &amp;UCC'!D62</f>
        <v>0</v>
      </c>
      <c r="E21" s="82">
        <f>'6. Avg Nt Fix Ass &amp;UCC'!E62</f>
        <v>0</v>
      </c>
      <c r="F21" s="82">
        <f>'6. Avg Nt Fix Ass &amp;UCC'!F62</f>
        <v>0</v>
      </c>
      <c r="G21" s="82">
        <f>'6. Avg Nt Fix Ass &amp;UCC'!G62</f>
        <v>0</v>
      </c>
      <c r="H21" s="82">
        <f>'6. Avg Nt Fix Ass &amp;UCC'!H62</f>
        <v>0</v>
      </c>
      <c r="I21" s="82">
        <f>'6. Avg Nt Fix Ass &amp;UCC'!I62</f>
        <v>0</v>
      </c>
    </row>
    <row r="22" spans="1:9" ht="12.75">
      <c r="A22" s="5"/>
      <c r="B22" s="65" t="s">
        <v>13</v>
      </c>
      <c r="C22" s="91">
        <f>'6. Avg Nt Fix Ass &amp;UCC'!C77</f>
        <v>0</v>
      </c>
      <c r="D22" s="91">
        <f>'6. Avg Nt Fix Ass &amp;UCC'!D77</f>
        <v>0</v>
      </c>
      <c r="E22" s="91">
        <f>'6. Avg Nt Fix Ass &amp;UCC'!E77</f>
        <v>0</v>
      </c>
      <c r="F22" s="91">
        <f>'6. Avg Nt Fix Ass &amp;UCC'!F77</f>
        <v>0</v>
      </c>
      <c r="G22" s="91">
        <f>'6. Avg Nt Fix Ass &amp;UCC'!G77</f>
        <v>0</v>
      </c>
      <c r="H22" s="91">
        <f>'6. Avg Nt Fix Ass &amp;UCC'!H77</f>
        <v>0</v>
      </c>
      <c r="I22" s="91">
        <f>'6. Avg Nt Fix Ass &amp;UCC'!I77</f>
        <v>0</v>
      </c>
    </row>
    <row r="23" spans="1:9" ht="12.75">
      <c r="A23" s="5"/>
      <c r="B23" s="5" t="s">
        <v>156</v>
      </c>
      <c r="C23" s="58">
        <f aca="true" t="shared" si="2" ref="C23:I23">SUM(C18:C20)</f>
        <v>0</v>
      </c>
      <c r="D23" s="58">
        <f t="shared" si="2"/>
        <v>0</v>
      </c>
      <c r="E23" s="58">
        <f t="shared" si="2"/>
        <v>0</v>
      </c>
      <c r="F23" s="58">
        <f t="shared" si="2"/>
        <v>1740417.9633333334</v>
      </c>
      <c r="G23" s="58">
        <f t="shared" si="2"/>
        <v>2276983.063666667</v>
      </c>
      <c r="H23" s="58">
        <f t="shared" si="2"/>
        <v>2069456.9406666667</v>
      </c>
      <c r="I23" s="58">
        <f t="shared" si="2"/>
        <v>1875263.066666667</v>
      </c>
    </row>
    <row r="24" spans="1:9" ht="12.75">
      <c r="A24" s="5"/>
      <c r="B24" s="5" t="s">
        <v>157</v>
      </c>
      <c r="C24" s="58">
        <v>0</v>
      </c>
      <c r="D24" s="58">
        <v>0</v>
      </c>
      <c r="E24" s="58">
        <v>0</v>
      </c>
      <c r="F24" s="58">
        <v>0</v>
      </c>
      <c r="G24" s="58">
        <v>0</v>
      </c>
      <c r="H24" s="58">
        <v>0</v>
      </c>
      <c r="I24" s="58">
        <v>0</v>
      </c>
    </row>
    <row r="25" spans="1:9" ht="12.75">
      <c r="A25" s="5"/>
      <c r="B25" s="5" t="s">
        <v>158</v>
      </c>
      <c r="C25" s="77">
        <f aca="true" t="shared" si="3" ref="C25:I25">C23-C24</f>
        <v>0</v>
      </c>
      <c r="D25" s="77">
        <f t="shared" si="3"/>
        <v>0</v>
      </c>
      <c r="E25" s="77">
        <f t="shared" si="3"/>
        <v>0</v>
      </c>
      <c r="F25" s="77">
        <f t="shared" si="3"/>
        <v>1740417.9633333334</v>
      </c>
      <c r="G25" s="77">
        <f t="shared" si="3"/>
        <v>2276983.063666667</v>
      </c>
      <c r="H25" s="77">
        <f t="shared" si="3"/>
        <v>2069456.9406666667</v>
      </c>
      <c r="I25" s="77">
        <f t="shared" si="3"/>
        <v>1875263.066666667</v>
      </c>
    </row>
    <row r="26" spans="1:9" ht="12.75">
      <c r="A26" s="5"/>
      <c r="B26" s="5" t="s">
        <v>159</v>
      </c>
      <c r="C26" s="92">
        <v>0.003</v>
      </c>
      <c r="D26" s="144">
        <v>0.00225</v>
      </c>
      <c r="E26" s="144">
        <v>0.00225</v>
      </c>
      <c r="F26" s="144">
        <v>0.00225</v>
      </c>
      <c r="G26" s="144">
        <f>0.15%/2</f>
        <v>0.00075</v>
      </c>
      <c r="H26" s="92">
        <v>0</v>
      </c>
      <c r="I26" s="92">
        <v>0</v>
      </c>
    </row>
    <row r="27" spans="1:9" ht="12.75">
      <c r="A27" s="5"/>
      <c r="B27" s="5" t="s">
        <v>160</v>
      </c>
      <c r="C27" s="77">
        <f aca="true" t="shared" si="4" ref="C27:I27">C25*C26</f>
        <v>0</v>
      </c>
      <c r="D27" s="77">
        <f t="shared" si="4"/>
        <v>0</v>
      </c>
      <c r="E27" s="77">
        <f t="shared" si="4"/>
        <v>0</v>
      </c>
      <c r="F27" s="77">
        <f t="shared" si="4"/>
        <v>3915.9404175</v>
      </c>
      <c r="G27" s="77">
        <f t="shared" si="4"/>
        <v>1707.7372977500002</v>
      </c>
      <c r="H27" s="77">
        <f t="shared" si="4"/>
        <v>0</v>
      </c>
      <c r="I27" s="77">
        <f t="shared" si="4"/>
        <v>0</v>
      </c>
    </row>
    <row r="28" spans="1:7" ht="12.75">
      <c r="A28" s="5"/>
      <c r="B28" s="5"/>
      <c r="C28" s="5"/>
      <c r="D28" s="5"/>
      <c r="E28" s="5"/>
      <c r="F28" s="5"/>
      <c r="G28" s="5"/>
    </row>
    <row r="29" spans="1:7" ht="12.75">
      <c r="A29" s="5"/>
      <c r="B29" s="5"/>
      <c r="C29" s="5"/>
      <c r="D29" s="5"/>
      <c r="E29" s="5"/>
      <c r="F29" s="5"/>
      <c r="G29" s="5"/>
    </row>
    <row r="30" spans="1:7" ht="15.75">
      <c r="A30" s="5"/>
      <c r="B30" s="93" t="s">
        <v>161</v>
      </c>
      <c r="C30" s="5"/>
      <c r="D30" s="5"/>
      <c r="E30" s="5"/>
      <c r="F30" s="5"/>
      <c r="G30" s="5"/>
    </row>
    <row r="31" spans="1:9" ht="12.75">
      <c r="A31" s="5"/>
      <c r="B31" s="5"/>
      <c r="C31" s="24" t="s">
        <v>162</v>
      </c>
      <c r="D31" s="24" t="s">
        <v>162</v>
      </c>
      <c r="E31" s="24" t="s">
        <v>162</v>
      </c>
      <c r="F31" s="24" t="s">
        <v>162</v>
      </c>
      <c r="G31" s="24" t="s">
        <v>162</v>
      </c>
      <c r="H31" s="24" t="s">
        <v>162</v>
      </c>
      <c r="I31" s="24" t="s">
        <v>162</v>
      </c>
    </row>
    <row r="32" spans="1:9" ht="12.75">
      <c r="A32" s="5"/>
      <c r="B32" s="5" t="s">
        <v>163</v>
      </c>
      <c r="C32" s="58">
        <f aca="true" t="shared" si="5" ref="C32:I32">C15</f>
        <v>0</v>
      </c>
      <c r="D32" s="58">
        <f t="shared" si="5"/>
        <v>0</v>
      </c>
      <c r="E32" s="58">
        <f t="shared" si="5"/>
        <v>0</v>
      </c>
      <c r="F32" s="58">
        <f t="shared" si="5"/>
        <v>-3185.872696963161</v>
      </c>
      <c r="G32" s="58">
        <f t="shared" si="5"/>
        <v>-9230.163669642661</v>
      </c>
      <c r="H32" s="58">
        <f t="shared" si="5"/>
        <v>4850.298406884463</v>
      </c>
      <c r="I32" s="58">
        <f t="shared" si="5"/>
        <v>25874.991053055568</v>
      </c>
    </row>
    <row r="33" spans="1:9" ht="12.75">
      <c r="A33" s="5"/>
      <c r="B33" s="5" t="s">
        <v>164</v>
      </c>
      <c r="C33" s="58">
        <f aca="true" t="shared" si="6" ref="C33:I33">C27</f>
        <v>0</v>
      </c>
      <c r="D33" s="58">
        <f t="shared" si="6"/>
        <v>0</v>
      </c>
      <c r="E33" s="58">
        <f t="shared" si="6"/>
        <v>0</v>
      </c>
      <c r="F33" s="58">
        <f t="shared" si="6"/>
        <v>3915.9404175</v>
      </c>
      <c r="G33" s="58">
        <f t="shared" si="6"/>
        <v>1707.7372977500002</v>
      </c>
      <c r="H33" s="58">
        <f t="shared" si="6"/>
        <v>0</v>
      </c>
      <c r="I33" s="58">
        <f t="shared" si="6"/>
        <v>0</v>
      </c>
    </row>
    <row r="34" spans="1:9" ht="12.75">
      <c r="A34" s="5"/>
      <c r="B34" s="5" t="s">
        <v>165</v>
      </c>
      <c r="C34" s="77">
        <f aca="true" t="shared" si="7" ref="C34:I34">SUM(C32:C33)</f>
        <v>0</v>
      </c>
      <c r="D34" s="77">
        <f t="shared" si="7"/>
        <v>0</v>
      </c>
      <c r="E34" s="77">
        <f t="shared" si="7"/>
        <v>0</v>
      </c>
      <c r="F34" s="77">
        <f t="shared" si="7"/>
        <v>730.0677205368388</v>
      </c>
      <c r="G34" s="77">
        <f t="shared" si="7"/>
        <v>-7522.426371892661</v>
      </c>
      <c r="H34" s="77">
        <f t="shared" si="7"/>
        <v>4850.298406884463</v>
      </c>
      <c r="I34" s="77">
        <f t="shared" si="7"/>
        <v>25874.991053055568</v>
      </c>
    </row>
    <row r="35" ht="13.5" customHeight="1"/>
    <row r="36" spans="3:9" ht="12.75">
      <c r="C36" s="24" t="s">
        <v>161</v>
      </c>
      <c r="D36" s="24" t="s">
        <v>161</v>
      </c>
      <c r="E36" s="24" t="s">
        <v>161</v>
      </c>
      <c r="F36" s="24" t="s">
        <v>161</v>
      </c>
      <c r="G36" s="24" t="s">
        <v>161</v>
      </c>
      <c r="H36" s="24" t="s">
        <v>161</v>
      </c>
      <c r="I36" s="24" t="s">
        <v>161</v>
      </c>
    </row>
    <row r="37" spans="3:9" ht="12.75">
      <c r="C37" s="94">
        <f>C14</f>
        <v>0.3612</v>
      </c>
      <c r="D37" s="94">
        <f aca="true" t="shared" si="8" ref="D37:I37">D14</f>
        <v>0.3612</v>
      </c>
      <c r="E37" s="94">
        <f t="shared" si="8"/>
        <v>0.335</v>
      </c>
      <c r="F37" s="94">
        <f t="shared" si="8"/>
        <v>0.33</v>
      </c>
      <c r="G37" s="94">
        <f t="shared" si="8"/>
        <v>0.32</v>
      </c>
      <c r="H37" s="94">
        <f t="shared" si="8"/>
        <v>0.305</v>
      </c>
      <c r="I37" s="94">
        <f t="shared" si="8"/>
        <v>0.29</v>
      </c>
    </row>
    <row r="39" spans="3:9" ht="25.5">
      <c r="C39" s="95" t="s">
        <v>166</v>
      </c>
      <c r="D39" s="95" t="s">
        <v>166</v>
      </c>
      <c r="E39" s="95" t="s">
        <v>166</v>
      </c>
      <c r="F39" s="95" t="s">
        <v>166</v>
      </c>
      <c r="G39" s="95" t="s">
        <v>166</v>
      </c>
      <c r="H39" s="95" t="s">
        <v>166</v>
      </c>
      <c r="I39" s="95" t="s">
        <v>166</v>
      </c>
    </row>
    <row r="40" spans="2:9" ht="12.75">
      <c r="B40" s="5" t="s">
        <v>163</v>
      </c>
      <c r="C40" s="58">
        <f aca="true" t="shared" si="9" ref="C40:I40">C32/(1-C37)</f>
        <v>0</v>
      </c>
      <c r="D40" s="58">
        <f t="shared" si="9"/>
        <v>0</v>
      </c>
      <c r="E40" s="58">
        <f t="shared" si="9"/>
        <v>0</v>
      </c>
      <c r="F40" s="58">
        <f t="shared" si="9"/>
        <v>-4755.03387606442</v>
      </c>
      <c r="G40" s="58">
        <f t="shared" si="9"/>
        <v>-13573.77010241568</v>
      </c>
      <c r="H40" s="58">
        <f t="shared" si="9"/>
        <v>6978.846628610737</v>
      </c>
      <c r="I40" s="58">
        <f t="shared" si="9"/>
        <v>36443.6493705008</v>
      </c>
    </row>
    <row r="41" spans="2:9" ht="12.75">
      <c r="B41" s="5" t="s">
        <v>164</v>
      </c>
      <c r="C41" s="58">
        <f aca="true" t="shared" si="10" ref="C41:I41">C33</f>
        <v>0</v>
      </c>
      <c r="D41" s="58">
        <f t="shared" si="10"/>
        <v>0</v>
      </c>
      <c r="E41" s="58">
        <f t="shared" si="10"/>
        <v>0</v>
      </c>
      <c r="F41" s="58">
        <f t="shared" si="10"/>
        <v>3915.9404175</v>
      </c>
      <c r="G41" s="58">
        <f t="shared" si="10"/>
        <v>1707.7372977500002</v>
      </c>
      <c r="H41" s="58">
        <f t="shared" si="10"/>
        <v>0</v>
      </c>
      <c r="I41" s="58">
        <f t="shared" si="10"/>
        <v>0</v>
      </c>
    </row>
    <row r="42" spans="2:9" ht="12.75">
      <c r="B42" s="5" t="s">
        <v>165</v>
      </c>
      <c r="C42" s="96">
        <f aca="true" t="shared" si="11" ref="C42:I42">SUM(C40:C41)</f>
        <v>0</v>
      </c>
      <c r="D42" s="96">
        <f t="shared" si="11"/>
        <v>0</v>
      </c>
      <c r="E42" s="96">
        <f t="shared" si="11"/>
        <v>0</v>
      </c>
      <c r="F42" s="96">
        <f t="shared" si="11"/>
        <v>-839.09345856442</v>
      </c>
      <c r="G42" s="96">
        <f t="shared" si="11"/>
        <v>-11866.03280466568</v>
      </c>
      <c r="H42" s="96">
        <f t="shared" si="11"/>
        <v>6978.846628610737</v>
      </c>
      <c r="I42" s="96">
        <f t="shared" si="11"/>
        <v>36443.6493705008</v>
      </c>
    </row>
  </sheetData>
  <sheetProtection formatColumns="0" selectLockedCells="1"/>
  <mergeCells count="1">
    <mergeCell ref="B1:E1"/>
  </mergeCells>
  <printOptions/>
  <pageMargins left="0.4330708661417323" right="0.4330708661417323" top="0.6299212598425197" bottom="0.6299212598425197" header="0.5118110236220472" footer="0.5118110236220472"/>
  <pageSetup fitToHeight="1" fitToWidth="1" horizontalDpi="600" verticalDpi="600" orientation="landscape" scale="89" r:id="rId1"/>
  <headerFooter alignWithMargins="0">
    <oddHeader>&amp;R&amp;F&amp;A</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I127"/>
  <sheetViews>
    <sheetView zoomScalePageLayoutView="0" workbookViewId="0" topLeftCell="C93">
      <selection activeCell="I23" sqref="I23"/>
    </sheetView>
  </sheetViews>
  <sheetFormatPr defaultColWidth="9.140625" defaultRowHeight="12.75"/>
  <cols>
    <col min="1" max="1" width="16.57421875" style="7" customWidth="1"/>
    <col min="2" max="2" width="75.28125" style="7" bestFit="1" customWidth="1"/>
    <col min="3" max="7" width="15.00390625" style="7" bestFit="1" customWidth="1"/>
    <col min="8" max="9" width="14.140625" style="7" bestFit="1" customWidth="1"/>
    <col min="10" max="16384" width="9.140625" style="7" customWidth="1"/>
  </cols>
  <sheetData>
    <row r="1" spans="1:9" s="3" customFormat="1" ht="21" customHeight="1">
      <c r="A1" s="1"/>
      <c r="B1" s="187" t="s">
        <v>223</v>
      </c>
      <c r="C1" s="187"/>
      <c r="D1" s="187"/>
      <c r="E1" s="187"/>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4" t="s">
        <v>167</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24" t="str">
        <f>'2. Smart Meter Data'!J4</f>
        <v>Later</v>
      </c>
    </row>
    <row r="6" spans="1:9" ht="18">
      <c r="A6" s="5"/>
      <c r="B6" s="28" t="s">
        <v>168</v>
      </c>
      <c r="C6" s="24" t="str">
        <f>'2. Smart Meter Data'!D5</f>
        <v>Audited Actual</v>
      </c>
      <c r="D6" s="24" t="str">
        <f>'2. Smart Meter Data'!E5</f>
        <v>Audited Actual</v>
      </c>
      <c r="E6" s="24" t="str">
        <f>'2. Smart Meter Data'!F5</f>
        <v>Actual</v>
      </c>
      <c r="F6" s="24" t="str">
        <f>'2. Smart Meter Data'!G5</f>
        <v>Forecasted</v>
      </c>
      <c r="G6" s="24" t="str">
        <f>'2. Smart Meter Data'!H5</f>
        <v>Forecasted</v>
      </c>
      <c r="H6" s="24" t="str">
        <f>'2. Smart Meter Data'!I5</f>
        <v>Forecasted</v>
      </c>
      <c r="I6" s="24" t="str">
        <f>'2. Smart Meter Data'!J5</f>
        <v>Forecasted</v>
      </c>
    </row>
    <row r="7" spans="1:9" ht="12.75">
      <c r="A7" s="5"/>
      <c r="B7" s="5"/>
      <c r="C7" s="5"/>
      <c r="D7" s="5"/>
      <c r="E7" s="5"/>
      <c r="F7" s="5"/>
      <c r="G7" s="5"/>
      <c r="H7" s="5"/>
      <c r="I7" s="5"/>
    </row>
    <row r="8" spans="1:9" ht="12.75">
      <c r="A8" s="5"/>
      <c r="B8" s="5" t="s">
        <v>169</v>
      </c>
      <c r="C8" s="77">
        <v>0</v>
      </c>
      <c r="D8" s="77">
        <f aca="true" t="shared" si="0" ref="D8:I8">C10</f>
        <v>0</v>
      </c>
      <c r="E8" s="77">
        <f t="shared" si="0"/>
        <v>0</v>
      </c>
      <c r="F8" s="77">
        <f t="shared" si="0"/>
        <v>0</v>
      </c>
      <c r="G8" s="77">
        <f t="shared" si="0"/>
        <v>1644979.28</v>
      </c>
      <c r="H8" s="77">
        <f t="shared" si="0"/>
        <v>2132602.83</v>
      </c>
      <c r="I8" s="77">
        <f t="shared" si="0"/>
        <v>2147416.44</v>
      </c>
    </row>
    <row r="9" spans="1:9" ht="12.75">
      <c r="A9" s="5"/>
      <c r="B9" s="5" t="s">
        <v>207</v>
      </c>
      <c r="C9" s="82">
        <f>'3.  LDC Assumptions and Data'!C31</f>
        <v>0</v>
      </c>
      <c r="D9" s="82">
        <f>'3.  LDC Assumptions and Data'!D31</f>
        <v>0</v>
      </c>
      <c r="E9" s="82">
        <f>'3.  LDC Assumptions and Data'!E31</f>
        <v>0</v>
      </c>
      <c r="F9" s="82">
        <f>'3.  LDC Assumptions and Data'!F31</f>
        <v>1644979.28</v>
      </c>
      <c r="G9" s="82">
        <f>'3.  LDC Assumptions and Data'!G31</f>
        <v>487623.55000000005</v>
      </c>
      <c r="H9" s="82">
        <f>'3.  LDC Assumptions and Data'!H31</f>
        <v>14813.61</v>
      </c>
      <c r="I9" s="82">
        <f>'3.  LDC Assumptions and Data'!I31</f>
        <v>29627.22</v>
      </c>
    </row>
    <row r="10" spans="1:9" ht="12.75">
      <c r="A10" s="5"/>
      <c r="B10" s="5" t="s">
        <v>170</v>
      </c>
      <c r="C10" s="77">
        <f aca="true" t="shared" si="1" ref="C10:H10">SUM(C8:C9)</f>
        <v>0</v>
      </c>
      <c r="D10" s="77">
        <f t="shared" si="1"/>
        <v>0</v>
      </c>
      <c r="E10" s="77">
        <f t="shared" si="1"/>
        <v>0</v>
      </c>
      <c r="F10" s="77">
        <f t="shared" si="1"/>
        <v>1644979.28</v>
      </c>
      <c r="G10" s="77">
        <f t="shared" si="1"/>
        <v>2132602.83</v>
      </c>
      <c r="H10" s="77">
        <f t="shared" si="1"/>
        <v>2147416.44</v>
      </c>
      <c r="I10" s="77">
        <f>SUM(I8:I9)</f>
        <v>2177043.66</v>
      </c>
    </row>
    <row r="11" spans="1:9" ht="12.75">
      <c r="A11" s="5"/>
      <c r="B11" s="5"/>
      <c r="C11" s="71"/>
      <c r="D11" s="71"/>
      <c r="E11" s="71"/>
      <c r="F11" s="71"/>
      <c r="G11" s="71"/>
      <c r="H11" s="5"/>
      <c r="I11" s="5"/>
    </row>
    <row r="12" spans="1:9" ht="12.75">
      <c r="A12" s="5"/>
      <c r="B12" s="5" t="s">
        <v>171</v>
      </c>
      <c r="C12" s="77">
        <v>0</v>
      </c>
      <c r="D12" s="77">
        <f aca="true" t="shared" si="2" ref="D12:I12">C14</f>
        <v>0</v>
      </c>
      <c r="E12" s="77">
        <f t="shared" si="2"/>
        <v>0</v>
      </c>
      <c r="F12" s="77">
        <f t="shared" si="2"/>
        <v>0</v>
      </c>
      <c r="G12" s="77">
        <f t="shared" si="2"/>
        <v>54832.64266666667</v>
      </c>
      <c r="H12" s="77">
        <f t="shared" si="2"/>
        <v>180752.04633333333</v>
      </c>
      <c r="I12" s="77">
        <f t="shared" si="2"/>
        <v>323419.35533333337</v>
      </c>
    </row>
    <row r="13" spans="1:9" ht="12.75">
      <c r="A13" s="5"/>
      <c r="B13" s="5" t="str">
        <f>"Amortization ("&amp;'3.  LDC Assumptions and Data'!C60&amp;" Years  Straight Line)"</f>
        <v>Amortization (15 Years  Straight Line)</v>
      </c>
      <c r="C13" s="58">
        <f>IF(C12+(C8/'3.  LDC Assumptions and Data'!C60)+(C9/'3.  LDC Assumptions and Data'!C60/2)&lt;C10,(C8/'3.  LDC Assumptions and Data'!C60)+(C9/'3.  LDC Assumptions and Data'!C60/2),C10-C12)</f>
        <v>0</v>
      </c>
      <c r="D13" s="58">
        <f>IF(D12+(D8/'3.  LDC Assumptions and Data'!D60)+(D9/'3.  LDC Assumptions and Data'!D60/2)&lt;D10,(D8/'3.  LDC Assumptions and Data'!D60)+(D9/'3.  LDC Assumptions and Data'!D60/2),D10-D12)</f>
        <v>0</v>
      </c>
      <c r="E13" s="58">
        <f>IF(E12+(E8/'3.  LDC Assumptions and Data'!E60)+(E9/'3.  LDC Assumptions and Data'!E60/2)&lt;E10,(E8/'3.  LDC Assumptions and Data'!E60)+(E9/'3.  LDC Assumptions and Data'!E60/2),E10-E12)</f>
        <v>0</v>
      </c>
      <c r="F13" s="58">
        <f>IF(F12+(F8/'3.  LDC Assumptions and Data'!F60)+(F9/'3.  LDC Assumptions and Data'!F60/2)&lt;F10,(F8/'3.  LDC Assumptions and Data'!F60)+(F9/'3.  LDC Assumptions and Data'!F60/2),F10-F12)</f>
        <v>54832.64266666667</v>
      </c>
      <c r="G13" s="58">
        <f>IF(G12+(G8/'3.  LDC Assumptions and Data'!G60)+(G9/'3.  LDC Assumptions and Data'!G60/2)&lt;G10,(G8/'3.  LDC Assumptions and Data'!G60)+(G9/'3.  LDC Assumptions and Data'!G60/2),G10-G12)</f>
        <v>125919.40366666667</v>
      </c>
      <c r="H13" s="58">
        <f>IF(H12+(H8/'3.  LDC Assumptions and Data'!H60)+(H9/'3.  LDC Assumptions and Data'!H60/2)&lt;H10,(H8/'3.  LDC Assumptions and Data'!H60)+(H9/'3.  LDC Assumptions and Data'!H60/2),H10-H12)</f>
        <v>142667.309</v>
      </c>
      <c r="I13" s="58">
        <f>IF(I12+(I8/'3.  LDC Assumptions and Data'!I60)+(I9/'3.  LDC Assumptions and Data'!I60/2)&lt;I10,(I8/'3.  LDC Assumptions and Data'!I60)+(I9/'3.  LDC Assumptions and Data'!I60/2),I10-I12)</f>
        <v>144148.66999999998</v>
      </c>
    </row>
    <row r="14" spans="1:9" ht="12.75">
      <c r="A14" s="5"/>
      <c r="B14" s="5" t="s">
        <v>172</v>
      </c>
      <c r="C14" s="77">
        <f aca="true" t="shared" si="3" ref="C14:H14">SUM(C12:C13)</f>
        <v>0</v>
      </c>
      <c r="D14" s="77">
        <f t="shared" si="3"/>
        <v>0</v>
      </c>
      <c r="E14" s="77">
        <f t="shared" si="3"/>
        <v>0</v>
      </c>
      <c r="F14" s="77">
        <f t="shared" si="3"/>
        <v>54832.64266666667</v>
      </c>
      <c r="G14" s="77">
        <f t="shared" si="3"/>
        <v>180752.04633333333</v>
      </c>
      <c r="H14" s="77">
        <f t="shared" si="3"/>
        <v>323419.35533333337</v>
      </c>
      <c r="I14" s="77">
        <f>SUM(I12:I13)</f>
        <v>467568.02533333335</v>
      </c>
    </row>
    <row r="15" spans="1:9" ht="12.75">
      <c r="A15" s="5"/>
      <c r="B15" s="5"/>
      <c r="H15" s="5"/>
      <c r="I15" s="5"/>
    </row>
    <row r="16" spans="1:9" ht="16.5" customHeight="1">
      <c r="A16" s="5"/>
      <c r="B16" s="5" t="s">
        <v>173</v>
      </c>
      <c r="C16" s="58">
        <f>0</f>
        <v>0</v>
      </c>
      <c r="D16" s="58">
        <f aca="true" t="shared" si="4" ref="D16:I16">C17</f>
        <v>0</v>
      </c>
      <c r="E16" s="58">
        <f t="shared" si="4"/>
        <v>0</v>
      </c>
      <c r="F16" s="58">
        <f t="shared" si="4"/>
        <v>0</v>
      </c>
      <c r="G16" s="58">
        <f t="shared" si="4"/>
        <v>1590146.6373333333</v>
      </c>
      <c r="H16" s="58">
        <f t="shared" si="4"/>
        <v>1951850.7836666668</v>
      </c>
      <c r="I16" s="58">
        <f t="shared" si="4"/>
        <v>1823997.0846666666</v>
      </c>
    </row>
    <row r="17" spans="1:9" ht="12.75">
      <c r="A17" s="5"/>
      <c r="B17" s="5" t="s">
        <v>174</v>
      </c>
      <c r="C17" s="77">
        <f aca="true" t="shared" si="5" ref="C17:H17">C10-C14</f>
        <v>0</v>
      </c>
      <c r="D17" s="77">
        <f t="shared" si="5"/>
        <v>0</v>
      </c>
      <c r="E17" s="77">
        <f t="shared" si="5"/>
        <v>0</v>
      </c>
      <c r="F17" s="77">
        <f t="shared" si="5"/>
        <v>1590146.6373333333</v>
      </c>
      <c r="G17" s="77">
        <f t="shared" si="5"/>
        <v>1951850.7836666668</v>
      </c>
      <c r="H17" s="77">
        <f t="shared" si="5"/>
        <v>1823997.0846666666</v>
      </c>
      <c r="I17" s="77">
        <f>I10-I14</f>
        <v>1709475.6346666669</v>
      </c>
    </row>
    <row r="18" spans="1:9" ht="13.5" thickBot="1">
      <c r="A18" s="5"/>
      <c r="B18" s="5" t="s">
        <v>175</v>
      </c>
      <c r="C18" s="97">
        <f aca="true" t="shared" si="6" ref="C18:H18">(C17+C16)/2</f>
        <v>0</v>
      </c>
      <c r="D18" s="97">
        <f t="shared" si="6"/>
        <v>0</v>
      </c>
      <c r="E18" s="97">
        <f t="shared" si="6"/>
        <v>0</v>
      </c>
      <c r="F18" s="97">
        <f t="shared" si="6"/>
        <v>795073.3186666666</v>
      </c>
      <c r="G18" s="97">
        <f t="shared" si="6"/>
        <v>1770998.7105</v>
      </c>
      <c r="H18" s="97">
        <f t="shared" si="6"/>
        <v>1887923.9341666666</v>
      </c>
      <c r="I18" s="97">
        <f>(I17+I16)/2</f>
        <v>1766736.3596666667</v>
      </c>
    </row>
    <row r="19" spans="1:9" ht="12.75">
      <c r="A19" s="5"/>
      <c r="B19" s="5"/>
      <c r="C19" s="72"/>
      <c r="D19" s="72"/>
      <c r="E19" s="72"/>
      <c r="F19" s="72"/>
      <c r="G19" s="72"/>
      <c r="H19" s="72"/>
      <c r="I19" s="72"/>
    </row>
    <row r="20" spans="1:9" ht="12.75">
      <c r="A20" s="5"/>
      <c r="B20" s="5"/>
      <c r="C20" s="24">
        <f aca="true" t="shared" si="7" ref="C20:H21">C5</f>
        <v>2006</v>
      </c>
      <c r="D20" s="24">
        <f t="shared" si="7"/>
        <v>2007</v>
      </c>
      <c r="E20" s="24">
        <f t="shared" si="7"/>
        <v>2008</v>
      </c>
      <c r="F20" s="24">
        <f t="shared" si="7"/>
        <v>2009</v>
      </c>
      <c r="G20" s="24">
        <f t="shared" si="7"/>
        <v>2010</v>
      </c>
      <c r="H20" s="24">
        <f t="shared" si="7"/>
        <v>2011</v>
      </c>
      <c r="I20" s="24" t="str">
        <f>I5</f>
        <v>Later</v>
      </c>
    </row>
    <row r="21" spans="1:9" ht="18">
      <c r="A21" s="5"/>
      <c r="B21" s="28" t="s">
        <v>176</v>
      </c>
      <c r="C21" s="24" t="str">
        <f t="shared" si="7"/>
        <v>Audited Actual</v>
      </c>
      <c r="D21" s="24" t="str">
        <f t="shared" si="7"/>
        <v>Audited Actual</v>
      </c>
      <c r="E21" s="24" t="str">
        <f t="shared" si="7"/>
        <v>Actual</v>
      </c>
      <c r="F21" s="24" t="str">
        <f t="shared" si="7"/>
        <v>Forecasted</v>
      </c>
      <c r="G21" s="24" t="str">
        <f t="shared" si="7"/>
        <v>Forecasted</v>
      </c>
      <c r="H21" s="24" t="str">
        <f t="shared" si="7"/>
        <v>Forecasted</v>
      </c>
      <c r="I21" s="24" t="str">
        <f>I6</f>
        <v>Forecasted</v>
      </c>
    </row>
    <row r="22" spans="1:9" ht="12.75">
      <c r="A22" s="5"/>
      <c r="B22" s="5"/>
      <c r="C22" s="5"/>
      <c r="D22" s="5"/>
      <c r="E22" s="5"/>
      <c r="F22" s="5"/>
      <c r="G22" s="5"/>
      <c r="H22" s="5"/>
      <c r="I22" s="5"/>
    </row>
    <row r="23" spans="1:9" ht="12.75">
      <c r="A23" s="5"/>
      <c r="B23" s="5" t="s">
        <v>169</v>
      </c>
      <c r="C23" s="77">
        <v>0</v>
      </c>
      <c r="D23" s="77">
        <f aca="true" t="shared" si="8" ref="D23:I23">C25</f>
        <v>0</v>
      </c>
      <c r="E23" s="77">
        <f t="shared" si="8"/>
        <v>0</v>
      </c>
      <c r="F23" s="77">
        <f t="shared" si="8"/>
        <v>0</v>
      </c>
      <c r="G23" s="77">
        <f t="shared" si="8"/>
        <v>3864</v>
      </c>
      <c r="H23" s="77">
        <f t="shared" si="8"/>
        <v>7728</v>
      </c>
      <c r="I23" s="77">
        <f t="shared" si="8"/>
        <v>7728</v>
      </c>
    </row>
    <row r="24" spans="1:9" ht="12.75">
      <c r="A24" s="5"/>
      <c r="B24" s="5" t="s">
        <v>208</v>
      </c>
      <c r="C24" s="82">
        <f>'3.  LDC Assumptions and Data'!C32</f>
        <v>0</v>
      </c>
      <c r="D24" s="82">
        <f>'3.  LDC Assumptions and Data'!D32</f>
        <v>0</v>
      </c>
      <c r="E24" s="82">
        <f>'3.  LDC Assumptions and Data'!E32</f>
        <v>0</v>
      </c>
      <c r="F24" s="82">
        <f>'3.  LDC Assumptions and Data'!F32</f>
        <v>3864</v>
      </c>
      <c r="G24" s="82">
        <f>'3.  LDC Assumptions and Data'!G32</f>
        <v>3864</v>
      </c>
      <c r="H24" s="82">
        <f>'3.  LDC Assumptions and Data'!H32</f>
        <v>0</v>
      </c>
      <c r="I24" s="82">
        <f>'3.  LDC Assumptions and Data'!I32</f>
        <v>0</v>
      </c>
    </row>
    <row r="25" spans="1:9" ht="12.75">
      <c r="A25" s="5"/>
      <c r="B25" s="5" t="s">
        <v>170</v>
      </c>
      <c r="C25" s="77">
        <f aca="true" t="shared" si="9" ref="C25:H25">SUM(C23:C24)</f>
        <v>0</v>
      </c>
      <c r="D25" s="77">
        <f t="shared" si="9"/>
        <v>0</v>
      </c>
      <c r="E25" s="77">
        <f t="shared" si="9"/>
        <v>0</v>
      </c>
      <c r="F25" s="77">
        <f t="shared" si="9"/>
        <v>3864</v>
      </c>
      <c r="G25" s="77">
        <f t="shared" si="9"/>
        <v>7728</v>
      </c>
      <c r="H25" s="77">
        <f t="shared" si="9"/>
        <v>7728</v>
      </c>
      <c r="I25" s="77">
        <f>SUM(I23:I24)</f>
        <v>7728</v>
      </c>
    </row>
    <row r="26" spans="1:9" ht="12.75">
      <c r="A26" s="5"/>
      <c r="B26" s="5"/>
      <c r="C26" s="72"/>
      <c r="D26" s="72"/>
      <c r="E26" s="72"/>
      <c r="F26" s="72"/>
      <c r="G26" s="72"/>
      <c r="H26" s="5"/>
      <c r="I26" s="5"/>
    </row>
    <row r="27" spans="1:9" ht="12.75">
      <c r="A27" s="5"/>
      <c r="B27" s="5" t="s">
        <v>171</v>
      </c>
      <c r="C27" s="77">
        <v>0</v>
      </c>
      <c r="D27" s="77">
        <f aca="true" t="shared" si="10" ref="D27:I27">C29</f>
        <v>0</v>
      </c>
      <c r="E27" s="77">
        <f t="shared" si="10"/>
        <v>0</v>
      </c>
      <c r="F27" s="77">
        <f t="shared" si="10"/>
        <v>0</v>
      </c>
      <c r="G27" s="77">
        <f t="shared" si="10"/>
        <v>386.4</v>
      </c>
      <c r="H27" s="77">
        <f t="shared" si="10"/>
        <v>1545.6</v>
      </c>
      <c r="I27" s="77">
        <f t="shared" si="10"/>
        <v>3091.2</v>
      </c>
    </row>
    <row r="28" spans="1:9" ht="12.75">
      <c r="A28" s="5"/>
      <c r="B28" s="5" t="str">
        <f>"Amortization ("&amp;'3.  LDC Assumptions and Data'!C61&amp;" Years  Straight Line)"</f>
        <v>Amortization (5 Years  Straight Line)</v>
      </c>
      <c r="C28" s="58">
        <f>IF(C27+(C23/'3.  LDC Assumptions and Data'!C61)+(C24/'3.  LDC Assumptions and Data'!C61/2)&lt;C25,(C23/'3.  LDC Assumptions and Data'!C61)+(C24/'3.  LDC Assumptions and Data'!C61/2),C25-C27)</f>
        <v>0</v>
      </c>
      <c r="D28" s="58">
        <f>IF(D27+(D23/'3.  LDC Assumptions and Data'!C61)+(D24/'3.  LDC Assumptions and Data'!C61/2)&lt;D25,(D23/'3.  LDC Assumptions and Data'!C61)+(D24/'3.  LDC Assumptions and Data'!C61/2),D25-D27)</f>
        <v>0</v>
      </c>
      <c r="E28" s="58">
        <f>IF(E27+(E23/'3.  LDC Assumptions and Data'!C61)+(E24/'3.  LDC Assumptions and Data'!C61/2)&lt;E25,(E23/'3.  LDC Assumptions and Data'!C61)+(E24/'3.  LDC Assumptions and Data'!C61/2),E25-E27)</f>
        <v>0</v>
      </c>
      <c r="F28" s="58">
        <f>IF(F27+(F23/'3.  LDC Assumptions and Data'!C61)+(F24/'3.  LDC Assumptions and Data'!C61/2)&lt;F25,(F23/'3.  LDC Assumptions and Data'!C61)+(F24/'3.  LDC Assumptions and Data'!C61/2),F25-F27)</f>
        <v>386.4</v>
      </c>
      <c r="G28" s="58">
        <f>IF(G27+(G23/'3.  LDC Assumptions and Data'!C61)+(G24/'3.  LDC Assumptions and Data'!C61/2)&lt;G25,(G23/'3.  LDC Assumptions and Data'!C61)+(G24/'3.  LDC Assumptions and Data'!C61/2),G25-G27)</f>
        <v>1159.1999999999998</v>
      </c>
      <c r="H28" s="58">
        <f>IF(H27+(H23/'3.  LDC Assumptions and Data'!D61)+(H24/'3.  LDC Assumptions and Data'!D61/2)&lt;H25,(H23/'3.  LDC Assumptions and Data'!D61)+(H24/'3.  LDC Assumptions and Data'!D61/2),H25-H27)</f>
        <v>1545.6</v>
      </c>
      <c r="I28" s="58">
        <f>IF(I27+(I23/'3.  LDC Assumptions and Data'!E61)+(I24/'3.  LDC Assumptions and Data'!E61/2)&lt;I25,(I23/'3.  LDC Assumptions and Data'!E61)+(I24/'3.  LDC Assumptions and Data'!E61/2),I25-I27)</f>
        <v>1545.6</v>
      </c>
    </row>
    <row r="29" spans="1:9" ht="12.75">
      <c r="A29" s="5"/>
      <c r="B29" s="5" t="s">
        <v>172</v>
      </c>
      <c r="C29" s="77">
        <f aca="true" t="shared" si="11" ref="C29:H29">SUM(C27:C28)</f>
        <v>0</v>
      </c>
      <c r="D29" s="77">
        <f t="shared" si="11"/>
        <v>0</v>
      </c>
      <c r="E29" s="77">
        <f t="shared" si="11"/>
        <v>0</v>
      </c>
      <c r="F29" s="77">
        <f t="shared" si="11"/>
        <v>386.4</v>
      </c>
      <c r="G29" s="77">
        <f t="shared" si="11"/>
        <v>1545.6</v>
      </c>
      <c r="H29" s="77">
        <f t="shared" si="11"/>
        <v>3091.2</v>
      </c>
      <c r="I29" s="77">
        <f>SUM(I27:I28)</f>
        <v>4636.799999999999</v>
      </c>
    </row>
    <row r="30" spans="1:9" ht="12.75">
      <c r="A30" s="5"/>
      <c r="B30" s="5"/>
      <c r="H30" s="5"/>
      <c r="I30" s="5"/>
    </row>
    <row r="31" spans="1:9" ht="12.75">
      <c r="A31" s="5"/>
      <c r="B31" s="5" t="s">
        <v>173</v>
      </c>
      <c r="C31" s="77">
        <f>0</f>
        <v>0</v>
      </c>
      <c r="D31" s="77">
        <f aca="true" t="shared" si="12" ref="D31:I31">C32</f>
        <v>0</v>
      </c>
      <c r="E31" s="77">
        <f t="shared" si="12"/>
        <v>0</v>
      </c>
      <c r="F31" s="77">
        <f t="shared" si="12"/>
        <v>0</v>
      </c>
      <c r="G31" s="77">
        <f t="shared" si="12"/>
        <v>3477.6</v>
      </c>
      <c r="H31" s="77">
        <f t="shared" si="12"/>
        <v>6182.4</v>
      </c>
      <c r="I31" s="77">
        <f t="shared" si="12"/>
        <v>4636.8</v>
      </c>
    </row>
    <row r="32" spans="1:9" ht="12.75">
      <c r="A32" s="5"/>
      <c r="B32" s="5" t="s">
        <v>174</v>
      </c>
      <c r="C32" s="77">
        <f aca="true" t="shared" si="13" ref="C32:H32">C25-C29</f>
        <v>0</v>
      </c>
      <c r="D32" s="77">
        <f t="shared" si="13"/>
        <v>0</v>
      </c>
      <c r="E32" s="77">
        <f t="shared" si="13"/>
        <v>0</v>
      </c>
      <c r="F32" s="77">
        <f>F25-F29</f>
        <v>3477.6</v>
      </c>
      <c r="G32" s="77">
        <f t="shared" si="13"/>
        <v>6182.4</v>
      </c>
      <c r="H32" s="77">
        <f t="shared" si="13"/>
        <v>4636.8</v>
      </c>
      <c r="I32" s="77">
        <f>I25-I29</f>
        <v>3091.2000000000007</v>
      </c>
    </row>
    <row r="33" spans="1:9" ht="13.5" thickBot="1">
      <c r="A33" s="65"/>
      <c r="B33" s="65" t="s">
        <v>175</v>
      </c>
      <c r="C33" s="164">
        <f aca="true" t="shared" si="14" ref="C33:H33">(C32+C31)/2</f>
        <v>0</v>
      </c>
      <c r="D33" s="164">
        <f t="shared" si="14"/>
        <v>0</v>
      </c>
      <c r="E33" s="164">
        <f t="shared" si="14"/>
        <v>0</v>
      </c>
      <c r="F33" s="164">
        <f t="shared" si="14"/>
        <v>1738.8</v>
      </c>
      <c r="G33" s="164">
        <f t="shared" si="14"/>
        <v>4830</v>
      </c>
      <c r="H33" s="164">
        <f t="shared" si="14"/>
        <v>5409.6</v>
      </c>
      <c r="I33" s="164">
        <f>(I32+I31)/2</f>
        <v>3864.0000000000005</v>
      </c>
    </row>
    <row r="34" spans="1:9" ht="12.75">
      <c r="A34" s="5"/>
      <c r="B34" s="5"/>
      <c r="C34" s="5"/>
      <c r="D34" s="5"/>
      <c r="E34" s="5"/>
      <c r="F34" s="5"/>
      <c r="G34" s="5"/>
      <c r="H34" s="5"/>
      <c r="I34" s="5"/>
    </row>
    <row r="35" spans="1:9" ht="12.75">
      <c r="A35" s="5"/>
      <c r="B35" s="5"/>
      <c r="C35" s="24">
        <f aca="true" t="shared" si="15" ref="C35:H36">C20</f>
        <v>2006</v>
      </c>
      <c r="D35" s="24">
        <f t="shared" si="15"/>
        <v>2007</v>
      </c>
      <c r="E35" s="24">
        <f t="shared" si="15"/>
        <v>2008</v>
      </c>
      <c r="F35" s="24">
        <f t="shared" si="15"/>
        <v>2009</v>
      </c>
      <c r="G35" s="24">
        <f t="shared" si="15"/>
        <v>2010</v>
      </c>
      <c r="H35" s="24">
        <f t="shared" si="15"/>
        <v>2011</v>
      </c>
      <c r="I35" s="24" t="str">
        <f>I20</f>
        <v>Later</v>
      </c>
    </row>
    <row r="36" spans="1:9" ht="18">
      <c r="A36" s="5"/>
      <c r="B36" s="28" t="s">
        <v>177</v>
      </c>
      <c r="C36" s="24" t="str">
        <f t="shared" si="15"/>
        <v>Audited Actual</v>
      </c>
      <c r="D36" s="24" t="str">
        <f t="shared" si="15"/>
        <v>Audited Actual</v>
      </c>
      <c r="E36" s="24" t="str">
        <f t="shared" si="15"/>
        <v>Actual</v>
      </c>
      <c r="F36" s="24" t="str">
        <f t="shared" si="15"/>
        <v>Forecasted</v>
      </c>
      <c r="G36" s="24" t="str">
        <f t="shared" si="15"/>
        <v>Forecasted</v>
      </c>
      <c r="H36" s="24" t="str">
        <f t="shared" si="15"/>
        <v>Forecasted</v>
      </c>
      <c r="I36" s="24" t="str">
        <f>I21</f>
        <v>Forecasted</v>
      </c>
    </row>
    <row r="37" spans="1:9" ht="12.75">
      <c r="A37" s="5"/>
      <c r="B37" s="5"/>
      <c r="C37" s="5"/>
      <c r="D37" s="5"/>
      <c r="E37" s="5"/>
      <c r="F37" s="5"/>
      <c r="G37" s="5"/>
      <c r="H37" s="5"/>
      <c r="I37" s="5"/>
    </row>
    <row r="38" spans="1:9" ht="12.75">
      <c r="A38" s="5"/>
      <c r="B38" s="5" t="s">
        <v>169</v>
      </c>
      <c r="C38" s="77">
        <v>0</v>
      </c>
      <c r="D38" s="77">
        <f aca="true" t="shared" si="16" ref="D38:I38">C40</f>
        <v>0</v>
      </c>
      <c r="E38" s="77">
        <f t="shared" si="16"/>
        <v>0</v>
      </c>
      <c r="F38" s="77">
        <f t="shared" si="16"/>
        <v>0</v>
      </c>
      <c r="G38" s="77">
        <f t="shared" si="16"/>
        <v>163104.14</v>
      </c>
      <c r="H38" s="77">
        <f t="shared" si="16"/>
        <v>390634.12</v>
      </c>
      <c r="I38" s="77">
        <f t="shared" si="16"/>
        <v>390634.12</v>
      </c>
    </row>
    <row r="39" spans="1:9" ht="12.75">
      <c r="A39" s="5"/>
      <c r="B39" s="5" t="s">
        <v>207</v>
      </c>
      <c r="C39" s="82">
        <f>'3.  LDC Assumptions and Data'!C33</f>
        <v>0</v>
      </c>
      <c r="D39" s="82">
        <f>'3.  LDC Assumptions and Data'!D33</f>
        <v>0</v>
      </c>
      <c r="E39" s="82">
        <f>'3.  LDC Assumptions and Data'!E33</f>
        <v>0</v>
      </c>
      <c r="F39" s="82">
        <f>'3.  LDC Assumptions and Data'!F33</f>
        <v>163104.14</v>
      </c>
      <c r="G39" s="82">
        <f>'3.  LDC Assumptions and Data'!G33</f>
        <v>227529.98</v>
      </c>
      <c r="H39" s="82">
        <f>'3.  LDC Assumptions and Data'!H33</f>
        <v>0</v>
      </c>
      <c r="I39" s="82">
        <f>'3.  LDC Assumptions and Data'!I33</f>
        <v>0</v>
      </c>
    </row>
    <row r="40" spans="1:9" ht="12.75">
      <c r="A40" s="5"/>
      <c r="B40" s="5" t="s">
        <v>170</v>
      </c>
      <c r="C40" s="77">
        <f aca="true" t="shared" si="17" ref="C40:H40">SUM(C38:C39)</f>
        <v>0</v>
      </c>
      <c r="D40" s="77">
        <f t="shared" si="17"/>
        <v>0</v>
      </c>
      <c r="E40" s="77">
        <f t="shared" si="17"/>
        <v>0</v>
      </c>
      <c r="F40" s="77">
        <f t="shared" si="17"/>
        <v>163104.14</v>
      </c>
      <c r="G40" s="77">
        <f t="shared" si="17"/>
        <v>390634.12</v>
      </c>
      <c r="H40" s="77">
        <f t="shared" si="17"/>
        <v>390634.12</v>
      </c>
      <c r="I40" s="77">
        <f>SUM(I38:I39)</f>
        <v>390634.12</v>
      </c>
    </row>
    <row r="41" spans="1:9" ht="12.75">
      <c r="A41" s="5"/>
      <c r="B41" s="5"/>
      <c r="C41" s="72"/>
      <c r="D41" s="72"/>
      <c r="E41" s="72"/>
      <c r="F41" s="72"/>
      <c r="G41" s="72"/>
      <c r="H41" s="5"/>
      <c r="I41" s="5"/>
    </row>
    <row r="42" spans="1:9" ht="12.75">
      <c r="A42" s="5"/>
      <c r="B42" s="5" t="s">
        <v>171</v>
      </c>
      <c r="C42" s="77">
        <v>0</v>
      </c>
      <c r="D42" s="77">
        <f aca="true" t="shared" si="18" ref="D42:I42">C44</f>
        <v>0</v>
      </c>
      <c r="E42" s="77">
        <f t="shared" si="18"/>
        <v>0</v>
      </c>
      <c r="F42" s="77">
        <f t="shared" si="18"/>
        <v>0</v>
      </c>
      <c r="G42" s="77">
        <f t="shared" si="18"/>
        <v>16310.414</v>
      </c>
      <c r="H42" s="77">
        <f t="shared" si="18"/>
        <v>71684.24</v>
      </c>
      <c r="I42" s="77">
        <f t="shared" si="18"/>
        <v>149811.064</v>
      </c>
    </row>
    <row r="43" spans="1:9" ht="12.75">
      <c r="A43" s="5"/>
      <c r="B43" s="5" t="str">
        <f>"Amortization Year 1 ("&amp;'3.  LDC Assumptions and Data'!C62&amp;" Years Straight Line)"</f>
        <v>Amortization Year 1 (5 Years Straight Line)</v>
      </c>
      <c r="C43" s="58">
        <f>IF(C42+(C38/'3.  LDC Assumptions and Data'!C62)+(C39/'3.  LDC Assumptions and Data'!C62/2)&lt;C40,(C38/'3.  LDC Assumptions and Data'!C62)+(C39/'3.  LDC Assumptions and Data'!C62/2),C40-C42)</f>
        <v>0</v>
      </c>
      <c r="D43" s="58">
        <f>IF(D42+(D38/'3.  LDC Assumptions and Data'!C62)+(D39/'3.  LDC Assumptions and Data'!C62/2)&lt;D40,(D38/'3.  LDC Assumptions and Data'!C62)+(D39/'3.  LDC Assumptions and Data'!C62/2),D40-D42)</f>
        <v>0</v>
      </c>
      <c r="E43" s="58">
        <f>IF(E42+(E38/'3.  LDC Assumptions and Data'!C62)+(E39/'3.  LDC Assumptions and Data'!C62/2)&lt;E40,(E38/'3.  LDC Assumptions and Data'!C62)+(E39/'3.  LDC Assumptions and Data'!C62/2),E40-E42)</f>
        <v>0</v>
      </c>
      <c r="F43" s="58">
        <f>IF(F42+(F38/'3.  LDC Assumptions and Data'!C62)+(F39/'3.  LDC Assumptions and Data'!C62/2)&lt;F40,(F38/'3.  LDC Assumptions and Data'!C62)+(F39/'3.  LDC Assumptions and Data'!C62/2),F40-F42)</f>
        <v>16310.414</v>
      </c>
      <c r="G43" s="58">
        <f>IF(G42+(G38/'3.  LDC Assumptions and Data'!C62)+(G39/'3.  LDC Assumptions and Data'!C62/2)&lt;G40,(G38/'3.  LDC Assumptions and Data'!C62)+(G39/'3.  LDC Assumptions and Data'!C62/2),G40-G42)</f>
        <v>55373.826</v>
      </c>
      <c r="H43" s="58">
        <f>IF(H42+(H38/'3.  LDC Assumptions and Data'!D62)+(H39/'3.  LDC Assumptions and Data'!D62/2)&lt;H40,(H38/'3.  LDC Assumptions and Data'!D62)+(H39/'3.  LDC Assumptions and Data'!D62/2),H40-H42)</f>
        <v>78126.824</v>
      </c>
      <c r="I43" s="58">
        <f>IF(I42+(I38/'3.  LDC Assumptions and Data'!E62)+(I39/'3.  LDC Assumptions and Data'!E62/2)&lt;I40,(I38/'3.  LDC Assumptions and Data'!E62)+(I39/'3.  LDC Assumptions and Data'!E62/2),I40-I42)</f>
        <v>78126.824</v>
      </c>
    </row>
    <row r="44" spans="1:9" ht="12.75">
      <c r="A44" s="5"/>
      <c r="B44" s="5" t="s">
        <v>172</v>
      </c>
      <c r="C44" s="77">
        <f aca="true" t="shared" si="19" ref="C44:H44">SUM(C42:C43)</f>
        <v>0</v>
      </c>
      <c r="D44" s="77">
        <f t="shared" si="19"/>
        <v>0</v>
      </c>
      <c r="E44" s="77">
        <f t="shared" si="19"/>
        <v>0</v>
      </c>
      <c r="F44" s="77">
        <f t="shared" si="19"/>
        <v>16310.414</v>
      </c>
      <c r="G44" s="77">
        <f t="shared" si="19"/>
        <v>71684.24</v>
      </c>
      <c r="H44" s="77">
        <f t="shared" si="19"/>
        <v>149811.064</v>
      </c>
      <c r="I44" s="77">
        <f>SUM(I42:I43)</f>
        <v>227937.888</v>
      </c>
    </row>
    <row r="45" spans="1:9" ht="12.75">
      <c r="A45" s="5"/>
      <c r="B45" s="5"/>
      <c r="H45" s="5"/>
      <c r="I45" s="5"/>
    </row>
    <row r="46" spans="1:9" ht="12.75">
      <c r="A46" s="5"/>
      <c r="B46" s="5" t="s">
        <v>173</v>
      </c>
      <c r="C46" s="58">
        <f>0</f>
        <v>0</v>
      </c>
      <c r="D46" s="58">
        <f aca="true" t="shared" si="20" ref="D46:I46">C47</f>
        <v>0</v>
      </c>
      <c r="E46" s="58">
        <f t="shared" si="20"/>
        <v>0</v>
      </c>
      <c r="F46" s="58">
        <f t="shared" si="20"/>
        <v>0</v>
      </c>
      <c r="G46" s="58">
        <f t="shared" si="20"/>
        <v>146793.72600000002</v>
      </c>
      <c r="H46" s="58">
        <f t="shared" si="20"/>
        <v>318949.88</v>
      </c>
      <c r="I46" s="58">
        <f t="shared" si="20"/>
        <v>240823.05599999998</v>
      </c>
    </row>
    <row r="47" spans="1:9" ht="12.75">
      <c r="A47" s="5"/>
      <c r="B47" s="5" t="s">
        <v>174</v>
      </c>
      <c r="C47" s="163">
        <f aca="true" t="shared" si="21" ref="C47:H47">C40-C44</f>
        <v>0</v>
      </c>
      <c r="D47" s="163">
        <f t="shared" si="21"/>
        <v>0</v>
      </c>
      <c r="E47" s="163">
        <f t="shared" si="21"/>
        <v>0</v>
      </c>
      <c r="F47" s="163">
        <f t="shared" si="21"/>
        <v>146793.72600000002</v>
      </c>
      <c r="G47" s="163">
        <f t="shared" si="21"/>
        <v>318949.88</v>
      </c>
      <c r="H47" s="163">
        <f t="shared" si="21"/>
        <v>240823.05599999998</v>
      </c>
      <c r="I47" s="163">
        <f>I40-I44</f>
        <v>162696.232</v>
      </c>
    </row>
    <row r="48" spans="1:9" ht="13.5" thickBot="1">
      <c r="A48" s="5"/>
      <c r="B48" s="5" t="s">
        <v>175</v>
      </c>
      <c r="C48" s="164">
        <f aca="true" t="shared" si="22" ref="C48:H48">(C47+C46)/2</f>
        <v>0</v>
      </c>
      <c r="D48" s="164">
        <f t="shared" si="22"/>
        <v>0</v>
      </c>
      <c r="E48" s="164">
        <f t="shared" si="22"/>
        <v>0</v>
      </c>
      <c r="F48" s="164">
        <f t="shared" si="22"/>
        <v>73396.86300000001</v>
      </c>
      <c r="G48" s="164">
        <f t="shared" si="22"/>
        <v>232871.803</v>
      </c>
      <c r="H48" s="164">
        <f t="shared" si="22"/>
        <v>279886.468</v>
      </c>
      <c r="I48" s="164">
        <f>(I47+I46)/2</f>
        <v>201759.64399999997</v>
      </c>
    </row>
    <row r="49" spans="1:9" ht="12.75">
      <c r="A49" s="5"/>
      <c r="B49" s="5"/>
      <c r="C49" s="71"/>
      <c r="D49" s="71"/>
      <c r="E49" s="5"/>
      <c r="F49" s="5"/>
      <c r="G49" s="5"/>
      <c r="H49" s="5"/>
      <c r="I49" s="5"/>
    </row>
    <row r="50" spans="1:9" ht="12.75">
      <c r="A50" s="5"/>
      <c r="B50" s="5"/>
      <c r="C50" s="24">
        <f aca="true" t="shared" si="23" ref="C50:H51">C35</f>
        <v>2006</v>
      </c>
      <c r="D50" s="24">
        <f t="shared" si="23"/>
        <v>2007</v>
      </c>
      <c r="E50" s="24">
        <f t="shared" si="23"/>
        <v>2008</v>
      </c>
      <c r="F50" s="24">
        <f t="shared" si="23"/>
        <v>2009</v>
      </c>
      <c r="G50" s="24">
        <f t="shared" si="23"/>
        <v>2010</v>
      </c>
      <c r="H50" s="24">
        <f t="shared" si="23"/>
        <v>2011</v>
      </c>
      <c r="I50" s="24" t="str">
        <f>I35</f>
        <v>Later</v>
      </c>
    </row>
    <row r="51" spans="1:9" ht="18">
      <c r="A51" s="5"/>
      <c r="B51" s="28" t="s">
        <v>178</v>
      </c>
      <c r="C51" s="24" t="str">
        <f t="shared" si="23"/>
        <v>Audited Actual</v>
      </c>
      <c r="D51" s="24" t="str">
        <f t="shared" si="23"/>
        <v>Audited Actual</v>
      </c>
      <c r="E51" s="24" t="str">
        <f t="shared" si="23"/>
        <v>Actual</v>
      </c>
      <c r="F51" s="24" t="str">
        <f t="shared" si="23"/>
        <v>Forecasted</v>
      </c>
      <c r="G51" s="24" t="str">
        <f t="shared" si="23"/>
        <v>Forecasted</v>
      </c>
      <c r="H51" s="24" t="str">
        <f t="shared" si="23"/>
        <v>Forecasted</v>
      </c>
      <c r="I51" s="24" t="str">
        <f>I36</f>
        <v>Forecasted</v>
      </c>
    </row>
    <row r="52" spans="1:9" ht="12.75">
      <c r="A52" s="5"/>
      <c r="B52" s="5"/>
      <c r="C52" s="5"/>
      <c r="D52" s="5"/>
      <c r="E52" s="5"/>
      <c r="F52" s="5"/>
      <c r="G52" s="5"/>
      <c r="H52" s="5"/>
      <c r="I52" s="5"/>
    </row>
    <row r="53" spans="1:9" ht="12.75">
      <c r="A53" s="5"/>
      <c r="B53" s="5" t="s">
        <v>169</v>
      </c>
      <c r="C53" s="77">
        <v>0</v>
      </c>
      <c r="D53" s="77">
        <f aca="true" t="shared" si="24" ref="D53:I53">C55</f>
        <v>0</v>
      </c>
      <c r="E53" s="77">
        <f t="shared" si="24"/>
        <v>0</v>
      </c>
      <c r="F53" s="77">
        <f t="shared" si="24"/>
        <v>0</v>
      </c>
      <c r="G53" s="77">
        <f t="shared" si="24"/>
        <v>0</v>
      </c>
      <c r="H53" s="77">
        <f t="shared" si="24"/>
        <v>0</v>
      </c>
      <c r="I53" s="77">
        <f t="shared" si="24"/>
        <v>0</v>
      </c>
    </row>
    <row r="54" spans="1:9" ht="12.75">
      <c r="A54" s="5"/>
      <c r="B54" s="5" t="s">
        <v>207</v>
      </c>
      <c r="C54" s="82">
        <f>'3.  LDC Assumptions and Data'!C34</f>
        <v>0</v>
      </c>
      <c r="D54" s="82">
        <f>'3.  LDC Assumptions and Data'!D34</f>
        <v>0</v>
      </c>
      <c r="E54" s="82">
        <f>'3.  LDC Assumptions and Data'!E34</f>
        <v>0</v>
      </c>
      <c r="F54" s="82">
        <f>'3.  LDC Assumptions and Data'!F34</f>
        <v>0</v>
      </c>
      <c r="G54" s="82">
        <f>'3.  LDC Assumptions and Data'!G34</f>
        <v>0</v>
      </c>
      <c r="H54" s="82">
        <f>'3.  LDC Assumptions and Data'!H34</f>
        <v>0</v>
      </c>
      <c r="I54" s="82">
        <f>'3.  LDC Assumptions and Data'!I34</f>
        <v>0</v>
      </c>
    </row>
    <row r="55" spans="1:9" ht="12.75">
      <c r="A55" s="5"/>
      <c r="B55" s="5" t="s">
        <v>170</v>
      </c>
      <c r="C55" s="77">
        <f aca="true" t="shared" si="25" ref="C55:H55">SUM(C53:C54)</f>
        <v>0</v>
      </c>
      <c r="D55" s="77">
        <f t="shared" si="25"/>
        <v>0</v>
      </c>
      <c r="E55" s="77">
        <f t="shared" si="25"/>
        <v>0</v>
      </c>
      <c r="F55" s="77">
        <f t="shared" si="25"/>
        <v>0</v>
      </c>
      <c r="G55" s="77">
        <f t="shared" si="25"/>
        <v>0</v>
      </c>
      <c r="H55" s="77">
        <f t="shared" si="25"/>
        <v>0</v>
      </c>
      <c r="I55" s="77">
        <f>SUM(I53:I54)</f>
        <v>0</v>
      </c>
    </row>
    <row r="56" spans="1:9" ht="12.75">
      <c r="A56" s="5"/>
      <c r="B56" s="5"/>
      <c r="C56" s="72"/>
      <c r="D56" s="72"/>
      <c r="E56" s="72"/>
      <c r="F56" s="72"/>
      <c r="G56" s="72"/>
      <c r="H56" s="5"/>
      <c r="I56" s="5"/>
    </row>
    <row r="57" spans="1:9" ht="12.75">
      <c r="A57" s="5"/>
      <c r="B57" s="5" t="s">
        <v>171</v>
      </c>
      <c r="C57" s="77">
        <v>0</v>
      </c>
      <c r="D57" s="77">
        <f aca="true" t="shared" si="26" ref="D57:I57">C59</f>
        <v>0</v>
      </c>
      <c r="E57" s="77">
        <f t="shared" si="26"/>
        <v>0</v>
      </c>
      <c r="F57" s="77">
        <f t="shared" si="26"/>
        <v>0</v>
      </c>
      <c r="G57" s="77">
        <f t="shared" si="26"/>
        <v>0</v>
      </c>
      <c r="H57" s="77">
        <f t="shared" si="26"/>
        <v>0</v>
      </c>
      <c r="I57" s="77">
        <f t="shared" si="26"/>
        <v>0</v>
      </c>
    </row>
    <row r="58" spans="1:9" ht="12.75">
      <c r="A58" s="5"/>
      <c r="B58" s="5" t="str">
        <f>"Amortization Year 1 ("&amp;'3.  LDC Assumptions and Data'!C63&amp;" Years Straight Line)"</f>
        <v>Amortization Year 1 (10 Years Straight Line)</v>
      </c>
      <c r="C58" s="58">
        <f>IF(C57+(C53/'3.  LDC Assumptions and Data'!C63)+(C54/'3.  LDC Assumptions and Data'!C63/2)&lt;C55,(C53/'3.  LDC Assumptions and Data'!C63)+(C54/'3.  LDC Assumptions and Data'!C63/2),C55-C57)</f>
        <v>0</v>
      </c>
      <c r="D58" s="58">
        <f>IF(D57+(D53/'3.  LDC Assumptions and Data'!C63)+(D54/'3.  LDC Assumptions and Data'!C63/2)&lt;D55,(D53/'3.  LDC Assumptions and Data'!C63)+(D54/'3.  LDC Assumptions and Data'!C63/2),D55-D57)</f>
        <v>0</v>
      </c>
      <c r="E58" s="58">
        <f>IF(E57+(E53/'3.  LDC Assumptions and Data'!C63)+(E54/'3.  LDC Assumptions and Data'!C63/2)&lt;E55,(E53/'3.  LDC Assumptions and Data'!C63)+(E54/'3.  LDC Assumptions and Data'!C63/2),E55-E57)</f>
        <v>0</v>
      </c>
      <c r="F58" s="58">
        <f>IF(F57+(F53/'3.  LDC Assumptions and Data'!C63)+(F54/'3.  LDC Assumptions and Data'!C63/2)&lt;F55,(F53/'3.  LDC Assumptions and Data'!C63)+(F54/'3.  LDC Assumptions and Data'!C63/2),F55-F57)</f>
        <v>0</v>
      </c>
      <c r="G58" s="58">
        <f>IF(G57+(G53/'3.  LDC Assumptions and Data'!C63)+(G54/'3.  LDC Assumptions and Data'!C63/2)&lt;G55,(G53/'3.  LDC Assumptions and Data'!C63)+(G54/'3.  LDC Assumptions and Data'!C63/2),G55-G57)</f>
        <v>0</v>
      </c>
      <c r="H58" s="58">
        <f>IF(H57+(H53/'3.  LDC Assumptions and Data'!D63)+(H54/'3.  LDC Assumptions and Data'!D63/2)&lt;H55,(H53/'3.  LDC Assumptions and Data'!D63)+(H54/'3.  LDC Assumptions and Data'!D63/2),H55-H57)</f>
        <v>0</v>
      </c>
      <c r="I58" s="58">
        <f>IF(I57+(I53/'3.  LDC Assumptions and Data'!E63)+(I54/'3.  LDC Assumptions and Data'!E63/2)&lt;I55,(I53/'3.  LDC Assumptions and Data'!E63)+(I54/'3.  LDC Assumptions and Data'!E63/2),I55-I57)</f>
        <v>0</v>
      </c>
    </row>
    <row r="59" spans="1:9" ht="12.75">
      <c r="A59" s="5"/>
      <c r="B59" s="5" t="s">
        <v>172</v>
      </c>
      <c r="C59" s="77">
        <f aca="true" t="shared" si="27" ref="C59:H59">SUM(C57:C58)</f>
        <v>0</v>
      </c>
      <c r="D59" s="77">
        <f t="shared" si="27"/>
        <v>0</v>
      </c>
      <c r="E59" s="77">
        <f t="shared" si="27"/>
        <v>0</v>
      </c>
      <c r="F59" s="77">
        <f t="shared" si="27"/>
        <v>0</v>
      </c>
      <c r="G59" s="77">
        <f t="shared" si="27"/>
        <v>0</v>
      </c>
      <c r="H59" s="77">
        <f t="shared" si="27"/>
        <v>0</v>
      </c>
      <c r="I59" s="77">
        <f>SUM(I57:I58)</f>
        <v>0</v>
      </c>
    </row>
    <row r="60" spans="1:9" ht="12.75">
      <c r="A60" s="5"/>
      <c r="B60" s="5"/>
      <c r="H60" s="5"/>
      <c r="I60" s="5"/>
    </row>
    <row r="61" spans="1:9" ht="12.75">
      <c r="A61" s="5"/>
      <c r="B61" s="5" t="s">
        <v>173</v>
      </c>
      <c r="C61" s="58">
        <f>0</f>
        <v>0</v>
      </c>
      <c r="D61" s="58">
        <f aca="true" t="shared" si="28" ref="D61:I61">C62</f>
        <v>0</v>
      </c>
      <c r="E61" s="58">
        <f t="shared" si="28"/>
        <v>0</v>
      </c>
      <c r="F61" s="58">
        <f t="shared" si="28"/>
        <v>0</v>
      </c>
      <c r="G61" s="58">
        <f t="shared" si="28"/>
        <v>0</v>
      </c>
      <c r="H61" s="58">
        <f t="shared" si="28"/>
        <v>0</v>
      </c>
      <c r="I61" s="58">
        <f t="shared" si="28"/>
        <v>0</v>
      </c>
    </row>
    <row r="62" spans="1:9" ht="12.75">
      <c r="A62" s="5"/>
      <c r="B62" s="5" t="s">
        <v>174</v>
      </c>
      <c r="C62" s="163">
        <f aca="true" t="shared" si="29" ref="C62:H62">C55-C59</f>
        <v>0</v>
      </c>
      <c r="D62" s="163">
        <f t="shared" si="29"/>
        <v>0</v>
      </c>
      <c r="E62" s="163">
        <f t="shared" si="29"/>
        <v>0</v>
      </c>
      <c r="F62" s="163">
        <f t="shared" si="29"/>
        <v>0</v>
      </c>
      <c r="G62" s="163">
        <f t="shared" si="29"/>
        <v>0</v>
      </c>
      <c r="H62" s="163">
        <f t="shared" si="29"/>
        <v>0</v>
      </c>
      <c r="I62" s="163">
        <f>I55-I59</f>
        <v>0</v>
      </c>
    </row>
    <row r="63" spans="1:9" ht="13.5" thickBot="1">
      <c r="A63" s="5"/>
      <c r="B63" s="5" t="s">
        <v>175</v>
      </c>
      <c r="C63" s="164">
        <f aca="true" t="shared" si="30" ref="C63:H63">(C62+C61)/2</f>
        <v>0</v>
      </c>
      <c r="D63" s="164">
        <f t="shared" si="30"/>
        <v>0</v>
      </c>
      <c r="E63" s="164">
        <f t="shared" si="30"/>
        <v>0</v>
      </c>
      <c r="F63" s="164">
        <f t="shared" si="30"/>
        <v>0</v>
      </c>
      <c r="G63" s="164">
        <f t="shared" si="30"/>
        <v>0</v>
      </c>
      <c r="H63" s="164">
        <f t="shared" si="30"/>
        <v>0</v>
      </c>
      <c r="I63" s="164">
        <f>(I62+I61)/2</f>
        <v>0</v>
      </c>
    </row>
    <row r="64" spans="1:9" ht="12.75">
      <c r="A64" s="5"/>
      <c r="B64" s="5"/>
      <c r="C64" s="71"/>
      <c r="D64" s="71"/>
      <c r="E64" s="5"/>
      <c r="F64" s="5"/>
      <c r="G64" s="5"/>
      <c r="H64" s="5"/>
      <c r="I64" s="5"/>
    </row>
    <row r="65" spans="1:9" ht="12.75">
      <c r="A65" s="5"/>
      <c r="B65" s="5"/>
      <c r="C65" s="24">
        <f aca="true" t="shared" si="31" ref="C65:H66">C50</f>
        <v>2006</v>
      </c>
      <c r="D65" s="24">
        <f t="shared" si="31"/>
        <v>2007</v>
      </c>
      <c r="E65" s="24">
        <f t="shared" si="31"/>
        <v>2008</v>
      </c>
      <c r="F65" s="24">
        <f t="shared" si="31"/>
        <v>2009</v>
      </c>
      <c r="G65" s="24">
        <f t="shared" si="31"/>
        <v>2010</v>
      </c>
      <c r="H65" s="24">
        <f t="shared" si="31"/>
        <v>2011</v>
      </c>
      <c r="I65" s="24" t="str">
        <f>I50</f>
        <v>Later</v>
      </c>
    </row>
    <row r="66" spans="1:9" ht="18">
      <c r="A66" s="5"/>
      <c r="B66" s="28" t="s">
        <v>179</v>
      </c>
      <c r="C66" s="24" t="str">
        <f t="shared" si="31"/>
        <v>Audited Actual</v>
      </c>
      <c r="D66" s="24" t="str">
        <f t="shared" si="31"/>
        <v>Audited Actual</v>
      </c>
      <c r="E66" s="24" t="str">
        <f t="shared" si="31"/>
        <v>Actual</v>
      </c>
      <c r="F66" s="24" t="str">
        <f t="shared" si="31"/>
        <v>Forecasted</v>
      </c>
      <c r="G66" s="24" t="str">
        <f t="shared" si="31"/>
        <v>Forecasted</v>
      </c>
      <c r="H66" s="24" t="str">
        <f t="shared" si="31"/>
        <v>Forecasted</v>
      </c>
      <c r="I66" s="24" t="str">
        <f>I51</f>
        <v>Forecasted</v>
      </c>
    </row>
    <row r="67" spans="1:9" ht="12.75">
      <c r="A67" s="5"/>
      <c r="B67" s="5"/>
      <c r="C67" s="5"/>
      <c r="D67" s="5"/>
      <c r="E67" s="5"/>
      <c r="F67" s="5"/>
      <c r="G67" s="5"/>
      <c r="H67" s="5"/>
      <c r="I67" s="5"/>
    </row>
    <row r="68" spans="1:9" ht="12.75">
      <c r="A68" s="5"/>
      <c r="B68" s="5" t="s">
        <v>169</v>
      </c>
      <c r="C68" s="77">
        <v>0</v>
      </c>
      <c r="D68" s="77">
        <f aca="true" t="shared" si="32" ref="D68:I68">C70</f>
        <v>0</v>
      </c>
      <c r="E68" s="77">
        <f t="shared" si="32"/>
        <v>0</v>
      </c>
      <c r="F68" s="77">
        <f t="shared" si="32"/>
        <v>0</v>
      </c>
      <c r="G68" s="77">
        <f t="shared" si="32"/>
        <v>0</v>
      </c>
      <c r="H68" s="77">
        <f t="shared" si="32"/>
        <v>0</v>
      </c>
      <c r="I68" s="77">
        <f t="shared" si="32"/>
        <v>0</v>
      </c>
    </row>
    <row r="69" spans="1:9" ht="12.75">
      <c r="A69" s="5"/>
      <c r="B69" s="5" t="s">
        <v>207</v>
      </c>
      <c r="C69" s="82">
        <f>'3.  LDC Assumptions and Data'!C35</f>
        <v>0</v>
      </c>
      <c r="D69" s="82">
        <f>'3.  LDC Assumptions and Data'!D35</f>
        <v>0</v>
      </c>
      <c r="E69" s="82">
        <f>'3.  LDC Assumptions and Data'!E35</f>
        <v>0</v>
      </c>
      <c r="F69" s="82">
        <f>'3.  LDC Assumptions and Data'!F35</f>
        <v>0</v>
      </c>
      <c r="G69" s="82">
        <f>'3.  LDC Assumptions and Data'!G35</f>
        <v>0</v>
      </c>
      <c r="H69" s="82">
        <f>'3.  LDC Assumptions and Data'!H35</f>
        <v>0</v>
      </c>
      <c r="I69" s="82">
        <f>'3.  LDC Assumptions and Data'!I35</f>
        <v>0</v>
      </c>
    </row>
    <row r="70" spans="1:9" ht="12.75">
      <c r="A70" s="5"/>
      <c r="B70" s="5" t="s">
        <v>170</v>
      </c>
      <c r="C70" s="77">
        <f aca="true" t="shared" si="33" ref="C70:H70">SUM(C68:C69)</f>
        <v>0</v>
      </c>
      <c r="D70" s="77">
        <f t="shared" si="33"/>
        <v>0</v>
      </c>
      <c r="E70" s="77">
        <f t="shared" si="33"/>
        <v>0</v>
      </c>
      <c r="F70" s="77">
        <f t="shared" si="33"/>
        <v>0</v>
      </c>
      <c r="G70" s="77">
        <f t="shared" si="33"/>
        <v>0</v>
      </c>
      <c r="H70" s="77">
        <f t="shared" si="33"/>
        <v>0</v>
      </c>
      <c r="I70" s="77">
        <f>SUM(I68:I69)</f>
        <v>0</v>
      </c>
    </row>
    <row r="71" spans="1:9" ht="12.75">
      <c r="A71" s="5"/>
      <c r="B71" s="5"/>
      <c r="C71" s="72"/>
      <c r="D71" s="72"/>
      <c r="E71" s="72"/>
      <c r="F71" s="72"/>
      <c r="G71" s="72"/>
      <c r="H71" s="72"/>
      <c r="I71" s="72"/>
    </row>
    <row r="72" spans="1:9" ht="12.75">
      <c r="A72" s="5"/>
      <c r="B72" s="5" t="s">
        <v>171</v>
      </c>
      <c r="C72" s="77">
        <v>0</v>
      </c>
      <c r="D72" s="77">
        <f aca="true" t="shared" si="34" ref="D72:I72">C74</f>
        <v>0</v>
      </c>
      <c r="E72" s="77">
        <f t="shared" si="34"/>
        <v>0</v>
      </c>
      <c r="F72" s="77">
        <f t="shared" si="34"/>
        <v>0</v>
      </c>
      <c r="G72" s="77">
        <f t="shared" si="34"/>
        <v>0</v>
      </c>
      <c r="H72" s="77">
        <f t="shared" si="34"/>
        <v>0</v>
      </c>
      <c r="I72" s="77">
        <f t="shared" si="34"/>
        <v>0</v>
      </c>
    </row>
    <row r="73" spans="1:9" ht="12.75">
      <c r="A73" s="5"/>
      <c r="B73" s="5" t="str">
        <f>"Amortization Year 1 ("&amp;'3.  LDC Assumptions and Data'!C64&amp;" Years Straight Line)"</f>
        <v>Amortization Year 1 (10 Years Straight Line)</v>
      </c>
      <c r="C73" s="58">
        <f>IF(C72+(C68/'3.  LDC Assumptions and Data'!C64)+(C69/'3.  LDC Assumptions and Data'!C64/2)&lt;C70,(C68/'3.  LDC Assumptions and Data'!C64)+(C69/'3.  LDC Assumptions and Data'!C64/2),C70-C72)</f>
        <v>0</v>
      </c>
      <c r="D73" s="58">
        <f>IF(D72+(D68/'3.  LDC Assumptions and Data'!C64)+(D69/'3.  LDC Assumptions and Data'!C64/2)&lt;D70,(D68/'3.  LDC Assumptions and Data'!C64)+(D69/'3.  LDC Assumptions and Data'!C64/2),D70-D72)</f>
        <v>0</v>
      </c>
      <c r="E73" s="58">
        <f>IF(E72+(E68/'3.  LDC Assumptions and Data'!C64)+(E69/'3.  LDC Assumptions and Data'!C64/2)&lt;E70,(E68/'3.  LDC Assumptions and Data'!C64)+(E69/'3.  LDC Assumptions and Data'!C64/2),E70-E72)</f>
        <v>0</v>
      </c>
      <c r="F73" s="58">
        <f>IF(F72+(F68/'3.  LDC Assumptions and Data'!C64)+(F69/'3.  LDC Assumptions and Data'!C64/2)&lt;F70,(F68/'3.  LDC Assumptions and Data'!C64)+(F69/'3.  LDC Assumptions and Data'!C64/2),F70-F72)</f>
        <v>0</v>
      </c>
      <c r="G73" s="58">
        <f>IF(G72+(G68/'3.  LDC Assumptions and Data'!C64)+(G69/'3.  LDC Assumptions and Data'!C64/2)&lt;G70,(G68/'3.  LDC Assumptions and Data'!C64)+(G69/'3.  LDC Assumptions and Data'!C64/2),G70-G72)</f>
        <v>0</v>
      </c>
      <c r="H73" s="58">
        <f>IF(H72+(H68/'3.  LDC Assumptions and Data'!D64)+(H69/'3.  LDC Assumptions and Data'!D64/2)&lt;H70,(H68/'3.  LDC Assumptions and Data'!D64)+(H69/'3.  LDC Assumptions and Data'!D64/2),H70-H72)</f>
        <v>0</v>
      </c>
      <c r="I73" s="58">
        <f>IF(I72+(I68/'3.  LDC Assumptions and Data'!E64)+(I69/'3.  LDC Assumptions and Data'!E64/2)&lt;I70,(I68/'3.  LDC Assumptions and Data'!E64)+(I69/'3.  LDC Assumptions and Data'!E64/2),I70-I72)</f>
        <v>0</v>
      </c>
    </row>
    <row r="74" spans="1:9" ht="12.75">
      <c r="A74" s="5"/>
      <c r="B74" s="5" t="s">
        <v>172</v>
      </c>
      <c r="C74" s="77">
        <f aca="true" t="shared" si="35" ref="C74:H74">SUM(C72:C73)</f>
        <v>0</v>
      </c>
      <c r="D74" s="77">
        <f t="shared" si="35"/>
        <v>0</v>
      </c>
      <c r="E74" s="77">
        <f t="shared" si="35"/>
        <v>0</v>
      </c>
      <c r="F74" s="77">
        <f t="shared" si="35"/>
        <v>0</v>
      </c>
      <c r="G74" s="77">
        <f t="shared" si="35"/>
        <v>0</v>
      </c>
      <c r="H74" s="77">
        <f t="shared" si="35"/>
        <v>0</v>
      </c>
      <c r="I74" s="77">
        <f>SUM(I72:I73)</f>
        <v>0</v>
      </c>
    </row>
    <row r="75" spans="1:9" ht="12.75">
      <c r="A75" s="5"/>
      <c r="B75" s="5"/>
      <c r="C75" s="72"/>
      <c r="D75" s="72"/>
      <c r="E75" s="72"/>
      <c r="F75" s="72"/>
      <c r="G75" s="72"/>
      <c r="H75" s="72"/>
      <c r="I75" s="72"/>
    </row>
    <row r="76" spans="1:9" ht="12.75">
      <c r="A76" s="5"/>
      <c r="B76" s="5" t="s">
        <v>173</v>
      </c>
      <c r="C76" s="58">
        <f>0</f>
        <v>0</v>
      </c>
      <c r="D76" s="58">
        <f aca="true" t="shared" si="36" ref="D76:I76">C77</f>
        <v>0</v>
      </c>
      <c r="E76" s="58">
        <f t="shared" si="36"/>
        <v>0</v>
      </c>
      <c r="F76" s="58">
        <f t="shared" si="36"/>
        <v>0</v>
      </c>
      <c r="G76" s="58">
        <f t="shared" si="36"/>
        <v>0</v>
      </c>
      <c r="H76" s="58">
        <f t="shared" si="36"/>
        <v>0</v>
      </c>
      <c r="I76" s="58">
        <f t="shared" si="36"/>
        <v>0</v>
      </c>
    </row>
    <row r="77" spans="1:9" ht="12.75">
      <c r="A77" s="5"/>
      <c r="B77" s="5" t="s">
        <v>174</v>
      </c>
      <c r="C77" s="163">
        <f aca="true" t="shared" si="37" ref="C77:H77">C70-C74</f>
        <v>0</v>
      </c>
      <c r="D77" s="163">
        <f t="shared" si="37"/>
        <v>0</v>
      </c>
      <c r="E77" s="163">
        <f t="shared" si="37"/>
        <v>0</v>
      </c>
      <c r="F77" s="163">
        <f t="shared" si="37"/>
        <v>0</v>
      </c>
      <c r="G77" s="163">
        <f t="shared" si="37"/>
        <v>0</v>
      </c>
      <c r="H77" s="163">
        <f t="shared" si="37"/>
        <v>0</v>
      </c>
      <c r="I77" s="163">
        <f>I70-I74</f>
        <v>0</v>
      </c>
    </row>
    <row r="78" spans="1:9" ht="13.5" thickBot="1">
      <c r="A78" s="5"/>
      <c r="B78" s="5" t="s">
        <v>175</v>
      </c>
      <c r="C78" s="164">
        <f aca="true" t="shared" si="38" ref="C78:H78">(C77+C76)/2</f>
        <v>0</v>
      </c>
      <c r="D78" s="164">
        <f t="shared" si="38"/>
        <v>0</v>
      </c>
      <c r="E78" s="164">
        <f t="shared" si="38"/>
        <v>0</v>
      </c>
      <c r="F78" s="164">
        <f t="shared" si="38"/>
        <v>0</v>
      </c>
      <c r="G78" s="164">
        <f t="shared" si="38"/>
        <v>0</v>
      </c>
      <c r="H78" s="164">
        <f t="shared" si="38"/>
        <v>0</v>
      </c>
      <c r="I78" s="164">
        <f>(I77+I76)/2</f>
        <v>0</v>
      </c>
    </row>
    <row r="79" spans="1:9" ht="12.75">
      <c r="A79" s="5"/>
      <c r="B79" s="5"/>
      <c r="C79" s="71"/>
      <c r="D79" s="71"/>
      <c r="E79" s="5"/>
      <c r="F79" s="5"/>
      <c r="G79" s="5"/>
      <c r="H79" s="5"/>
      <c r="I79" s="5"/>
    </row>
    <row r="80" spans="1:9" ht="12.75">
      <c r="A80" s="5"/>
      <c r="B80" s="5"/>
      <c r="C80" s="71"/>
      <c r="D80" s="71"/>
      <c r="E80" s="5"/>
      <c r="F80" s="5"/>
      <c r="G80" s="5"/>
      <c r="H80" s="5"/>
      <c r="I80" s="5"/>
    </row>
    <row r="81" spans="1:9" ht="26.25">
      <c r="A81" s="5"/>
      <c r="B81" s="64" t="s">
        <v>180</v>
      </c>
      <c r="C81" s="71"/>
      <c r="D81" s="71"/>
      <c r="E81" s="5"/>
      <c r="F81" s="5"/>
      <c r="G81" s="5"/>
      <c r="H81" s="5"/>
      <c r="I81" s="5"/>
    </row>
    <row r="82" spans="1:9" ht="12.75">
      <c r="A82" s="5"/>
      <c r="B82" s="5"/>
      <c r="C82" s="71"/>
      <c r="D82" s="71"/>
      <c r="E82" s="5"/>
      <c r="F82" s="5"/>
      <c r="G82" s="5"/>
      <c r="H82" s="5"/>
      <c r="I82" s="5"/>
    </row>
    <row r="83" spans="1:9" ht="18">
      <c r="A83" s="5"/>
      <c r="B83" s="28" t="s">
        <v>181</v>
      </c>
      <c r="C83" s="24">
        <f aca="true" t="shared" si="39" ref="C83:H84">C65</f>
        <v>2006</v>
      </c>
      <c r="D83" s="24">
        <f t="shared" si="39"/>
        <v>2007</v>
      </c>
      <c r="E83" s="24">
        <f t="shared" si="39"/>
        <v>2008</v>
      </c>
      <c r="F83" s="24">
        <f t="shared" si="39"/>
        <v>2009</v>
      </c>
      <c r="G83" s="24">
        <f t="shared" si="39"/>
        <v>2010</v>
      </c>
      <c r="H83" s="24">
        <f t="shared" si="39"/>
        <v>2011</v>
      </c>
      <c r="I83" s="24" t="str">
        <f>I65</f>
        <v>Later</v>
      </c>
    </row>
    <row r="84" spans="1:9" ht="12.75">
      <c r="A84" s="5"/>
      <c r="B84" s="5"/>
      <c r="C84" s="24" t="str">
        <f t="shared" si="39"/>
        <v>Audited Actual</v>
      </c>
      <c r="D84" s="24" t="str">
        <f t="shared" si="39"/>
        <v>Audited Actual</v>
      </c>
      <c r="E84" s="24" t="str">
        <f t="shared" si="39"/>
        <v>Actual</v>
      </c>
      <c r="F84" s="24" t="str">
        <f t="shared" si="39"/>
        <v>Forecasted</v>
      </c>
      <c r="G84" s="24" t="str">
        <f t="shared" si="39"/>
        <v>Forecasted</v>
      </c>
      <c r="H84" s="24" t="str">
        <f t="shared" si="39"/>
        <v>Forecasted</v>
      </c>
      <c r="I84" s="24" t="str">
        <f>I66</f>
        <v>Forecasted</v>
      </c>
    </row>
    <row r="85" spans="1:9" ht="12.75">
      <c r="A85" s="5"/>
      <c r="B85" s="5"/>
      <c r="C85" s="5"/>
      <c r="D85" s="5"/>
      <c r="E85" s="5"/>
      <c r="F85" s="5"/>
      <c r="G85" s="5"/>
      <c r="H85" s="5"/>
      <c r="I85" s="5"/>
    </row>
    <row r="86" spans="1:9" ht="12.75">
      <c r="A86" s="5"/>
      <c r="B86" s="5" t="s">
        <v>182</v>
      </c>
      <c r="C86" s="77">
        <v>0</v>
      </c>
      <c r="D86" s="77">
        <f aca="true" t="shared" si="40" ref="D86:I86">C88-C93</f>
        <v>0</v>
      </c>
      <c r="E86" s="77">
        <f t="shared" si="40"/>
        <v>0</v>
      </c>
      <c r="F86" s="77">
        <f t="shared" si="40"/>
        <v>0</v>
      </c>
      <c r="G86" s="77">
        <f t="shared" si="40"/>
        <v>1579180.1088</v>
      </c>
      <c r="H86" s="77">
        <f t="shared" si="40"/>
        <v>1920964.308096</v>
      </c>
      <c r="I86" s="77">
        <f t="shared" si="40"/>
        <v>1781508.22904832</v>
      </c>
    </row>
    <row r="87" spans="1:9" ht="12.75">
      <c r="A87" s="5"/>
      <c r="B87" s="5" t="s">
        <v>183</v>
      </c>
      <c r="C87" s="58">
        <f aca="true" t="shared" si="41" ref="C87:H87">C9</f>
        <v>0</v>
      </c>
      <c r="D87" s="58">
        <f t="shared" si="41"/>
        <v>0</v>
      </c>
      <c r="E87" s="58">
        <f t="shared" si="41"/>
        <v>0</v>
      </c>
      <c r="F87" s="58">
        <f t="shared" si="41"/>
        <v>1644979.28</v>
      </c>
      <c r="G87" s="58">
        <f t="shared" si="41"/>
        <v>487623.55000000005</v>
      </c>
      <c r="H87" s="58">
        <f t="shared" si="41"/>
        <v>14813.61</v>
      </c>
      <c r="I87" s="58">
        <f>I9</f>
        <v>29627.22</v>
      </c>
    </row>
    <row r="88" spans="1:9" ht="12.75">
      <c r="A88" s="5"/>
      <c r="B88" s="5" t="s">
        <v>184</v>
      </c>
      <c r="C88" s="77">
        <f aca="true" t="shared" si="42" ref="C88:H88">SUM(C86:C87)</f>
        <v>0</v>
      </c>
      <c r="D88" s="77">
        <f t="shared" si="42"/>
        <v>0</v>
      </c>
      <c r="E88" s="77">
        <f t="shared" si="42"/>
        <v>0</v>
      </c>
      <c r="F88" s="77">
        <f t="shared" si="42"/>
        <v>1644979.28</v>
      </c>
      <c r="G88" s="77">
        <f t="shared" si="42"/>
        <v>2066803.6588</v>
      </c>
      <c r="H88" s="77">
        <f t="shared" si="42"/>
        <v>1935777.918096</v>
      </c>
      <c r="I88" s="77">
        <f>SUM(I86:I87)</f>
        <v>1811135.44904832</v>
      </c>
    </row>
    <row r="89" spans="1:9" ht="12.75">
      <c r="A89" s="5"/>
      <c r="B89" s="5" t="s">
        <v>185</v>
      </c>
      <c r="C89" s="58">
        <f aca="true" t="shared" si="43" ref="C89:H89">SUM(C87:C87)/2</f>
        <v>0</v>
      </c>
      <c r="D89" s="58">
        <f t="shared" si="43"/>
        <v>0</v>
      </c>
      <c r="E89" s="58">
        <f t="shared" si="43"/>
        <v>0</v>
      </c>
      <c r="F89" s="58">
        <f t="shared" si="43"/>
        <v>822489.64</v>
      </c>
      <c r="G89" s="58">
        <f t="shared" si="43"/>
        <v>243811.77500000002</v>
      </c>
      <c r="H89" s="58">
        <f t="shared" si="43"/>
        <v>7406.805</v>
      </c>
      <c r="I89" s="58">
        <f>SUM(I87:I87)/2</f>
        <v>14813.61</v>
      </c>
    </row>
    <row r="90" spans="1:9" ht="12.75">
      <c r="A90" s="5"/>
      <c r="B90" s="5" t="s">
        <v>186</v>
      </c>
      <c r="C90" s="77">
        <f aca="true" t="shared" si="44" ref="C90:H90">C86+C89</f>
        <v>0</v>
      </c>
      <c r="D90" s="77">
        <f t="shared" si="44"/>
        <v>0</v>
      </c>
      <c r="E90" s="77">
        <f t="shared" si="44"/>
        <v>0</v>
      </c>
      <c r="F90" s="77">
        <f t="shared" si="44"/>
        <v>822489.64</v>
      </c>
      <c r="G90" s="77">
        <f t="shared" si="44"/>
        <v>1822991.8838</v>
      </c>
      <c r="H90" s="77">
        <f t="shared" si="44"/>
        <v>1928371.113096</v>
      </c>
      <c r="I90" s="77">
        <f>I86+I89</f>
        <v>1796321.8390483202</v>
      </c>
    </row>
    <row r="91" spans="1:9" ht="12.75">
      <c r="A91" s="5"/>
      <c r="B91" s="5" t="s">
        <v>227</v>
      </c>
      <c r="C91" s="133">
        <f>'3.  LDC Assumptions and Data'!C68</f>
        <v>47</v>
      </c>
      <c r="D91" s="133">
        <f>'3.  LDC Assumptions and Data'!D68</f>
        <v>47</v>
      </c>
      <c r="E91" s="133">
        <f>'3.  LDC Assumptions and Data'!E68</f>
        <v>47</v>
      </c>
      <c r="F91" s="133">
        <f>'3.  LDC Assumptions and Data'!F68</f>
        <v>47</v>
      </c>
      <c r="G91" s="133">
        <f>'3.  LDC Assumptions and Data'!G68</f>
        <v>47</v>
      </c>
      <c r="H91" s="133">
        <f>'3.  LDC Assumptions and Data'!H68</f>
        <v>47</v>
      </c>
      <c r="I91" s="133">
        <f>'3.  LDC Assumptions and Data'!I68</f>
        <v>47</v>
      </c>
    </row>
    <row r="92" spans="1:9" ht="12.75">
      <c r="A92" s="5"/>
      <c r="B92" s="5" t="s">
        <v>228</v>
      </c>
      <c r="C92" s="134">
        <f>'3.  LDC Assumptions and Data'!C69</f>
        <v>0.08</v>
      </c>
      <c r="D92" s="134">
        <f>'3.  LDC Assumptions and Data'!D69</f>
        <v>0.08</v>
      </c>
      <c r="E92" s="134">
        <f>'3.  LDC Assumptions and Data'!E69</f>
        <v>0.08</v>
      </c>
      <c r="F92" s="134">
        <f>'3.  LDC Assumptions and Data'!F69</f>
        <v>0.08</v>
      </c>
      <c r="G92" s="134">
        <f>'3.  LDC Assumptions and Data'!G69</f>
        <v>0.08</v>
      </c>
      <c r="H92" s="134">
        <f>'3.  LDC Assumptions and Data'!H69</f>
        <v>0.08</v>
      </c>
      <c r="I92" s="134">
        <f>'3.  LDC Assumptions and Data'!I69</f>
        <v>0.08</v>
      </c>
    </row>
    <row r="93" spans="1:9" ht="12.75">
      <c r="A93" s="5"/>
      <c r="B93" s="5" t="s">
        <v>187</v>
      </c>
      <c r="C93" s="77">
        <f aca="true" t="shared" si="45" ref="C93:H93">IF((C90*C92)&lt;C90,(C90*C92),C90)</f>
        <v>0</v>
      </c>
      <c r="D93" s="77">
        <f t="shared" si="45"/>
        <v>0</v>
      </c>
      <c r="E93" s="77">
        <f t="shared" si="45"/>
        <v>0</v>
      </c>
      <c r="F93" s="77">
        <f t="shared" si="45"/>
        <v>65799.1712</v>
      </c>
      <c r="G93" s="77">
        <f t="shared" si="45"/>
        <v>145839.350704</v>
      </c>
      <c r="H93" s="77">
        <f t="shared" si="45"/>
        <v>154269.68904768</v>
      </c>
      <c r="I93" s="77">
        <f>IF((I90*I92)&lt;I90,(I90*I92),I90)</f>
        <v>143705.7471238656</v>
      </c>
    </row>
    <row r="94" spans="1:9" ht="13.5" thickBot="1">
      <c r="A94" s="5"/>
      <c r="B94" s="5" t="s">
        <v>188</v>
      </c>
      <c r="C94" s="97">
        <f aca="true" t="shared" si="46" ref="C94:H94">IF((C88-C93)&lt;0,0,(C88-C93))</f>
        <v>0</v>
      </c>
      <c r="D94" s="97">
        <f t="shared" si="46"/>
        <v>0</v>
      </c>
      <c r="E94" s="97">
        <f t="shared" si="46"/>
        <v>0</v>
      </c>
      <c r="F94" s="97">
        <f t="shared" si="46"/>
        <v>1579180.1088</v>
      </c>
      <c r="G94" s="97">
        <f t="shared" si="46"/>
        <v>1920964.308096</v>
      </c>
      <c r="H94" s="97">
        <f t="shared" si="46"/>
        <v>1781508.22904832</v>
      </c>
      <c r="I94" s="97">
        <f>IF((I88-I93)&lt;0,0,(I88-I93))</f>
        <v>1667429.7019244544</v>
      </c>
    </row>
    <row r="95" spans="1:9" ht="12.75">
      <c r="A95" s="5"/>
      <c r="B95" s="5"/>
      <c r="C95" s="5"/>
      <c r="D95" s="5"/>
      <c r="E95" s="5"/>
      <c r="F95" s="5"/>
      <c r="G95" s="5"/>
      <c r="H95" s="5"/>
      <c r="I95" s="5"/>
    </row>
    <row r="96" spans="1:9" ht="18">
      <c r="A96" s="5"/>
      <c r="B96" s="28" t="s">
        <v>189</v>
      </c>
      <c r="C96" s="24">
        <f aca="true" t="shared" si="47" ref="C96:H97">C83</f>
        <v>2006</v>
      </c>
      <c r="D96" s="24">
        <f t="shared" si="47"/>
        <v>2007</v>
      </c>
      <c r="E96" s="24">
        <f t="shared" si="47"/>
        <v>2008</v>
      </c>
      <c r="F96" s="24">
        <f t="shared" si="47"/>
        <v>2009</v>
      </c>
      <c r="G96" s="24">
        <f t="shared" si="47"/>
        <v>2010</v>
      </c>
      <c r="H96" s="24">
        <f t="shared" si="47"/>
        <v>2011</v>
      </c>
      <c r="I96" s="24" t="str">
        <f>I83</f>
        <v>Later</v>
      </c>
    </row>
    <row r="97" spans="1:9" ht="12.75">
      <c r="A97" s="5"/>
      <c r="B97" s="5"/>
      <c r="C97" s="24" t="str">
        <f t="shared" si="47"/>
        <v>Audited Actual</v>
      </c>
      <c r="D97" s="24" t="str">
        <f t="shared" si="47"/>
        <v>Audited Actual</v>
      </c>
      <c r="E97" s="24" t="str">
        <f t="shared" si="47"/>
        <v>Actual</v>
      </c>
      <c r="F97" s="24" t="str">
        <f t="shared" si="47"/>
        <v>Forecasted</v>
      </c>
      <c r="G97" s="24" t="str">
        <f t="shared" si="47"/>
        <v>Forecasted</v>
      </c>
      <c r="H97" s="24" t="str">
        <f t="shared" si="47"/>
        <v>Forecasted</v>
      </c>
      <c r="I97" s="24" t="str">
        <f>I84</f>
        <v>Forecasted</v>
      </c>
    </row>
    <row r="98" spans="1:9" ht="12.75">
      <c r="A98" s="5"/>
      <c r="B98" s="5"/>
      <c r="C98" s="5"/>
      <c r="D98" s="5"/>
      <c r="E98" s="5"/>
      <c r="F98" s="5"/>
      <c r="G98" s="5"/>
      <c r="H98" s="5"/>
      <c r="I98" s="5"/>
    </row>
    <row r="99" spans="1:9" ht="12.75">
      <c r="A99" s="5"/>
      <c r="B99" s="5" t="s">
        <v>182</v>
      </c>
      <c r="C99" s="77">
        <v>0</v>
      </c>
      <c r="D99" s="77">
        <f aca="true" t="shared" si="48" ref="D99:I99">C108</f>
        <v>0</v>
      </c>
      <c r="E99" s="77">
        <f t="shared" si="48"/>
        <v>0</v>
      </c>
      <c r="F99" s="77">
        <f t="shared" si="48"/>
        <v>0</v>
      </c>
      <c r="G99" s="77">
        <f t="shared" si="48"/>
        <v>121051.9015</v>
      </c>
      <c r="H99" s="77">
        <f t="shared" si="48"/>
        <v>222233.99117499997</v>
      </c>
      <c r="I99" s="77">
        <f t="shared" si="48"/>
        <v>100005.29602874997</v>
      </c>
    </row>
    <row r="100" spans="1:9" ht="12.75">
      <c r="A100" s="5"/>
      <c r="B100" s="5" t="s">
        <v>190</v>
      </c>
      <c r="C100" s="58">
        <f aca="true" t="shared" si="49" ref="C100:H100">C24</f>
        <v>0</v>
      </c>
      <c r="D100" s="58">
        <f t="shared" si="49"/>
        <v>0</v>
      </c>
      <c r="E100" s="58">
        <f t="shared" si="49"/>
        <v>0</v>
      </c>
      <c r="F100" s="58">
        <f t="shared" si="49"/>
        <v>3864</v>
      </c>
      <c r="G100" s="58">
        <f t="shared" si="49"/>
        <v>3864</v>
      </c>
      <c r="H100" s="58">
        <f t="shared" si="49"/>
        <v>0</v>
      </c>
      <c r="I100" s="58">
        <f>I24</f>
        <v>0</v>
      </c>
    </row>
    <row r="101" spans="1:9" ht="12.75">
      <c r="A101" s="5"/>
      <c r="B101" s="5" t="s">
        <v>191</v>
      </c>
      <c r="C101" s="58">
        <f aca="true" t="shared" si="50" ref="C101:H101">C39</f>
        <v>0</v>
      </c>
      <c r="D101" s="58">
        <f t="shared" si="50"/>
        <v>0</v>
      </c>
      <c r="E101" s="58">
        <f t="shared" si="50"/>
        <v>0</v>
      </c>
      <c r="F101" s="58">
        <f t="shared" si="50"/>
        <v>163104.14</v>
      </c>
      <c r="G101" s="58">
        <f t="shared" si="50"/>
        <v>227529.98</v>
      </c>
      <c r="H101" s="58">
        <f t="shared" si="50"/>
        <v>0</v>
      </c>
      <c r="I101" s="58">
        <f>I39</f>
        <v>0</v>
      </c>
    </row>
    <row r="102" spans="1:9" ht="12.75">
      <c r="A102" s="5"/>
      <c r="B102" s="5" t="s">
        <v>184</v>
      </c>
      <c r="C102" s="77">
        <f aca="true" t="shared" si="51" ref="C102:H102">SUM(C99:C101)</f>
        <v>0</v>
      </c>
      <c r="D102" s="77">
        <f t="shared" si="51"/>
        <v>0</v>
      </c>
      <c r="E102" s="77">
        <f t="shared" si="51"/>
        <v>0</v>
      </c>
      <c r="F102" s="77">
        <f t="shared" si="51"/>
        <v>166968.14</v>
      </c>
      <c r="G102" s="77">
        <f t="shared" si="51"/>
        <v>352445.8815</v>
      </c>
      <c r="H102" s="77">
        <f t="shared" si="51"/>
        <v>222233.99117499997</v>
      </c>
      <c r="I102" s="77">
        <f>SUM(I99:I101)</f>
        <v>100005.29602874997</v>
      </c>
    </row>
    <row r="103" spans="1:9" ht="12.75">
      <c r="A103" s="5"/>
      <c r="B103" s="5" t="s">
        <v>185</v>
      </c>
      <c r="C103" s="58">
        <f aca="true" t="shared" si="52" ref="C103:H103">SUM(C100:C101)/2</f>
        <v>0</v>
      </c>
      <c r="D103" s="58">
        <f t="shared" si="52"/>
        <v>0</v>
      </c>
      <c r="E103" s="58">
        <f t="shared" si="52"/>
        <v>0</v>
      </c>
      <c r="F103" s="58">
        <f t="shared" si="52"/>
        <v>83484.07</v>
      </c>
      <c r="G103" s="58">
        <f t="shared" si="52"/>
        <v>115696.99</v>
      </c>
      <c r="H103" s="58">
        <f t="shared" si="52"/>
        <v>0</v>
      </c>
      <c r="I103" s="58">
        <f>SUM(I100:I101)/2</f>
        <v>0</v>
      </c>
    </row>
    <row r="104" spans="1:9" ht="12.75">
      <c r="A104" s="5"/>
      <c r="B104" s="5" t="s">
        <v>186</v>
      </c>
      <c r="C104" s="77">
        <f aca="true" t="shared" si="53" ref="C104:H104">C99+C103</f>
        <v>0</v>
      </c>
      <c r="D104" s="77">
        <f t="shared" si="53"/>
        <v>0</v>
      </c>
      <c r="E104" s="77">
        <f t="shared" si="53"/>
        <v>0</v>
      </c>
      <c r="F104" s="77">
        <f t="shared" si="53"/>
        <v>83484.07</v>
      </c>
      <c r="G104" s="77">
        <f t="shared" si="53"/>
        <v>236748.89150000003</v>
      </c>
      <c r="H104" s="77">
        <f t="shared" si="53"/>
        <v>222233.99117499997</v>
      </c>
      <c r="I104" s="77">
        <f>I99+I103</f>
        <v>100005.29602874997</v>
      </c>
    </row>
    <row r="105" spans="1:9" ht="12.75">
      <c r="A105" s="5"/>
      <c r="B105" s="5" t="s">
        <v>227</v>
      </c>
      <c r="C105" s="133">
        <f>'3.  LDC Assumptions and Data'!C71</f>
        <v>45</v>
      </c>
      <c r="D105" s="133">
        <f>'3.  LDC Assumptions and Data'!D71</f>
        <v>50</v>
      </c>
      <c r="E105" s="133">
        <f>'3.  LDC Assumptions and Data'!E71</f>
        <v>50</v>
      </c>
      <c r="F105" s="133">
        <f>'3.  LDC Assumptions and Data'!F71</f>
        <v>50</v>
      </c>
      <c r="G105" s="133">
        <f>'3.  LDC Assumptions and Data'!G71</f>
        <v>50</v>
      </c>
      <c r="H105" s="133">
        <f>'3.  LDC Assumptions and Data'!H71</f>
        <v>50</v>
      </c>
      <c r="I105" s="133">
        <f>'3.  LDC Assumptions and Data'!I71</f>
        <v>50</v>
      </c>
    </row>
    <row r="106" spans="1:9" ht="12.75">
      <c r="A106" s="5"/>
      <c r="B106" s="5" t="s">
        <v>228</v>
      </c>
      <c r="C106" s="134">
        <f>'3.  LDC Assumptions and Data'!C72</f>
        <v>0.45</v>
      </c>
      <c r="D106" s="134">
        <f>'3.  LDC Assumptions and Data'!D72</f>
        <v>0.55</v>
      </c>
      <c r="E106" s="134">
        <f>'3.  LDC Assumptions and Data'!E72</f>
        <v>0.55</v>
      </c>
      <c r="F106" s="134">
        <f>'3.  LDC Assumptions and Data'!F72</f>
        <v>0.55</v>
      </c>
      <c r="G106" s="134">
        <f>'3.  LDC Assumptions and Data'!G72</f>
        <v>0.55</v>
      </c>
      <c r="H106" s="134">
        <f>'3.  LDC Assumptions and Data'!H72</f>
        <v>0.55</v>
      </c>
      <c r="I106" s="134">
        <f>'3.  LDC Assumptions and Data'!I72</f>
        <v>0.55</v>
      </c>
    </row>
    <row r="107" spans="1:9" ht="12.75">
      <c r="A107" s="5"/>
      <c r="B107" s="5" t="s">
        <v>187</v>
      </c>
      <c r="C107" s="77">
        <f aca="true" t="shared" si="54" ref="C107:H107">IF((C104*C106)&lt;C104,(C104*C106),C104)</f>
        <v>0</v>
      </c>
      <c r="D107" s="77">
        <f t="shared" si="54"/>
        <v>0</v>
      </c>
      <c r="E107" s="77">
        <f t="shared" si="54"/>
        <v>0</v>
      </c>
      <c r="F107" s="77">
        <f t="shared" si="54"/>
        <v>45916.23850000001</v>
      </c>
      <c r="G107" s="77">
        <f t="shared" si="54"/>
        <v>130211.89032500003</v>
      </c>
      <c r="H107" s="77">
        <f t="shared" si="54"/>
        <v>122228.69514625</v>
      </c>
      <c r="I107" s="77">
        <f>IF((I104*I106)&lt;I104,(I104*I106),I104)</f>
        <v>55002.91281581249</v>
      </c>
    </row>
    <row r="108" spans="1:9" ht="13.5" thickBot="1">
      <c r="A108" s="5"/>
      <c r="B108" s="5" t="s">
        <v>188</v>
      </c>
      <c r="C108" s="97">
        <f aca="true" t="shared" si="55" ref="C108:H108">IF((C102-C107)&lt;0,0,(C102-C107))</f>
        <v>0</v>
      </c>
      <c r="D108" s="97">
        <f t="shared" si="55"/>
        <v>0</v>
      </c>
      <c r="E108" s="97">
        <f t="shared" si="55"/>
        <v>0</v>
      </c>
      <c r="F108" s="97">
        <f t="shared" si="55"/>
        <v>121051.9015</v>
      </c>
      <c r="G108" s="97">
        <f t="shared" si="55"/>
        <v>222233.99117499997</v>
      </c>
      <c r="H108" s="97">
        <f t="shared" si="55"/>
        <v>100005.29602874997</v>
      </c>
      <c r="I108" s="97">
        <f>IF((I102-I107)&lt;0,0,(I102-I107))</f>
        <v>45002.383212937486</v>
      </c>
    </row>
    <row r="110" spans="1:9" ht="18">
      <c r="A110" s="5"/>
      <c r="B110" s="28" t="s">
        <v>192</v>
      </c>
      <c r="C110" s="24">
        <f aca="true" t="shared" si="56" ref="C110:H111">C96</f>
        <v>2006</v>
      </c>
      <c r="D110" s="24">
        <f t="shared" si="56"/>
        <v>2007</v>
      </c>
      <c r="E110" s="24">
        <f t="shared" si="56"/>
        <v>2008</v>
      </c>
      <c r="F110" s="24">
        <f t="shared" si="56"/>
        <v>2009</v>
      </c>
      <c r="G110" s="24">
        <f t="shared" si="56"/>
        <v>2010</v>
      </c>
      <c r="H110" s="24">
        <f t="shared" si="56"/>
        <v>2011</v>
      </c>
      <c r="I110" s="24" t="str">
        <f>I96</f>
        <v>Later</v>
      </c>
    </row>
    <row r="111" spans="1:9" ht="12.75">
      <c r="A111" s="5"/>
      <c r="B111" s="5"/>
      <c r="C111" s="24" t="str">
        <f t="shared" si="56"/>
        <v>Audited Actual</v>
      </c>
      <c r="D111" s="24" t="str">
        <f t="shared" si="56"/>
        <v>Audited Actual</v>
      </c>
      <c r="E111" s="24" t="str">
        <f t="shared" si="56"/>
        <v>Actual</v>
      </c>
      <c r="F111" s="24" t="str">
        <f t="shared" si="56"/>
        <v>Forecasted</v>
      </c>
      <c r="G111" s="24" t="str">
        <f t="shared" si="56"/>
        <v>Forecasted</v>
      </c>
      <c r="H111" s="24" t="str">
        <f t="shared" si="56"/>
        <v>Forecasted</v>
      </c>
      <c r="I111" s="24" t="str">
        <f>I97</f>
        <v>Forecasted</v>
      </c>
    </row>
    <row r="112" spans="1:9" ht="12.75">
      <c r="A112" s="5"/>
      <c r="B112" s="5"/>
      <c r="C112" s="5"/>
      <c r="D112" s="5"/>
      <c r="E112" s="5"/>
      <c r="F112" s="5"/>
      <c r="G112" s="5"/>
      <c r="H112" s="5"/>
      <c r="I112" s="5"/>
    </row>
    <row r="113" spans="1:9" ht="12.75">
      <c r="A113" s="5"/>
      <c r="B113" s="5" t="s">
        <v>182</v>
      </c>
      <c r="C113" s="77">
        <v>0</v>
      </c>
      <c r="D113" s="77">
        <f aca="true" t="shared" si="57" ref="D113:I113">C122</f>
        <v>0</v>
      </c>
      <c r="E113" s="77">
        <f t="shared" si="57"/>
        <v>0</v>
      </c>
      <c r="F113" s="77">
        <f t="shared" si="57"/>
        <v>0</v>
      </c>
      <c r="G113" s="77">
        <f t="shared" si="57"/>
        <v>0</v>
      </c>
      <c r="H113" s="77">
        <f t="shared" si="57"/>
        <v>0</v>
      </c>
      <c r="I113" s="77">
        <f t="shared" si="57"/>
        <v>0</v>
      </c>
    </row>
    <row r="114" spans="1:9" ht="12.75">
      <c r="A114" s="5"/>
      <c r="B114" s="5" t="s">
        <v>193</v>
      </c>
      <c r="C114" s="58">
        <f aca="true" t="shared" si="58" ref="C114:H114">C54</f>
        <v>0</v>
      </c>
      <c r="D114" s="58">
        <f t="shared" si="58"/>
        <v>0</v>
      </c>
      <c r="E114" s="58">
        <f t="shared" si="58"/>
        <v>0</v>
      </c>
      <c r="F114" s="58">
        <f t="shared" si="58"/>
        <v>0</v>
      </c>
      <c r="G114" s="58">
        <f t="shared" si="58"/>
        <v>0</v>
      </c>
      <c r="H114" s="58">
        <f t="shared" si="58"/>
        <v>0</v>
      </c>
      <c r="I114" s="58">
        <f>I54</f>
        <v>0</v>
      </c>
    </row>
    <row r="115" spans="1:9" ht="12.75">
      <c r="A115" s="5"/>
      <c r="B115" s="5" t="s">
        <v>194</v>
      </c>
      <c r="C115" s="58">
        <f aca="true" t="shared" si="59" ref="C115:H115">C69</f>
        <v>0</v>
      </c>
      <c r="D115" s="58">
        <f t="shared" si="59"/>
        <v>0</v>
      </c>
      <c r="E115" s="58">
        <f t="shared" si="59"/>
        <v>0</v>
      </c>
      <c r="F115" s="58">
        <f t="shared" si="59"/>
        <v>0</v>
      </c>
      <c r="G115" s="58">
        <f t="shared" si="59"/>
        <v>0</v>
      </c>
      <c r="H115" s="58">
        <f t="shared" si="59"/>
        <v>0</v>
      </c>
      <c r="I115" s="58">
        <f>I69</f>
        <v>0</v>
      </c>
    </row>
    <row r="116" spans="1:9" ht="12.75">
      <c r="A116" s="5"/>
      <c r="B116" s="5" t="s">
        <v>184</v>
      </c>
      <c r="C116" s="77">
        <f aca="true" t="shared" si="60" ref="C116:H116">SUM(C113:C115)</f>
        <v>0</v>
      </c>
      <c r="D116" s="77">
        <f t="shared" si="60"/>
        <v>0</v>
      </c>
      <c r="E116" s="77">
        <f t="shared" si="60"/>
        <v>0</v>
      </c>
      <c r="F116" s="77">
        <f t="shared" si="60"/>
        <v>0</v>
      </c>
      <c r="G116" s="77">
        <f t="shared" si="60"/>
        <v>0</v>
      </c>
      <c r="H116" s="77">
        <f t="shared" si="60"/>
        <v>0</v>
      </c>
      <c r="I116" s="77">
        <f>SUM(I113:I115)</f>
        <v>0</v>
      </c>
    </row>
    <row r="117" spans="1:9" ht="12.75">
      <c r="A117" s="5"/>
      <c r="B117" s="5" t="s">
        <v>185</v>
      </c>
      <c r="C117" s="58">
        <f aca="true" t="shared" si="61" ref="C117:H117">SUM(C114:C115)/2</f>
        <v>0</v>
      </c>
      <c r="D117" s="58">
        <f t="shared" si="61"/>
        <v>0</v>
      </c>
      <c r="E117" s="58">
        <f t="shared" si="61"/>
        <v>0</v>
      </c>
      <c r="F117" s="58">
        <f t="shared" si="61"/>
        <v>0</v>
      </c>
      <c r="G117" s="58">
        <f t="shared" si="61"/>
        <v>0</v>
      </c>
      <c r="H117" s="58">
        <f t="shared" si="61"/>
        <v>0</v>
      </c>
      <c r="I117" s="58">
        <f>SUM(I114:I115)/2</f>
        <v>0</v>
      </c>
    </row>
    <row r="118" spans="1:9" ht="12.75">
      <c r="A118" s="5"/>
      <c r="B118" s="5" t="s">
        <v>186</v>
      </c>
      <c r="C118" s="77">
        <f aca="true" t="shared" si="62" ref="C118:H118">C113+C117</f>
        <v>0</v>
      </c>
      <c r="D118" s="77">
        <f t="shared" si="62"/>
        <v>0</v>
      </c>
      <c r="E118" s="77">
        <f t="shared" si="62"/>
        <v>0</v>
      </c>
      <c r="F118" s="77">
        <f t="shared" si="62"/>
        <v>0</v>
      </c>
      <c r="G118" s="77">
        <f t="shared" si="62"/>
        <v>0</v>
      </c>
      <c r="H118" s="77">
        <f t="shared" si="62"/>
        <v>0</v>
      </c>
      <c r="I118" s="77">
        <f>I113+I117</f>
        <v>0</v>
      </c>
    </row>
    <row r="119" spans="1:9" ht="12.75">
      <c r="A119" s="5"/>
      <c r="B119" s="5" t="s">
        <v>227</v>
      </c>
      <c r="C119" s="133">
        <f>'3.  LDC Assumptions and Data'!C74</f>
        <v>8</v>
      </c>
      <c r="D119" s="133">
        <f>'3.  LDC Assumptions and Data'!D74</f>
        <v>8</v>
      </c>
      <c r="E119" s="133">
        <f>'3.  LDC Assumptions and Data'!E74</f>
        <v>8</v>
      </c>
      <c r="F119" s="133">
        <f>'3.  LDC Assumptions and Data'!F74</f>
        <v>8</v>
      </c>
      <c r="G119" s="133">
        <f>'3.  LDC Assumptions and Data'!G74</f>
        <v>8</v>
      </c>
      <c r="H119" s="133">
        <f>'3.  LDC Assumptions and Data'!H74</f>
        <v>8</v>
      </c>
      <c r="I119" s="133">
        <f>'3.  LDC Assumptions and Data'!I74</f>
        <v>8</v>
      </c>
    </row>
    <row r="120" spans="1:9" ht="12.75">
      <c r="A120" s="5"/>
      <c r="B120" s="5" t="s">
        <v>228</v>
      </c>
      <c r="C120" s="134">
        <f>'3.  LDC Assumptions and Data'!C75</f>
        <v>0.2</v>
      </c>
      <c r="D120" s="134">
        <f>'3.  LDC Assumptions and Data'!D75</f>
        <v>0.2</v>
      </c>
      <c r="E120" s="134">
        <f>'3.  LDC Assumptions and Data'!E75</f>
        <v>0.2</v>
      </c>
      <c r="F120" s="134">
        <f>'3.  LDC Assumptions and Data'!F75</f>
        <v>0.2</v>
      </c>
      <c r="G120" s="134">
        <f>'3.  LDC Assumptions and Data'!G75</f>
        <v>0.2</v>
      </c>
      <c r="H120" s="134">
        <f>'3.  LDC Assumptions and Data'!H75</f>
        <v>0.2</v>
      </c>
      <c r="I120" s="134">
        <f>'3.  LDC Assumptions and Data'!I75</f>
        <v>0.2</v>
      </c>
    </row>
    <row r="121" spans="1:9" ht="12.75">
      <c r="A121" s="5"/>
      <c r="B121" s="5" t="s">
        <v>187</v>
      </c>
      <c r="C121" s="77">
        <f aca="true" t="shared" si="63" ref="C121:H121">IF((C118*C120)&lt;C118,(C118*C120),C118)</f>
        <v>0</v>
      </c>
      <c r="D121" s="77">
        <f t="shared" si="63"/>
        <v>0</v>
      </c>
      <c r="E121" s="77">
        <f t="shared" si="63"/>
        <v>0</v>
      </c>
      <c r="F121" s="77">
        <f t="shared" si="63"/>
        <v>0</v>
      </c>
      <c r="G121" s="77">
        <f t="shared" si="63"/>
        <v>0</v>
      </c>
      <c r="H121" s="77">
        <f t="shared" si="63"/>
        <v>0</v>
      </c>
      <c r="I121" s="77">
        <f>IF((I118*I120)&lt;I118,(I118*I120),I118)</f>
        <v>0</v>
      </c>
    </row>
    <row r="122" spans="1:9" ht="13.5" thickBot="1">
      <c r="A122" s="5"/>
      <c r="B122" s="5" t="s">
        <v>188</v>
      </c>
      <c r="C122" s="97">
        <f aca="true" t="shared" si="64" ref="C122:H122">IF((C116-C121)&lt;0,0,(C116-C121))</f>
        <v>0</v>
      </c>
      <c r="D122" s="97">
        <f t="shared" si="64"/>
        <v>0</v>
      </c>
      <c r="E122" s="97">
        <f t="shared" si="64"/>
        <v>0</v>
      </c>
      <c r="F122" s="97">
        <f t="shared" si="64"/>
        <v>0</v>
      </c>
      <c r="G122" s="97">
        <f t="shared" si="64"/>
        <v>0</v>
      </c>
      <c r="H122" s="97">
        <f t="shared" si="64"/>
        <v>0</v>
      </c>
      <c r="I122" s="97">
        <f>IF((I116-I121)&lt;0,0,(I116-I121))</f>
        <v>0</v>
      </c>
    </row>
    <row r="126" ht="15">
      <c r="B126" s="25"/>
    </row>
    <row r="127" ht="15">
      <c r="B127" s="25"/>
    </row>
  </sheetData>
  <sheetProtection formatColumns="0" selectLockedCells="1"/>
  <mergeCells count="1">
    <mergeCell ref="B1:E1"/>
  </mergeCells>
  <printOptions/>
  <pageMargins left="0.5118110236220472" right="0.4330708661417323" top="0.7480314960629921" bottom="0.7480314960629921" header="0.5118110236220472" footer="0.5118110236220472"/>
  <pageSetup fitToHeight="2" horizontalDpi="600" verticalDpi="600" orientation="landscape" scale="65" r:id="rId1"/>
  <headerFooter alignWithMargins="0">
    <oddHeader>&amp;R&amp;F&amp;A</oddHeader>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57">
      <selection activeCell="D49" sqref="D49"/>
    </sheetView>
  </sheetViews>
  <sheetFormatPr defaultColWidth="8.8515625" defaultRowHeight="12.75"/>
  <cols>
    <col min="1" max="1" width="23.8515625" style="60" customWidth="1"/>
    <col min="2" max="2" width="14.140625" style="59" bestFit="1" customWidth="1"/>
    <col min="3" max="3" width="13.7109375" style="59" customWidth="1"/>
    <col min="4" max="4" width="11.421875" style="59" customWidth="1"/>
    <col min="5" max="5" width="12.7109375" style="59" customWidth="1"/>
    <col min="6" max="6" width="14.140625" style="59" bestFit="1" customWidth="1"/>
    <col min="7" max="7" width="17.7109375" style="149" customWidth="1"/>
    <col min="8" max="8" width="11.421875" style="59" customWidth="1"/>
    <col min="9" max="9" width="10.28125" style="59" bestFit="1" customWidth="1"/>
    <col min="10" max="10" width="25.7109375" style="60" customWidth="1"/>
    <col min="11" max="11" width="22.7109375" style="60" customWidth="1"/>
    <col min="12" max="16384" width="8.8515625" style="59" customWidth="1"/>
  </cols>
  <sheetData>
    <row r="1" spans="1:11" ht="50.25" thickBot="1">
      <c r="A1" s="195" t="s">
        <v>235</v>
      </c>
      <c r="B1" s="196"/>
      <c r="C1" s="196"/>
      <c r="D1" s="196"/>
      <c r="E1" s="196"/>
      <c r="F1" s="197"/>
      <c r="I1" s="141"/>
      <c r="J1" s="142" t="s">
        <v>236</v>
      </c>
      <c r="K1" s="142" t="s">
        <v>238</v>
      </c>
    </row>
    <row r="2" spans="9:11" ht="94.5">
      <c r="I2" s="141"/>
      <c r="J2" s="142" t="s">
        <v>237</v>
      </c>
      <c r="K2" s="142" t="s">
        <v>239</v>
      </c>
    </row>
    <row r="3" spans="2:11" ht="15.75">
      <c r="B3" s="59" t="s">
        <v>125</v>
      </c>
      <c r="C3" s="136" t="s">
        <v>234</v>
      </c>
      <c r="D3" s="59" t="s">
        <v>126</v>
      </c>
      <c r="E3" s="59" t="s">
        <v>127</v>
      </c>
      <c r="F3" s="59" t="s">
        <v>128</v>
      </c>
      <c r="I3" s="141" t="s">
        <v>251</v>
      </c>
      <c r="J3" s="143">
        <v>4.14</v>
      </c>
      <c r="K3" s="143">
        <v>4.68</v>
      </c>
    </row>
    <row r="4" spans="1:11" ht="15.75">
      <c r="A4" s="140">
        <v>38718</v>
      </c>
      <c r="B4" s="138">
        <v>0</v>
      </c>
      <c r="C4" s="137">
        <v>0</v>
      </c>
      <c r="D4" s="61">
        <f>'3.  LDC Assumptions and Data'!$C$19</f>
        <v>0.06756</v>
      </c>
      <c r="E4" s="138">
        <f aca="true" t="shared" si="0" ref="E4:E27">(B4*D4)/12</f>
        <v>0</v>
      </c>
      <c r="F4" s="138">
        <f>SUM(B4:C4,E4)</f>
        <v>0</v>
      </c>
      <c r="I4" s="141" t="s">
        <v>250</v>
      </c>
      <c r="J4" s="143">
        <v>4.59</v>
      </c>
      <c r="K4" s="143">
        <v>5.05</v>
      </c>
    </row>
    <row r="5" spans="1:11" ht="15.75">
      <c r="A5" s="140">
        <v>38749</v>
      </c>
      <c r="B5" s="139">
        <f aca="true" t="shared" si="1" ref="B5:B28">F4</f>
        <v>0</v>
      </c>
      <c r="C5" s="137">
        <v>0</v>
      </c>
      <c r="D5" s="61">
        <f>'3.  LDC Assumptions and Data'!$C$19</f>
        <v>0.06756</v>
      </c>
      <c r="E5" s="138">
        <f t="shared" si="0"/>
        <v>0</v>
      </c>
      <c r="F5" s="138">
        <f aca="true" t="shared" si="2" ref="F5:F27">SUM(B5:C5,E5)</f>
        <v>0</v>
      </c>
      <c r="I5" s="141" t="s">
        <v>249</v>
      </c>
      <c r="J5" s="143">
        <v>4.59</v>
      </c>
      <c r="K5" s="143">
        <v>4.72</v>
      </c>
    </row>
    <row r="6" spans="1:11" ht="15.75">
      <c r="A6" s="140">
        <v>38777</v>
      </c>
      <c r="B6" s="139">
        <f t="shared" si="1"/>
        <v>0</v>
      </c>
      <c r="C6" s="137">
        <v>0</v>
      </c>
      <c r="D6" s="61">
        <f>'3.  LDC Assumptions and Data'!$C$19</f>
        <v>0.06756</v>
      </c>
      <c r="E6" s="138">
        <f t="shared" si="0"/>
        <v>0</v>
      </c>
      <c r="F6" s="138">
        <f t="shared" si="2"/>
        <v>0</v>
      </c>
      <c r="I6" s="141" t="s">
        <v>248</v>
      </c>
      <c r="J6" s="143">
        <v>4.59</v>
      </c>
      <c r="K6" s="143">
        <v>4.72</v>
      </c>
    </row>
    <row r="7" spans="1:11" ht="15.75">
      <c r="A7" s="140">
        <v>38808</v>
      </c>
      <c r="B7" s="139">
        <f t="shared" si="1"/>
        <v>0</v>
      </c>
      <c r="C7" s="137">
        <v>0</v>
      </c>
      <c r="D7" s="62">
        <v>0.0414</v>
      </c>
      <c r="E7" s="138">
        <f t="shared" si="0"/>
        <v>0</v>
      </c>
      <c r="F7" s="138">
        <f t="shared" si="2"/>
        <v>0</v>
      </c>
      <c r="I7" s="141" t="s">
        <v>247</v>
      </c>
      <c r="J7" s="143">
        <v>4.59</v>
      </c>
      <c r="K7" s="143">
        <v>4.72</v>
      </c>
    </row>
    <row r="8" spans="1:11" ht="15.75">
      <c r="A8" s="140">
        <v>38838</v>
      </c>
      <c r="B8" s="139">
        <f t="shared" si="1"/>
        <v>0</v>
      </c>
      <c r="C8" s="137">
        <v>888</v>
      </c>
      <c r="D8" s="62">
        <v>0.0414</v>
      </c>
      <c r="E8" s="138">
        <f t="shared" si="0"/>
        <v>0</v>
      </c>
      <c r="F8" s="138">
        <f t="shared" si="2"/>
        <v>888</v>
      </c>
      <c r="I8" s="141" t="s">
        <v>246</v>
      </c>
      <c r="J8" s="143">
        <v>4.59</v>
      </c>
      <c r="K8" s="143">
        <v>5.18</v>
      </c>
    </row>
    <row r="9" spans="1:11" ht="15.75">
      <c r="A9" s="140">
        <v>38869</v>
      </c>
      <c r="B9" s="139">
        <f t="shared" si="1"/>
        <v>888</v>
      </c>
      <c r="C9" s="137">
        <v>3258.04</v>
      </c>
      <c r="D9" s="62">
        <v>0.0414</v>
      </c>
      <c r="E9" s="138">
        <f>(B9*D9)/12</f>
        <v>3.0635999999999997</v>
      </c>
      <c r="F9" s="138">
        <f>SUM(B9:C9,E9)</f>
        <v>4149.1036</v>
      </c>
      <c r="I9" s="141" t="s">
        <v>245</v>
      </c>
      <c r="J9" s="143">
        <v>5.14</v>
      </c>
      <c r="K9" s="143">
        <v>5.18</v>
      </c>
    </row>
    <row r="10" spans="1:11" ht="15.75">
      <c r="A10" s="140">
        <v>38899</v>
      </c>
      <c r="B10" s="139">
        <f>F9</f>
        <v>4149.1036</v>
      </c>
      <c r="C10" s="137">
        <v>3489.49</v>
      </c>
      <c r="D10" s="62">
        <v>0.0459</v>
      </c>
      <c r="E10" s="138">
        <f>(B10*D10)/12</f>
        <v>15.870321270000003</v>
      </c>
      <c r="F10" s="138">
        <f t="shared" si="2"/>
        <v>7654.46392127</v>
      </c>
      <c r="I10" s="141" t="s">
        <v>244</v>
      </c>
      <c r="J10" s="143">
        <v>5.14</v>
      </c>
      <c r="K10" s="143">
        <v>5.18</v>
      </c>
    </row>
    <row r="11" spans="1:11" ht="15.75">
      <c r="A11" s="140">
        <v>38930</v>
      </c>
      <c r="B11" s="139">
        <f t="shared" si="1"/>
        <v>7654.46392127</v>
      </c>
      <c r="C11" s="137">
        <v>3822.85</v>
      </c>
      <c r="D11" s="62">
        <v>0.0459</v>
      </c>
      <c r="E11" s="138">
        <f t="shared" si="0"/>
        <v>29.278324498857753</v>
      </c>
      <c r="F11" s="138">
        <f t="shared" si="2"/>
        <v>11506.59224576886</v>
      </c>
      <c r="I11" s="141" t="s">
        <v>243</v>
      </c>
      <c r="J11" s="143">
        <v>4.08</v>
      </c>
      <c r="K11" s="143">
        <v>5.18</v>
      </c>
    </row>
    <row r="12" spans="1:11" ht="15.75">
      <c r="A12" s="140">
        <v>38961</v>
      </c>
      <c r="B12" s="139">
        <f t="shared" si="1"/>
        <v>11506.59224576886</v>
      </c>
      <c r="C12" s="137">
        <v>3957.82</v>
      </c>
      <c r="D12" s="62">
        <v>0.0459</v>
      </c>
      <c r="E12" s="138">
        <f t="shared" si="0"/>
        <v>44.01271534006589</v>
      </c>
      <c r="F12" s="138">
        <f t="shared" si="2"/>
        <v>15508.424961108925</v>
      </c>
      <c r="I12" s="141" t="s">
        <v>242</v>
      </c>
      <c r="J12" s="143">
        <v>3.35</v>
      </c>
      <c r="K12" s="143">
        <v>5.43</v>
      </c>
    </row>
    <row r="13" spans="1:11" ht="15.75">
      <c r="A13" s="140">
        <v>38991</v>
      </c>
      <c r="B13" s="139">
        <f t="shared" si="1"/>
        <v>15508.424961108925</v>
      </c>
      <c r="C13" s="137">
        <v>3853.45</v>
      </c>
      <c r="D13" s="62">
        <v>0.0459</v>
      </c>
      <c r="E13" s="138">
        <f t="shared" si="0"/>
        <v>59.31972547624164</v>
      </c>
      <c r="F13" s="138">
        <f t="shared" si="2"/>
        <v>19421.194686585168</v>
      </c>
      <c r="I13" s="141" t="s">
        <v>241</v>
      </c>
      <c r="J13" s="143">
        <v>3.35</v>
      </c>
      <c r="K13" s="143">
        <v>5.43</v>
      </c>
    </row>
    <row r="14" spans="1:11" ht="15.75">
      <c r="A14" s="140">
        <v>39022</v>
      </c>
      <c r="B14" s="139">
        <f t="shared" si="1"/>
        <v>19421.194686585168</v>
      </c>
      <c r="C14" s="137">
        <v>3804.95</v>
      </c>
      <c r="D14" s="62">
        <v>0.0459</v>
      </c>
      <c r="E14" s="138">
        <f t="shared" si="0"/>
        <v>74.28606967618828</v>
      </c>
      <c r="F14" s="138">
        <f t="shared" si="2"/>
        <v>23300.430756261358</v>
      </c>
      <c r="I14" s="141" t="s">
        <v>257</v>
      </c>
      <c r="J14" s="146">
        <v>2.45</v>
      </c>
      <c r="K14" s="146">
        <v>6.61</v>
      </c>
    </row>
    <row r="15" spans="1:11" ht="15.75">
      <c r="A15" s="140">
        <v>39052</v>
      </c>
      <c r="B15" s="139">
        <f>F14</f>
        <v>23300.430756261358</v>
      </c>
      <c r="C15" s="137">
        <v>3741.32</v>
      </c>
      <c r="D15" s="62">
        <v>0.0459</v>
      </c>
      <c r="E15" s="138">
        <f t="shared" si="0"/>
        <v>89.1241476426997</v>
      </c>
      <c r="F15" s="138">
        <f t="shared" si="2"/>
        <v>27130.874903904056</v>
      </c>
      <c r="I15" s="141" t="s">
        <v>258</v>
      </c>
      <c r="J15" s="146">
        <v>1</v>
      </c>
      <c r="K15" s="146">
        <v>6.61</v>
      </c>
    </row>
    <row r="16" spans="1:11" ht="15.75">
      <c r="A16" s="140">
        <v>39083</v>
      </c>
      <c r="B16" s="139">
        <f t="shared" si="1"/>
        <v>27130.874903904056</v>
      </c>
      <c r="C16" s="137">
        <v>3706.89</v>
      </c>
      <c r="D16" s="62">
        <v>0.0459</v>
      </c>
      <c r="E16" s="138">
        <f t="shared" si="0"/>
        <v>103.77559650743302</v>
      </c>
      <c r="F16" s="138">
        <f t="shared" si="2"/>
        <v>30941.540500411487</v>
      </c>
      <c r="I16" s="141" t="s">
        <v>259</v>
      </c>
      <c r="J16" s="146">
        <v>0.55</v>
      </c>
      <c r="K16" s="146">
        <v>5.67</v>
      </c>
    </row>
    <row r="17" spans="1:6" ht="15">
      <c r="A17" s="140">
        <v>39114</v>
      </c>
      <c r="B17" s="139">
        <f t="shared" si="1"/>
        <v>30941.540500411487</v>
      </c>
      <c r="C17" s="137">
        <v>4080.28</v>
      </c>
      <c r="D17" s="62">
        <v>0.0459</v>
      </c>
      <c r="E17" s="138">
        <f t="shared" si="0"/>
        <v>118.35139241407394</v>
      </c>
      <c r="F17" s="138">
        <f t="shared" si="2"/>
        <v>35140.17189282556</v>
      </c>
    </row>
    <row r="18" spans="1:6" ht="15">
      <c r="A18" s="140">
        <v>39142</v>
      </c>
      <c r="B18" s="139">
        <f>F17</f>
        <v>35140.17189282556</v>
      </c>
      <c r="C18" s="137">
        <v>3525.17</v>
      </c>
      <c r="D18" s="62">
        <v>0.0459</v>
      </c>
      <c r="E18" s="138">
        <f t="shared" si="0"/>
        <v>134.41115749005778</v>
      </c>
      <c r="F18" s="138">
        <f>SUM(B18:C18,E18)</f>
        <v>38799.753050315616</v>
      </c>
    </row>
    <row r="19" spans="1:10" ht="15">
      <c r="A19" s="140">
        <v>39173</v>
      </c>
      <c r="B19" s="139">
        <f t="shared" si="1"/>
        <v>38799.753050315616</v>
      </c>
      <c r="C19" s="137">
        <v>3934.38</v>
      </c>
      <c r="D19" s="62">
        <v>0.0459</v>
      </c>
      <c r="E19" s="138">
        <f t="shared" si="0"/>
        <v>148.40905541745724</v>
      </c>
      <c r="F19" s="138">
        <f t="shared" si="2"/>
        <v>42882.54210573307</v>
      </c>
      <c r="J19" s="60" t="s">
        <v>240</v>
      </c>
    </row>
    <row r="20" spans="1:6" ht="15">
      <c r="A20" s="140">
        <v>39203</v>
      </c>
      <c r="B20" s="139">
        <f t="shared" si="1"/>
        <v>42882.54210573307</v>
      </c>
      <c r="C20" s="137">
        <f>2936.86+900.54</f>
        <v>3837.4</v>
      </c>
      <c r="D20" s="62">
        <v>0.0459</v>
      </c>
      <c r="E20" s="138">
        <f t="shared" si="0"/>
        <v>164.025723554429</v>
      </c>
      <c r="F20" s="138">
        <f t="shared" si="2"/>
        <v>46883.967829287496</v>
      </c>
    </row>
    <row r="21" spans="1:6" ht="15">
      <c r="A21" s="140">
        <v>39234</v>
      </c>
      <c r="B21" s="139">
        <f t="shared" si="1"/>
        <v>46883.967829287496</v>
      </c>
      <c r="C21" s="137">
        <f>3151.86+703.45</f>
        <v>3855.3100000000004</v>
      </c>
      <c r="D21" s="62">
        <v>0.0459</v>
      </c>
      <c r="E21" s="138">
        <f t="shared" si="0"/>
        <v>179.3311769470247</v>
      </c>
      <c r="F21" s="138">
        <f t="shared" si="2"/>
        <v>50918.60900623452</v>
      </c>
    </row>
    <row r="22" spans="1:6" ht="15">
      <c r="A22" s="140">
        <v>39264</v>
      </c>
      <c r="B22" s="139">
        <f t="shared" si="1"/>
        <v>50918.60900623452</v>
      </c>
      <c r="C22" s="137">
        <f>3881.32</f>
        <v>3881.32</v>
      </c>
      <c r="D22" s="62">
        <v>0.0459</v>
      </c>
      <c r="E22" s="138">
        <f t="shared" si="0"/>
        <v>194.76367944884703</v>
      </c>
      <c r="F22" s="138">
        <f t="shared" si="2"/>
        <v>54994.69268568337</v>
      </c>
    </row>
    <row r="23" spans="1:10" ht="15">
      <c r="A23" s="140">
        <v>39295</v>
      </c>
      <c r="B23" s="139">
        <f t="shared" si="1"/>
        <v>54994.69268568337</v>
      </c>
      <c r="C23" s="137">
        <v>3747.55</v>
      </c>
      <c r="D23" s="62">
        <v>0.0459</v>
      </c>
      <c r="E23" s="138">
        <f t="shared" si="0"/>
        <v>210.35469952273888</v>
      </c>
      <c r="F23" s="138">
        <f t="shared" si="2"/>
        <v>58952.59738520611</v>
      </c>
      <c r="J23" s="60" t="s">
        <v>240</v>
      </c>
    </row>
    <row r="24" spans="1:6" ht="15">
      <c r="A24" s="140">
        <v>39326</v>
      </c>
      <c r="B24" s="139">
        <f t="shared" si="1"/>
        <v>58952.59738520611</v>
      </c>
      <c r="C24" s="137">
        <v>3955.19</v>
      </c>
      <c r="D24" s="62">
        <v>0.0459</v>
      </c>
      <c r="E24" s="138">
        <f t="shared" si="0"/>
        <v>225.49368499841339</v>
      </c>
      <c r="F24" s="138">
        <f t="shared" si="2"/>
        <v>63133.281070204524</v>
      </c>
    </row>
    <row r="25" spans="1:6" ht="15">
      <c r="A25" s="140">
        <v>39356</v>
      </c>
      <c r="B25" s="139">
        <f t="shared" si="1"/>
        <v>63133.281070204524</v>
      </c>
      <c r="C25" s="137">
        <v>3820.7</v>
      </c>
      <c r="D25" s="62">
        <v>0.0514</v>
      </c>
      <c r="E25" s="138">
        <f t="shared" si="0"/>
        <v>270.42088725070937</v>
      </c>
      <c r="F25" s="138">
        <f t="shared" si="2"/>
        <v>67224.40195745524</v>
      </c>
    </row>
    <row r="26" spans="1:6" ht="15">
      <c r="A26" s="140">
        <v>39387</v>
      </c>
      <c r="B26" s="139">
        <f t="shared" si="1"/>
        <v>67224.40195745524</v>
      </c>
      <c r="C26" s="137">
        <v>3843.52</v>
      </c>
      <c r="D26" s="62">
        <v>0.0514</v>
      </c>
      <c r="E26" s="138">
        <f t="shared" si="0"/>
        <v>287.9445217177666</v>
      </c>
      <c r="F26" s="138">
        <f t="shared" si="2"/>
        <v>71355.86647917301</v>
      </c>
    </row>
    <row r="27" spans="1:8" ht="15">
      <c r="A27" s="140">
        <v>39417</v>
      </c>
      <c r="B27" s="139">
        <f t="shared" si="1"/>
        <v>71355.86647917301</v>
      </c>
      <c r="C27" s="137">
        <v>3849.73</v>
      </c>
      <c r="D27" s="62">
        <v>0.0514</v>
      </c>
      <c r="E27" s="138">
        <f t="shared" si="0"/>
        <v>305.6409614191244</v>
      </c>
      <c r="F27" s="138">
        <f t="shared" si="2"/>
        <v>75511.23744059213</v>
      </c>
      <c r="H27" s="148"/>
    </row>
    <row r="28" spans="1:6" ht="15">
      <c r="A28" s="140">
        <v>39448</v>
      </c>
      <c r="B28" s="139">
        <f t="shared" si="1"/>
        <v>75511.23744059213</v>
      </c>
      <c r="C28" s="137">
        <v>4635.02</v>
      </c>
      <c r="D28" s="62">
        <v>0.0408</v>
      </c>
      <c r="E28" s="138">
        <f aca="true" t="shared" si="3" ref="E28:E80">(B28*D28)/12</f>
        <v>256.73820729801326</v>
      </c>
      <c r="F28" s="138">
        <f aca="true" t="shared" si="4" ref="F28:F80">SUM(B28:C28,E28)</f>
        <v>80402.99564789014</v>
      </c>
    </row>
    <row r="29" spans="1:6" ht="15">
      <c r="A29" s="140">
        <v>39479</v>
      </c>
      <c r="B29" s="139">
        <f aca="true" t="shared" si="5" ref="B29:B80">F28</f>
        <v>80402.99564789014</v>
      </c>
      <c r="C29" s="137">
        <v>4138.1</v>
      </c>
      <c r="D29" s="62">
        <v>0.0408</v>
      </c>
      <c r="E29" s="138">
        <f t="shared" si="3"/>
        <v>273.3701852028265</v>
      </c>
      <c r="F29" s="138">
        <f t="shared" si="4"/>
        <v>84814.46583309298</v>
      </c>
    </row>
    <row r="30" spans="1:6" ht="15">
      <c r="A30" s="140">
        <v>39508</v>
      </c>
      <c r="B30" s="139">
        <f t="shared" si="5"/>
        <v>84814.46583309298</v>
      </c>
      <c r="C30" s="137">
        <v>3880.85</v>
      </c>
      <c r="D30" s="62">
        <v>0.0408</v>
      </c>
      <c r="E30" s="138">
        <f t="shared" si="3"/>
        <v>288.36918383251617</v>
      </c>
      <c r="F30" s="138">
        <f t="shared" si="4"/>
        <v>88983.6850169255</v>
      </c>
    </row>
    <row r="31" spans="1:10" ht="15">
      <c r="A31" s="140">
        <v>39539</v>
      </c>
      <c r="B31" s="139">
        <f t="shared" si="5"/>
        <v>88983.6850169255</v>
      </c>
      <c r="C31" s="137">
        <f>765.96+3033.32</f>
        <v>3799.28</v>
      </c>
      <c r="D31" s="62">
        <v>0.0335</v>
      </c>
      <c r="E31" s="138">
        <f t="shared" si="3"/>
        <v>248.41278733891704</v>
      </c>
      <c r="F31" s="138">
        <f t="shared" si="4"/>
        <v>93031.37780426443</v>
      </c>
      <c r="J31" s="60" t="s">
        <v>240</v>
      </c>
    </row>
    <row r="32" spans="1:6" ht="15">
      <c r="A32" s="140">
        <v>39569</v>
      </c>
      <c r="B32" s="139">
        <f t="shared" si="5"/>
        <v>93031.37780426443</v>
      </c>
      <c r="C32" s="137">
        <f>768.44+3082.26</f>
        <v>3850.7000000000003</v>
      </c>
      <c r="D32" s="62">
        <v>0.0335</v>
      </c>
      <c r="E32" s="138">
        <f t="shared" si="3"/>
        <v>259.7125963702382</v>
      </c>
      <c r="F32" s="138">
        <f t="shared" si="4"/>
        <v>97141.79040063467</v>
      </c>
    </row>
    <row r="33" spans="1:6" ht="15">
      <c r="A33" s="140">
        <v>39600</v>
      </c>
      <c r="B33" s="139">
        <f>F32</f>
        <v>97141.79040063467</v>
      </c>
      <c r="C33" s="137">
        <f>756.72+3246.58</f>
        <v>4003.3</v>
      </c>
      <c r="D33" s="62">
        <v>0.0335</v>
      </c>
      <c r="E33" s="138">
        <f>(B33*D33)/12</f>
        <v>271.1874982017718</v>
      </c>
      <c r="F33" s="138">
        <f t="shared" si="4"/>
        <v>101416.27789883644</v>
      </c>
    </row>
    <row r="34" spans="1:6" ht="15">
      <c r="A34" s="140">
        <v>39630</v>
      </c>
      <c r="B34" s="139">
        <f t="shared" si="5"/>
        <v>101416.27789883644</v>
      </c>
      <c r="C34" s="137">
        <f>761.13-239.19+3403.63</f>
        <v>3925.57</v>
      </c>
      <c r="D34" s="62">
        <v>0.0335</v>
      </c>
      <c r="E34" s="138">
        <f t="shared" si="3"/>
        <v>283.12044246758506</v>
      </c>
      <c r="F34" s="138">
        <f t="shared" si="4"/>
        <v>105624.96834130403</v>
      </c>
    </row>
    <row r="35" spans="1:10" ht="15">
      <c r="A35" s="140">
        <v>39661</v>
      </c>
      <c r="B35" s="139">
        <f t="shared" si="5"/>
        <v>105624.96834130403</v>
      </c>
      <c r="C35" s="137">
        <f>758.31+3136.12</f>
        <v>3894.43</v>
      </c>
      <c r="D35" s="62">
        <v>0.0335</v>
      </c>
      <c r="E35" s="138">
        <f t="shared" si="3"/>
        <v>294.86970328614046</v>
      </c>
      <c r="F35" s="138">
        <f t="shared" si="4"/>
        <v>109814.26804459016</v>
      </c>
      <c r="J35" s="60" t="s">
        <v>240</v>
      </c>
    </row>
    <row r="36" spans="1:6" ht="15">
      <c r="A36" s="140">
        <v>39692</v>
      </c>
      <c r="B36" s="139">
        <f t="shared" si="5"/>
        <v>109814.26804459016</v>
      </c>
      <c r="C36" s="137">
        <f>748.72+3217.18</f>
        <v>3965.8999999999996</v>
      </c>
      <c r="D36" s="62">
        <v>0.0335</v>
      </c>
      <c r="E36" s="138">
        <f t="shared" si="3"/>
        <v>306.56483162448086</v>
      </c>
      <c r="F36" s="138">
        <f t="shared" si="4"/>
        <v>114086.73287621464</v>
      </c>
    </row>
    <row r="37" spans="1:6" ht="15">
      <c r="A37" s="140">
        <v>39722</v>
      </c>
      <c r="B37" s="139">
        <f t="shared" si="5"/>
        <v>114086.73287621464</v>
      </c>
      <c r="C37" s="137">
        <f>747.62+3136.44</f>
        <v>3884.06</v>
      </c>
      <c r="D37" s="62">
        <v>0.0335</v>
      </c>
      <c r="E37" s="138">
        <f t="shared" si="3"/>
        <v>318.49212927943256</v>
      </c>
      <c r="F37" s="138">
        <f t="shared" si="4"/>
        <v>118289.28500549406</v>
      </c>
    </row>
    <row r="38" spans="1:6" ht="15">
      <c r="A38" s="140">
        <v>39753</v>
      </c>
      <c r="B38" s="139">
        <f t="shared" si="5"/>
        <v>118289.28500549406</v>
      </c>
      <c r="C38" s="137">
        <f>734.77+3371.9</f>
        <v>4106.67</v>
      </c>
      <c r="D38" s="62">
        <v>0.0335</v>
      </c>
      <c r="E38" s="138">
        <f t="shared" si="3"/>
        <v>330.22425397367095</v>
      </c>
      <c r="F38" s="138">
        <f t="shared" si="4"/>
        <v>122726.17925946774</v>
      </c>
    </row>
    <row r="39" spans="1:10" ht="15.75">
      <c r="A39" s="140">
        <v>39783</v>
      </c>
      <c r="B39" s="139">
        <f t="shared" si="5"/>
        <v>122726.17925946774</v>
      </c>
      <c r="C39" s="137">
        <f>734+3134.32</f>
        <v>3868.32</v>
      </c>
      <c r="D39" s="62">
        <v>0.0335</v>
      </c>
      <c r="E39" s="138">
        <f t="shared" si="3"/>
        <v>342.6105837660141</v>
      </c>
      <c r="F39" s="138">
        <f t="shared" si="4"/>
        <v>126937.10984323376</v>
      </c>
      <c r="G39" s="150"/>
      <c r="H39" s="148"/>
      <c r="J39" s="60" t="s">
        <v>240</v>
      </c>
    </row>
    <row r="40" spans="1:6" ht="15">
      <c r="A40" s="140">
        <v>39814</v>
      </c>
      <c r="B40" s="139">
        <f t="shared" si="5"/>
        <v>126937.10984323376</v>
      </c>
      <c r="C40" s="137">
        <f>730.76+3078.99</f>
        <v>3809.75</v>
      </c>
      <c r="D40" s="166">
        <v>0.0245</v>
      </c>
      <c r="E40" s="138">
        <f t="shared" si="3"/>
        <v>259.1632659299356</v>
      </c>
      <c r="F40" s="138">
        <f t="shared" si="4"/>
        <v>131006.0231091637</v>
      </c>
    </row>
    <row r="41" spans="1:6" ht="15">
      <c r="A41" s="140">
        <v>39845</v>
      </c>
      <c r="B41" s="139">
        <f t="shared" si="5"/>
        <v>131006.0231091637</v>
      </c>
      <c r="C41" s="137">
        <f>708.95+3470.7</f>
        <v>4179.65</v>
      </c>
      <c r="D41" s="166">
        <v>0.0245</v>
      </c>
      <c r="E41" s="138">
        <f t="shared" si="3"/>
        <v>267.47063051454256</v>
      </c>
      <c r="F41" s="138">
        <f t="shared" si="4"/>
        <v>135453.14373967826</v>
      </c>
    </row>
    <row r="42" spans="1:6" ht="15">
      <c r="A42" s="140">
        <v>39873</v>
      </c>
      <c r="B42" s="139">
        <f t="shared" si="5"/>
        <v>135453.14373967826</v>
      </c>
      <c r="C42" s="137">
        <f>720.25+3038.97</f>
        <v>3759.22</v>
      </c>
      <c r="D42" s="166">
        <v>0.0245</v>
      </c>
      <c r="E42" s="138">
        <f t="shared" si="3"/>
        <v>276.55016846850975</v>
      </c>
      <c r="F42" s="138">
        <f t="shared" si="4"/>
        <v>139488.91390814676</v>
      </c>
    </row>
    <row r="43" spans="1:10" ht="15">
      <c r="A43" s="140">
        <v>39904</v>
      </c>
      <c r="B43" s="139">
        <f t="shared" si="5"/>
        <v>139488.91390814676</v>
      </c>
      <c r="C43" s="137">
        <f>3229.48+710.93</f>
        <v>3940.41</v>
      </c>
      <c r="D43" s="166">
        <v>0.01</v>
      </c>
      <c r="E43" s="138">
        <f t="shared" si="3"/>
        <v>116.2407615901223</v>
      </c>
      <c r="F43" s="138">
        <f t="shared" si="4"/>
        <v>143545.5646697369</v>
      </c>
      <c r="J43" s="60" t="s">
        <v>240</v>
      </c>
    </row>
    <row r="44" spans="1:6" ht="15">
      <c r="A44" s="140">
        <v>39934</v>
      </c>
      <c r="B44" s="139">
        <f t="shared" si="5"/>
        <v>143545.5646697369</v>
      </c>
      <c r="C44" s="137">
        <f>2395.81+3726.4</f>
        <v>6122.21</v>
      </c>
      <c r="D44" s="166">
        <v>0.01</v>
      </c>
      <c r="E44" s="138">
        <f t="shared" si="3"/>
        <v>119.62130389144743</v>
      </c>
      <c r="F44" s="138">
        <f t="shared" si="4"/>
        <v>149787.39597362833</v>
      </c>
    </row>
    <row r="45" spans="1:6" ht="15">
      <c r="A45" s="140">
        <v>39965</v>
      </c>
      <c r="B45" s="139">
        <f t="shared" si="5"/>
        <v>149787.39597362833</v>
      </c>
      <c r="C45" s="137">
        <f>1907.25+9722.48</f>
        <v>11629.73</v>
      </c>
      <c r="D45" s="166">
        <v>0.01</v>
      </c>
      <c r="E45" s="138">
        <f t="shared" si="3"/>
        <v>124.8228299780236</v>
      </c>
      <c r="F45" s="138">
        <f t="shared" si="4"/>
        <v>161541.94880360636</v>
      </c>
    </row>
    <row r="46" spans="1:6" ht="15">
      <c r="A46" s="140">
        <v>39995</v>
      </c>
      <c r="B46" s="139">
        <f t="shared" si="5"/>
        <v>161541.94880360636</v>
      </c>
      <c r="C46" s="137">
        <f>1479.98+12710.05</f>
        <v>14190.029999999999</v>
      </c>
      <c r="D46" s="166">
        <v>0.0055</v>
      </c>
      <c r="E46" s="138">
        <f t="shared" si="3"/>
        <v>74.04005986831957</v>
      </c>
      <c r="F46" s="138">
        <f t="shared" si="4"/>
        <v>175806.0188634747</v>
      </c>
    </row>
    <row r="47" spans="1:10" ht="15">
      <c r="A47" s="140">
        <v>40026</v>
      </c>
      <c r="B47" s="139">
        <f t="shared" si="5"/>
        <v>175806.0188634747</v>
      </c>
      <c r="C47" s="137">
        <f>13355.22+1083.31</f>
        <v>14438.529999999999</v>
      </c>
      <c r="D47" s="166">
        <v>0.0055</v>
      </c>
      <c r="E47" s="138">
        <f t="shared" si="3"/>
        <v>80.57775864575923</v>
      </c>
      <c r="F47" s="138">
        <f t="shared" si="4"/>
        <v>190325.12662212044</v>
      </c>
      <c r="J47" s="60" t="s">
        <v>240</v>
      </c>
    </row>
    <row r="48" spans="1:6" ht="15">
      <c r="A48" s="140">
        <v>40057</v>
      </c>
      <c r="B48" s="139">
        <f t="shared" si="5"/>
        <v>190325.12662212044</v>
      </c>
      <c r="C48" s="137">
        <f>13623.67+612.81</f>
        <v>14236.48</v>
      </c>
      <c r="D48" s="166">
        <v>0.0055</v>
      </c>
      <c r="E48" s="138">
        <f t="shared" si="3"/>
        <v>87.2323497018052</v>
      </c>
      <c r="F48" s="138">
        <f t="shared" si="4"/>
        <v>204648.83897182226</v>
      </c>
    </row>
    <row r="49" spans="1:6" ht="15">
      <c r="A49" s="140">
        <v>40087</v>
      </c>
      <c r="B49" s="139">
        <f t="shared" si="5"/>
        <v>204648.83897182226</v>
      </c>
      <c r="C49" s="137">
        <f>13964.12</f>
        <v>13964.12</v>
      </c>
      <c r="D49" s="166">
        <v>0.0055</v>
      </c>
      <c r="E49" s="138">
        <f t="shared" si="3"/>
        <v>93.79738452875186</v>
      </c>
      <c r="F49" s="138">
        <f t="shared" si="4"/>
        <v>218706.75635635102</v>
      </c>
    </row>
    <row r="50" spans="1:6" ht="15">
      <c r="A50" s="140">
        <v>40118</v>
      </c>
      <c r="B50" s="139">
        <f t="shared" si="5"/>
        <v>218706.75635635102</v>
      </c>
      <c r="C50" s="153">
        <f aca="true" t="shared" si="6" ref="C50:C55">14645*1</f>
        <v>14645</v>
      </c>
      <c r="D50" s="166">
        <v>0.0055</v>
      </c>
      <c r="E50" s="138">
        <f>(B50*D50)/12</f>
        <v>100.24059666332755</v>
      </c>
      <c r="F50" s="138">
        <f t="shared" si="4"/>
        <v>233451.99695301434</v>
      </c>
    </row>
    <row r="51" spans="1:10" ht="15">
      <c r="A51" s="140">
        <v>40148</v>
      </c>
      <c r="B51" s="139">
        <f t="shared" si="5"/>
        <v>233451.99695301434</v>
      </c>
      <c r="C51" s="153">
        <f t="shared" si="6"/>
        <v>14645</v>
      </c>
      <c r="D51" s="166">
        <v>0.0055</v>
      </c>
      <c r="E51" s="138">
        <f t="shared" si="3"/>
        <v>106.99883193679824</v>
      </c>
      <c r="F51" s="138">
        <f t="shared" si="4"/>
        <v>248203.99578495114</v>
      </c>
      <c r="G51" s="165" t="s">
        <v>271</v>
      </c>
      <c r="H51" s="167"/>
      <c r="I51" s="167"/>
      <c r="J51" s="60" t="s">
        <v>240</v>
      </c>
    </row>
    <row r="52" spans="1:6" ht="15">
      <c r="A52" s="140">
        <v>40179</v>
      </c>
      <c r="B52" s="139">
        <f t="shared" si="5"/>
        <v>248203.99578495114</v>
      </c>
      <c r="C52" s="153">
        <f t="shared" si="6"/>
        <v>14645</v>
      </c>
      <c r="D52" s="166">
        <v>0.0055</v>
      </c>
      <c r="E52" s="138">
        <f t="shared" si="3"/>
        <v>113.76016473476926</v>
      </c>
      <c r="F52" s="138">
        <f t="shared" si="4"/>
        <v>262962.75594968593</v>
      </c>
    </row>
    <row r="53" spans="1:6" ht="15">
      <c r="A53" s="140">
        <v>40210</v>
      </c>
      <c r="B53" s="139">
        <f t="shared" si="5"/>
        <v>262962.75594968593</v>
      </c>
      <c r="C53" s="153">
        <f t="shared" si="6"/>
        <v>14645</v>
      </c>
      <c r="D53" s="166">
        <v>0.0055</v>
      </c>
      <c r="E53" s="138">
        <f t="shared" si="3"/>
        <v>120.52459647693938</v>
      </c>
      <c r="F53" s="138">
        <f t="shared" si="4"/>
        <v>277728.28054616286</v>
      </c>
    </row>
    <row r="54" spans="1:6" ht="15">
      <c r="A54" s="140">
        <v>40238</v>
      </c>
      <c r="B54" s="139">
        <f t="shared" si="5"/>
        <v>277728.28054616286</v>
      </c>
      <c r="C54" s="153">
        <f t="shared" si="6"/>
        <v>14645</v>
      </c>
      <c r="D54" s="166">
        <v>0.0055</v>
      </c>
      <c r="E54" s="138">
        <f t="shared" si="3"/>
        <v>127.29212858365797</v>
      </c>
      <c r="F54" s="138">
        <f t="shared" si="4"/>
        <v>292500.5726747465</v>
      </c>
    </row>
    <row r="55" spans="1:10" ht="15">
      <c r="A55" s="140">
        <v>40269</v>
      </c>
      <c r="B55" s="139">
        <f t="shared" si="5"/>
        <v>292500.5726747465</v>
      </c>
      <c r="C55" s="153">
        <f t="shared" si="6"/>
        <v>14645</v>
      </c>
      <c r="D55" s="166">
        <v>0.0055</v>
      </c>
      <c r="E55" s="138">
        <f t="shared" si="3"/>
        <v>134.06276247592547</v>
      </c>
      <c r="F55" s="138">
        <f t="shared" si="4"/>
        <v>307279.63543722243</v>
      </c>
      <c r="J55" s="60" t="s">
        <v>240</v>
      </c>
    </row>
    <row r="56" spans="1:6" ht="15">
      <c r="A56" s="140">
        <v>40299</v>
      </c>
      <c r="B56" s="139">
        <f t="shared" si="5"/>
        <v>307279.63543722243</v>
      </c>
      <c r="C56" s="137">
        <v>0</v>
      </c>
      <c r="D56" s="166">
        <v>0</v>
      </c>
      <c r="E56" s="138">
        <f t="shared" si="3"/>
        <v>0</v>
      </c>
      <c r="F56" s="138">
        <f t="shared" si="4"/>
        <v>307279.63543722243</v>
      </c>
    </row>
    <row r="57" spans="1:6" ht="15">
      <c r="A57" s="140">
        <v>40330</v>
      </c>
      <c r="B57" s="139">
        <f t="shared" si="5"/>
        <v>307279.63543722243</v>
      </c>
      <c r="C57" s="137">
        <v>0</v>
      </c>
      <c r="D57" s="166">
        <v>0</v>
      </c>
      <c r="E57" s="138">
        <f t="shared" si="3"/>
        <v>0</v>
      </c>
      <c r="F57" s="138">
        <f t="shared" si="4"/>
        <v>307279.63543722243</v>
      </c>
    </row>
    <row r="58" spans="1:6" ht="15">
      <c r="A58" s="140">
        <v>40360</v>
      </c>
      <c r="B58" s="139">
        <f t="shared" si="5"/>
        <v>307279.63543722243</v>
      </c>
      <c r="C58" s="137">
        <v>0</v>
      </c>
      <c r="D58" s="166">
        <v>0</v>
      </c>
      <c r="E58" s="138">
        <f t="shared" si="3"/>
        <v>0</v>
      </c>
      <c r="F58" s="138">
        <f t="shared" si="4"/>
        <v>307279.63543722243</v>
      </c>
    </row>
    <row r="59" spans="1:6" ht="15">
      <c r="A59" s="140">
        <v>40391</v>
      </c>
      <c r="B59" s="139">
        <f t="shared" si="5"/>
        <v>307279.63543722243</v>
      </c>
      <c r="C59" s="137">
        <v>0</v>
      </c>
      <c r="D59" s="166">
        <v>0</v>
      </c>
      <c r="E59" s="138">
        <f t="shared" si="3"/>
        <v>0</v>
      </c>
      <c r="F59" s="138">
        <f t="shared" si="4"/>
        <v>307279.63543722243</v>
      </c>
    </row>
    <row r="60" spans="1:6" ht="15">
      <c r="A60" s="140">
        <v>40422</v>
      </c>
      <c r="B60" s="139">
        <f t="shared" si="5"/>
        <v>307279.63543722243</v>
      </c>
      <c r="C60" s="137">
        <v>0</v>
      </c>
      <c r="D60" s="166">
        <v>0</v>
      </c>
      <c r="E60" s="138">
        <f t="shared" si="3"/>
        <v>0</v>
      </c>
      <c r="F60" s="138">
        <f t="shared" si="4"/>
        <v>307279.63543722243</v>
      </c>
    </row>
    <row r="61" spans="1:6" ht="15">
      <c r="A61" s="140">
        <v>40452</v>
      </c>
      <c r="B61" s="139">
        <f t="shared" si="5"/>
        <v>307279.63543722243</v>
      </c>
      <c r="C61" s="137">
        <v>0</v>
      </c>
      <c r="D61" s="166">
        <v>0</v>
      </c>
      <c r="E61" s="138">
        <f t="shared" si="3"/>
        <v>0</v>
      </c>
      <c r="F61" s="138">
        <f t="shared" si="4"/>
        <v>307279.63543722243</v>
      </c>
    </row>
    <row r="62" spans="1:6" ht="15">
      <c r="A62" s="140">
        <v>40483</v>
      </c>
      <c r="B62" s="139">
        <f t="shared" si="5"/>
        <v>307279.63543722243</v>
      </c>
      <c r="C62" s="137">
        <v>0</v>
      </c>
      <c r="D62" s="166">
        <v>0</v>
      </c>
      <c r="E62" s="138">
        <f t="shared" si="3"/>
        <v>0</v>
      </c>
      <c r="F62" s="138">
        <f t="shared" si="4"/>
        <v>307279.63543722243</v>
      </c>
    </row>
    <row r="63" spans="1:6" ht="15">
      <c r="A63" s="140">
        <v>40513</v>
      </c>
      <c r="B63" s="139">
        <f t="shared" si="5"/>
        <v>307279.63543722243</v>
      </c>
      <c r="C63" s="137">
        <v>0</v>
      </c>
      <c r="D63" s="166">
        <v>0</v>
      </c>
      <c r="E63" s="138">
        <f t="shared" si="3"/>
        <v>0</v>
      </c>
      <c r="F63" s="138">
        <f t="shared" si="4"/>
        <v>307279.63543722243</v>
      </c>
    </row>
    <row r="64" spans="1:6" ht="15">
      <c r="A64" s="140">
        <v>40544</v>
      </c>
      <c r="B64" s="139">
        <f t="shared" si="5"/>
        <v>307279.63543722243</v>
      </c>
      <c r="C64" s="137">
        <v>0</v>
      </c>
      <c r="D64" s="166">
        <v>0</v>
      </c>
      <c r="E64" s="138">
        <f t="shared" si="3"/>
        <v>0</v>
      </c>
      <c r="F64" s="138">
        <f t="shared" si="4"/>
        <v>307279.63543722243</v>
      </c>
    </row>
    <row r="65" spans="1:6" ht="15">
      <c r="A65" s="140">
        <v>40575</v>
      </c>
      <c r="B65" s="139">
        <f t="shared" si="5"/>
        <v>307279.63543722243</v>
      </c>
      <c r="C65" s="137">
        <v>0</v>
      </c>
      <c r="D65" s="166">
        <v>0</v>
      </c>
      <c r="E65" s="138">
        <f t="shared" si="3"/>
        <v>0</v>
      </c>
      <c r="F65" s="138">
        <f t="shared" si="4"/>
        <v>307279.63543722243</v>
      </c>
    </row>
    <row r="66" spans="1:6" ht="15">
      <c r="A66" s="140">
        <v>40603</v>
      </c>
      <c r="B66" s="139">
        <f t="shared" si="5"/>
        <v>307279.63543722243</v>
      </c>
      <c r="C66" s="137">
        <v>0</v>
      </c>
      <c r="D66" s="166">
        <v>0</v>
      </c>
      <c r="E66" s="138">
        <f t="shared" si="3"/>
        <v>0</v>
      </c>
      <c r="F66" s="138">
        <f t="shared" si="4"/>
        <v>307279.63543722243</v>
      </c>
    </row>
    <row r="67" spans="1:6" ht="15">
      <c r="A67" s="140">
        <v>40634</v>
      </c>
      <c r="B67" s="139">
        <f t="shared" si="5"/>
        <v>307279.63543722243</v>
      </c>
      <c r="C67" s="137">
        <v>0</v>
      </c>
      <c r="D67" s="166">
        <v>0</v>
      </c>
      <c r="E67" s="138">
        <f t="shared" si="3"/>
        <v>0</v>
      </c>
      <c r="F67" s="138">
        <f t="shared" si="4"/>
        <v>307279.63543722243</v>
      </c>
    </row>
    <row r="68" spans="1:6" ht="15">
      <c r="A68" s="140">
        <v>40664</v>
      </c>
      <c r="B68" s="139">
        <f t="shared" si="5"/>
        <v>307279.63543722243</v>
      </c>
      <c r="C68" s="137">
        <v>0</v>
      </c>
      <c r="D68" s="166">
        <v>0</v>
      </c>
      <c r="E68" s="138">
        <f t="shared" si="3"/>
        <v>0</v>
      </c>
      <c r="F68" s="138">
        <f>SUM(B68:C68,E68)</f>
        <v>307279.63543722243</v>
      </c>
    </row>
    <row r="69" spans="1:6" ht="15">
      <c r="A69" s="140">
        <v>40695</v>
      </c>
      <c r="B69" s="139">
        <f t="shared" si="5"/>
        <v>307279.63543722243</v>
      </c>
      <c r="C69" s="137">
        <v>0</v>
      </c>
      <c r="D69" s="166">
        <v>0</v>
      </c>
      <c r="E69" s="138">
        <f t="shared" si="3"/>
        <v>0</v>
      </c>
      <c r="F69" s="138">
        <f t="shared" si="4"/>
        <v>307279.63543722243</v>
      </c>
    </row>
    <row r="70" spans="1:6" ht="15">
      <c r="A70" s="140">
        <v>40725</v>
      </c>
      <c r="B70" s="139">
        <f t="shared" si="5"/>
        <v>307279.63543722243</v>
      </c>
      <c r="C70" s="137">
        <v>0</v>
      </c>
      <c r="D70" s="166">
        <v>0</v>
      </c>
      <c r="E70" s="138">
        <f t="shared" si="3"/>
        <v>0</v>
      </c>
      <c r="F70" s="138">
        <f t="shared" si="4"/>
        <v>307279.63543722243</v>
      </c>
    </row>
    <row r="71" spans="1:6" ht="15">
      <c r="A71" s="140">
        <v>40756</v>
      </c>
      <c r="B71" s="139">
        <f t="shared" si="5"/>
        <v>307279.63543722243</v>
      </c>
      <c r="C71" s="137">
        <v>0</v>
      </c>
      <c r="D71" s="166">
        <v>0</v>
      </c>
      <c r="E71" s="138">
        <f t="shared" si="3"/>
        <v>0</v>
      </c>
      <c r="F71" s="138">
        <f t="shared" si="4"/>
        <v>307279.63543722243</v>
      </c>
    </row>
    <row r="72" spans="1:6" ht="15">
      <c r="A72" s="140">
        <v>40787</v>
      </c>
      <c r="B72" s="139">
        <f t="shared" si="5"/>
        <v>307279.63543722243</v>
      </c>
      <c r="C72" s="137">
        <v>0</v>
      </c>
      <c r="D72" s="166">
        <v>0</v>
      </c>
      <c r="E72" s="138">
        <f t="shared" si="3"/>
        <v>0</v>
      </c>
      <c r="F72" s="138">
        <f t="shared" si="4"/>
        <v>307279.63543722243</v>
      </c>
    </row>
    <row r="73" spans="1:6" ht="15">
      <c r="A73" s="140">
        <v>40817</v>
      </c>
      <c r="B73" s="139">
        <f t="shared" si="5"/>
        <v>307279.63543722243</v>
      </c>
      <c r="C73" s="137">
        <v>0</v>
      </c>
      <c r="D73" s="166">
        <v>0</v>
      </c>
      <c r="E73" s="138">
        <f t="shared" si="3"/>
        <v>0</v>
      </c>
      <c r="F73" s="138">
        <f t="shared" si="4"/>
        <v>307279.63543722243</v>
      </c>
    </row>
    <row r="74" spans="1:6" ht="15">
      <c r="A74" s="140">
        <v>40848</v>
      </c>
      <c r="B74" s="139">
        <f t="shared" si="5"/>
        <v>307279.63543722243</v>
      </c>
      <c r="C74" s="137">
        <v>0</v>
      </c>
      <c r="D74" s="166">
        <v>0</v>
      </c>
      <c r="E74" s="138">
        <f t="shared" si="3"/>
        <v>0</v>
      </c>
      <c r="F74" s="138">
        <f t="shared" si="4"/>
        <v>307279.63543722243</v>
      </c>
    </row>
    <row r="75" spans="1:6" ht="15">
      <c r="A75" s="140">
        <v>40878</v>
      </c>
      <c r="B75" s="139">
        <f t="shared" si="5"/>
        <v>307279.63543722243</v>
      </c>
      <c r="C75" s="137">
        <v>0</v>
      </c>
      <c r="D75" s="166">
        <v>0</v>
      </c>
      <c r="E75" s="138">
        <f t="shared" si="3"/>
        <v>0</v>
      </c>
      <c r="F75" s="138">
        <f t="shared" si="4"/>
        <v>307279.63543722243</v>
      </c>
    </row>
    <row r="76" spans="1:6" ht="15">
      <c r="A76" s="140">
        <v>40909</v>
      </c>
      <c r="B76" s="139">
        <f t="shared" si="5"/>
        <v>307279.63543722243</v>
      </c>
      <c r="C76" s="137">
        <v>0</v>
      </c>
      <c r="D76" s="166">
        <v>0</v>
      </c>
      <c r="E76" s="138">
        <f t="shared" si="3"/>
        <v>0</v>
      </c>
      <c r="F76" s="138">
        <f t="shared" si="4"/>
        <v>307279.63543722243</v>
      </c>
    </row>
    <row r="77" spans="1:6" ht="15">
      <c r="A77" s="140">
        <v>40940</v>
      </c>
      <c r="B77" s="139">
        <f t="shared" si="5"/>
        <v>307279.63543722243</v>
      </c>
      <c r="C77" s="137">
        <v>0</v>
      </c>
      <c r="D77" s="166">
        <v>0</v>
      </c>
      <c r="E77" s="138">
        <f t="shared" si="3"/>
        <v>0</v>
      </c>
      <c r="F77" s="138">
        <f t="shared" si="4"/>
        <v>307279.63543722243</v>
      </c>
    </row>
    <row r="78" spans="1:6" ht="15">
      <c r="A78" s="140">
        <v>40969</v>
      </c>
      <c r="B78" s="139">
        <f t="shared" si="5"/>
        <v>307279.63543722243</v>
      </c>
      <c r="C78" s="137">
        <v>0</v>
      </c>
      <c r="D78" s="166">
        <v>0</v>
      </c>
      <c r="E78" s="138">
        <f t="shared" si="3"/>
        <v>0</v>
      </c>
      <c r="F78" s="138">
        <f t="shared" si="4"/>
        <v>307279.63543722243</v>
      </c>
    </row>
    <row r="79" spans="1:6" ht="15">
      <c r="A79" s="140">
        <v>41000</v>
      </c>
      <c r="B79" s="139">
        <f t="shared" si="5"/>
        <v>307279.63543722243</v>
      </c>
      <c r="C79" s="137">
        <v>0</v>
      </c>
      <c r="D79" s="166">
        <v>0</v>
      </c>
      <c r="E79" s="138">
        <f t="shared" si="3"/>
        <v>0</v>
      </c>
      <c r="F79" s="138">
        <f t="shared" si="4"/>
        <v>307279.63543722243</v>
      </c>
    </row>
    <row r="80" spans="1:6" ht="15">
      <c r="A80" s="140">
        <v>41030</v>
      </c>
      <c r="B80" s="139">
        <f t="shared" si="5"/>
        <v>307279.63543722243</v>
      </c>
      <c r="C80" s="137">
        <v>0</v>
      </c>
      <c r="D80" s="166">
        <v>0</v>
      </c>
      <c r="E80" s="138">
        <f t="shared" si="3"/>
        <v>0</v>
      </c>
      <c r="F80" s="138">
        <f t="shared" si="4"/>
        <v>307279.63543722243</v>
      </c>
    </row>
  </sheetData>
  <sheetProtection/>
  <mergeCells count="1">
    <mergeCell ref="A1:F1"/>
  </mergeCells>
  <printOptions/>
  <pageMargins left="0.7480314960629921" right="0.7480314960629921" top="0.984251968503937" bottom="0.984251968503937" header="0.5118110236220472" footer="0.5118110236220472"/>
  <pageSetup fitToHeight="1" fitToWidth="1" horizontalDpi="600" verticalDpi="600" orientation="portrait" scale="50" r:id="rId1"/>
  <headerFooter alignWithMargins="0">
    <oddHeader>&amp;R&amp;F&amp;A</oddHeader>
    <oddFooter>&amp;CThis model is the sole and direct responsibility of the user. The user is free to change the model in any way to suit individual needs. There is no guarantee that utilization of this model or its inherent calculations will be accepted by the OEB.&amp;R&amp;F&amp;A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S32" sqref="S30:U32"/>
    </sheetView>
  </sheetViews>
  <sheetFormatPr defaultColWidth="9.140625" defaultRowHeight="12.75"/>
  <cols>
    <col min="1" max="1" width="51.28125" style="0" customWidth="1"/>
    <col min="2" max="2" width="5.8515625" style="0" customWidth="1"/>
    <col min="3" max="3" width="13.8515625" style="0" customWidth="1"/>
    <col min="4" max="4" width="4.28125" style="0" customWidth="1"/>
    <col min="5" max="5" width="4.7109375" style="0" customWidth="1"/>
    <col min="6" max="6" width="12.421875" style="0" bestFit="1" customWidth="1"/>
    <col min="7" max="7" width="5.140625" style="0" customWidth="1"/>
    <col min="8" max="8" width="4.7109375" style="0" customWidth="1"/>
    <col min="9" max="9" width="12.7109375" style="0" bestFit="1" customWidth="1"/>
    <col min="10" max="10" width="3.8515625" style="0" customWidth="1"/>
    <col min="11" max="11" width="3.7109375" style="0" customWidth="1"/>
    <col min="12" max="12" width="12.421875" style="0" bestFit="1" customWidth="1"/>
    <col min="13" max="13" width="1.7109375" style="0" customWidth="1"/>
    <col min="14" max="14" width="2.8515625" style="0" customWidth="1"/>
    <col min="15" max="15" width="12.421875" style="0" bestFit="1" customWidth="1"/>
    <col min="16" max="16" width="5.28125" style="0" customWidth="1"/>
    <col min="17" max="17" width="4.28125" style="0" customWidth="1"/>
    <col min="18" max="18" width="12.421875" style="0" bestFit="1" customWidth="1"/>
    <col min="19" max="19" width="3.28125" style="0" customWidth="1"/>
    <col min="20" max="20" width="2.7109375" style="0" customWidth="1"/>
    <col min="21" max="21" width="12.421875" style="0" bestFit="1" customWidth="1"/>
  </cols>
  <sheetData>
    <row r="1" spans="1:8" s="3" customFormat="1" ht="21" customHeight="1">
      <c r="A1" s="26" t="s">
        <v>266</v>
      </c>
      <c r="B1" s="26"/>
      <c r="C1" s="26"/>
      <c r="D1" s="26"/>
      <c r="E1" s="26"/>
      <c r="F1" s="26"/>
      <c r="G1" s="1"/>
      <c r="H1" s="1"/>
    </row>
    <row r="2" spans="1:9" s="3" customFormat="1" ht="6" customHeight="1">
      <c r="A2" s="27"/>
      <c r="B2" s="27"/>
      <c r="C2" s="27"/>
      <c r="D2" s="27"/>
      <c r="E2" s="27"/>
      <c r="F2" s="27"/>
      <c r="G2" s="1"/>
      <c r="H2" s="1"/>
      <c r="I2" s="1"/>
    </row>
    <row r="3" ht="13.5" thickBot="1"/>
    <row r="4" spans="2:22" s="152" customFormat="1" ht="15">
      <c r="B4" s="198">
        <v>2006</v>
      </c>
      <c r="C4" s="199"/>
      <c r="D4" s="200"/>
      <c r="E4" s="198">
        <v>2007</v>
      </c>
      <c r="F4" s="199"/>
      <c r="G4" s="200"/>
      <c r="H4" s="198">
        <v>2008</v>
      </c>
      <c r="I4" s="199"/>
      <c r="J4" s="200"/>
      <c r="K4" s="198">
        <v>2009</v>
      </c>
      <c r="L4" s="199"/>
      <c r="M4" s="200"/>
      <c r="N4" s="198">
        <v>2010</v>
      </c>
      <c r="O4" s="199"/>
      <c r="P4" s="200"/>
      <c r="Q4" s="198">
        <v>2011</v>
      </c>
      <c r="R4" s="199"/>
      <c r="S4" s="200"/>
      <c r="T4" s="198" t="s">
        <v>212</v>
      </c>
      <c r="U4" s="199"/>
      <c r="V4" s="200"/>
    </row>
    <row r="5" spans="2:22" s="152" customFormat="1" ht="15.75" thickBot="1">
      <c r="B5" s="201" t="s">
        <v>210</v>
      </c>
      <c r="C5" s="202"/>
      <c r="D5" s="203"/>
      <c r="E5" s="201" t="s">
        <v>210</v>
      </c>
      <c r="F5" s="202"/>
      <c r="G5" s="203"/>
      <c r="H5" s="201" t="s">
        <v>209</v>
      </c>
      <c r="I5" s="202"/>
      <c r="J5" s="203"/>
      <c r="K5" s="201" t="s">
        <v>211</v>
      </c>
      <c r="L5" s="202"/>
      <c r="M5" s="203"/>
      <c r="N5" s="201" t="s">
        <v>211</v>
      </c>
      <c r="O5" s="202"/>
      <c r="P5" s="203"/>
      <c r="Q5" s="201" t="s">
        <v>211</v>
      </c>
      <c r="R5" s="202"/>
      <c r="S5" s="203"/>
      <c r="T5" s="201" t="s">
        <v>211</v>
      </c>
      <c r="U5" s="202"/>
      <c r="V5" s="203"/>
    </row>
    <row r="6" spans="3:21" ht="12.75">
      <c r="C6" s="151"/>
      <c r="D6" s="151"/>
      <c r="E6" s="151"/>
      <c r="F6" s="151"/>
      <c r="G6" s="151"/>
      <c r="H6" s="151"/>
      <c r="I6" s="151"/>
      <c r="J6" s="151"/>
      <c r="K6" s="151"/>
      <c r="L6" s="151"/>
      <c r="M6" s="151"/>
      <c r="N6" s="151"/>
      <c r="O6" s="151"/>
      <c r="P6" s="151"/>
      <c r="Q6" s="151"/>
      <c r="R6" s="151"/>
      <c r="S6" s="151"/>
      <c r="T6" s="151"/>
      <c r="U6" s="151"/>
    </row>
    <row r="7" spans="1:22" s="154" customFormat="1" ht="12">
      <c r="A7" s="178" t="s">
        <v>272</v>
      </c>
      <c r="B7" s="169"/>
      <c r="C7" s="170">
        <f>'4. Smart Meter Rev Req'!E55</f>
        <v>0</v>
      </c>
      <c r="D7" s="170"/>
      <c r="E7" s="170"/>
      <c r="F7" s="170">
        <f>'4. Smart Meter Rev Req'!H55</f>
        <v>0</v>
      </c>
      <c r="G7" s="170"/>
      <c r="H7" s="170"/>
      <c r="I7" s="170">
        <f>'4. Smart Meter Rev Req'!K55</f>
        <v>0</v>
      </c>
      <c r="J7" s="170"/>
      <c r="K7" s="170"/>
      <c r="L7" s="170">
        <f>'4. Smart Meter Rev Req'!N55</f>
        <v>199854.21998482227</v>
      </c>
      <c r="M7" s="170"/>
      <c r="N7" s="170"/>
      <c r="O7" s="170">
        <f>'4. Smart Meter Rev Req'!Q55</f>
        <v>394157.031441349</v>
      </c>
      <c r="P7" s="170"/>
      <c r="Q7" s="170"/>
      <c r="R7" s="170">
        <f>'4. Smart Meter Rev Req'!T55</f>
        <v>471851.87426368357</v>
      </c>
      <c r="S7" s="170"/>
      <c r="T7" s="170"/>
      <c r="U7" s="170">
        <f>'4. Smart Meter Rev Req'!W55</f>
        <v>590937.9666499321</v>
      </c>
      <c r="V7" s="169"/>
    </row>
    <row r="8" spans="3:21" s="168" customFormat="1" ht="12">
      <c r="C8" s="171"/>
      <c r="D8" s="171"/>
      <c r="E8" s="171"/>
      <c r="F8" s="171"/>
      <c r="G8" s="171"/>
      <c r="H8" s="171"/>
      <c r="I8" s="171"/>
      <c r="J8" s="171"/>
      <c r="K8" s="171"/>
      <c r="L8" s="171"/>
      <c r="M8" s="171"/>
      <c r="N8" s="171"/>
      <c r="O8" s="171"/>
      <c r="P8" s="171"/>
      <c r="Q8" s="171"/>
      <c r="R8" s="171"/>
      <c r="S8" s="171"/>
      <c r="T8" s="171"/>
      <c r="U8" s="171"/>
    </row>
    <row r="9" spans="3:21" s="168" customFormat="1" ht="12">
      <c r="C9" s="171"/>
      <c r="D9" s="171"/>
      <c r="E9" s="171"/>
      <c r="F9" s="171"/>
      <c r="G9" s="171"/>
      <c r="H9" s="171"/>
      <c r="I9" s="171"/>
      <c r="J9" s="171"/>
      <c r="K9" s="171"/>
      <c r="L9" s="171"/>
      <c r="M9" s="171"/>
      <c r="N9" s="171"/>
      <c r="O9" s="171"/>
      <c r="P9" s="171"/>
      <c r="Q9" s="171"/>
      <c r="R9" s="171"/>
      <c r="S9" s="171"/>
      <c r="T9" s="171"/>
      <c r="U9" s="171"/>
    </row>
    <row r="10" spans="1:21" s="168" customFormat="1" ht="12">
      <c r="A10" s="168" t="s">
        <v>270</v>
      </c>
      <c r="C10" s="171">
        <f>-SUM('7. Funding Adder Collected'!C8:C19)</f>
        <v>-42062.63999999999</v>
      </c>
      <c r="D10" s="171"/>
      <c r="E10" s="171"/>
      <c r="F10" s="171">
        <f>-SUM('7. Funding Adder Collected'!C20:C31)</f>
        <v>-47243.97</v>
      </c>
      <c r="G10" s="171"/>
      <c r="H10" s="171"/>
      <c r="I10" s="171">
        <f>-SUM('7. Funding Adder Collected'!C32:C43)</f>
        <v>-47187.98000000001</v>
      </c>
      <c r="J10" s="171"/>
      <c r="K10" s="171"/>
      <c r="L10" s="171">
        <f>-SUM('7. Funding Adder Collected'!C44:C55)</f>
        <v>-162451.09999999998</v>
      </c>
      <c r="M10" s="171"/>
      <c r="N10" s="171"/>
      <c r="O10" s="171"/>
      <c r="P10" s="171"/>
      <c r="Q10" s="171"/>
      <c r="R10" s="171"/>
      <c r="S10" s="171"/>
      <c r="T10" s="171"/>
      <c r="U10" s="171"/>
    </row>
    <row r="11" spans="1:21" s="168" customFormat="1" ht="12">
      <c r="A11" s="168" t="s">
        <v>127</v>
      </c>
      <c r="C11" s="171">
        <f>-SUM('7. Funding Adder Collected'!E8:E19)</f>
        <v>-819.9021057330752</v>
      </c>
      <c r="D11" s="171"/>
      <c r="E11" s="171"/>
      <c r="F11" s="171">
        <f>-SUM('7. Funding Adder Collected'!E20:E31)</f>
        <v>-2904.8656985313264</v>
      </c>
      <c r="G11" s="171"/>
      <c r="H11" s="171"/>
      <c r="I11" s="171">
        <f>-SUM('7. Funding Adder Collected'!E32:E43)</f>
        <v>-3326.206865472444</v>
      </c>
      <c r="J11" s="171"/>
      <c r="K11" s="171"/>
      <c r="L11" s="171">
        <f>-SUM('7. Funding Adder Collected'!E44:E55)</f>
        <v>-1282.9707674855247</v>
      </c>
      <c r="M11" s="171"/>
      <c r="N11" s="171"/>
      <c r="O11" s="171"/>
      <c r="P11" s="171"/>
      <c r="Q11" s="171"/>
      <c r="R11" s="171"/>
      <c r="S11" s="171"/>
      <c r="T11" s="171"/>
      <c r="U11" s="171"/>
    </row>
    <row r="12" spans="1:22" s="154" customFormat="1" ht="12">
      <c r="A12" s="172" t="s">
        <v>273</v>
      </c>
      <c r="B12" s="169"/>
      <c r="C12" s="170">
        <f>SUM(C10:C11)</f>
        <v>-42882.54210573307</v>
      </c>
      <c r="D12" s="170"/>
      <c r="E12" s="170"/>
      <c r="F12" s="170">
        <f>SUM(F10:F11)</f>
        <v>-50148.83569853133</v>
      </c>
      <c r="G12" s="170"/>
      <c r="H12" s="170"/>
      <c r="I12" s="170">
        <f>SUM(I10:I11)</f>
        <v>-50514.18686547245</v>
      </c>
      <c r="J12" s="170"/>
      <c r="K12" s="170"/>
      <c r="L12" s="170">
        <f>SUM(L10:L11)</f>
        <v>-163734.0707674855</v>
      </c>
      <c r="M12" s="170"/>
      <c r="N12" s="170"/>
      <c r="O12" s="170">
        <f>SUM(O10:O11)</f>
        <v>0</v>
      </c>
      <c r="P12" s="170"/>
      <c r="Q12" s="170"/>
      <c r="R12" s="170"/>
      <c r="S12" s="170"/>
      <c r="T12" s="170"/>
      <c r="U12" s="170"/>
      <c r="V12" s="169"/>
    </row>
    <row r="13" spans="3:21" s="168" customFormat="1" ht="12">
      <c r="C13" s="171"/>
      <c r="D13" s="171"/>
      <c r="E13" s="171"/>
      <c r="F13" s="171"/>
      <c r="G13" s="171"/>
      <c r="H13" s="171"/>
      <c r="I13" s="171"/>
      <c r="J13" s="171"/>
      <c r="K13" s="171"/>
      <c r="L13" s="171"/>
      <c r="M13" s="171"/>
      <c r="N13" s="171"/>
      <c r="O13" s="171"/>
      <c r="P13" s="171"/>
      <c r="Q13" s="171"/>
      <c r="R13" s="171"/>
      <c r="S13" s="171"/>
      <c r="T13" s="171"/>
      <c r="U13" s="171"/>
    </row>
    <row r="14" spans="1:22" s="154" customFormat="1" ht="12">
      <c r="A14" s="172" t="s">
        <v>274</v>
      </c>
      <c r="B14" s="169"/>
      <c r="C14" s="170">
        <f>C7+C12</f>
        <v>-42882.54210573307</v>
      </c>
      <c r="D14" s="170"/>
      <c r="E14" s="170"/>
      <c r="F14" s="170">
        <f>F7+F12</f>
        <v>-50148.83569853133</v>
      </c>
      <c r="G14" s="170"/>
      <c r="H14" s="170"/>
      <c r="I14" s="170">
        <f>I7+I12</f>
        <v>-50514.18686547245</v>
      </c>
      <c r="J14" s="170"/>
      <c r="K14" s="170"/>
      <c r="L14" s="170">
        <f>L7+L12</f>
        <v>36120.14921733676</v>
      </c>
      <c r="M14" s="170"/>
      <c r="N14" s="170"/>
      <c r="O14" s="170">
        <f>O7+O12</f>
        <v>394157.031441349</v>
      </c>
      <c r="P14" s="170"/>
      <c r="Q14" s="170"/>
      <c r="R14" s="170"/>
      <c r="S14" s="170"/>
      <c r="T14" s="170"/>
      <c r="U14" s="170"/>
      <c r="V14" s="169"/>
    </row>
    <row r="15" spans="3:21" s="168" customFormat="1" ht="12">
      <c r="C15" s="171"/>
      <c r="D15" s="171"/>
      <c r="E15" s="171"/>
      <c r="F15" s="171"/>
      <c r="G15" s="171"/>
      <c r="H15" s="171"/>
      <c r="I15" s="171"/>
      <c r="J15" s="171"/>
      <c r="K15" s="171"/>
      <c r="L15" s="171"/>
      <c r="M15" s="171"/>
      <c r="N15" s="171"/>
      <c r="O15" s="171"/>
      <c r="P15" s="171"/>
      <c r="Q15" s="171"/>
      <c r="R15" s="171"/>
      <c r="S15" s="171"/>
      <c r="T15" s="171"/>
      <c r="U15" s="171"/>
    </row>
    <row r="16" spans="1:22" s="154" customFormat="1" ht="12">
      <c r="A16" s="169" t="s">
        <v>275</v>
      </c>
      <c r="B16" s="169"/>
      <c r="C16" s="170">
        <f>C14</f>
        <v>-42882.54210573307</v>
      </c>
      <c r="D16" s="170"/>
      <c r="E16" s="170"/>
      <c r="F16" s="170">
        <f>F14+C16</f>
        <v>-93031.3778042644</v>
      </c>
      <c r="G16" s="170"/>
      <c r="H16" s="170"/>
      <c r="I16" s="170">
        <f>I14+F16</f>
        <v>-143545.56466973684</v>
      </c>
      <c r="J16" s="170"/>
      <c r="K16" s="170"/>
      <c r="L16" s="170">
        <f>L14+I16</f>
        <v>-107425.41545240008</v>
      </c>
      <c r="M16" s="170"/>
      <c r="N16" s="170"/>
      <c r="O16" s="170">
        <f>O14+L16</f>
        <v>286731.61598894896</v>
      </c>
      <c r="P16" s="170"/>
      <c r="Q16" s="170"/>
      <c r="R16" s="170"/>
      <c r="S16" s="170"/>
      <c r="T16" s="170"/>
      <c r="U16" s="170"/>
      <c r="V16" s="169"/>
    </row>
    <row r="17" spans="3:21" s="168" customFormat="1" ht="12">
      <c r="C17" s="171"/>
      <c r="D17" s="171"/>
      <c r="E17" s="171"/>
      <c r="F17" s="171"/>
      <c r="G17" s="171"/>
      <c r="H17" s="171"/>
      <c r="I17" s="171"/>
      <c r="J17" s="171"/>
      <c r="K17" s="171"/>
      <c r="L17" s="171"/>
      <c r="M17" s="171"/>
      <c r="N17" s="171"/>
      <c r="O17" s="171"/>
      <c r="P17" s="171"/>
      <c r="Q17" s="171"/>
      <c r="R17" s="171"/>
      <c r="S17" s="171"/>
      <c r="T17" s="171"/>
      <c r="U17" s="171"/>
    </row>
    <row r="18" spans="3:21" s="168" customFormat="1" ht="12">
      <c r="C18" s="171"/>
      <c r="D18" s="171"/>
      <c r="E18" s="171"/>
      <c r="F18" s="171"/>
      <c r="G18" s="171"/>
      <c r="H18" s="171"/>
      <c r="I18" s="171"/>
      <c r="J18" s="171"/>
      <c r="K18" s="171"/>
      <c r="L18" s="171"/>
      <c r="M18" s="171"/>
      <c r="N18" s="171"/>
      <c r="O18" s="171"/>
      <c r="P18" s="171"/>
      <c r="Q18" s="171"/>
      <c r="R18" s="171"/>
      <c r="S18" s="171"/>
      <c r="T18" s="171"/>
      <c r="U18" s="171"/>
    </row>
    <row r="19" spans="1:21" s="168" customFormat="1" ht="12">
      <c r="A19" s="173" t="s">
        <v>267</v>
      </c>
      <c r="C19" s="174">
        <v>14645</v>
      </c>
      <c r="D19" s="171"/>
      <c r="E19" s="171"/>
      <c r="F19" s="171"/>
      <c r="G19" s="171"/>
      <c r="H19" s="171"/>
      <c r="I19" s="171"/>
      <c r="J19" s="171"/>
      <c r="K19" s="171"/>
      <c r="L19" s="171"/>
      <c r="M19" s="171"/>
      <c r="N19" s="171"/>
      <c r="O19" s="171"/>
      <c r="P19" s="171"/>
      <c r="Q19" s="171"/>
      <c r="R19" s="171"/>
      <c r="S19" s="171"/>
      <c r="T19" s="171"/>
      <c r="U19" s="171"/>
    </row>
    <row r="20" spans="3:21" s="168" customFormat="1" ht="12">
      <c r="C20" s="171"/>
      <c r="D20" s="171"/>
      <c r="E20" s="171"/>
      <c r="F20" s="171"/>
      <c r="G20" s="171"/>
      <c r="H20" s="171"/>
      <c r="I20" s="171"/>
      <c r="J20" s="171"/>
      <c r="K20" s="171"/>
      <c r="L20" s="171"/>
      <c r="M20" s="171"/>
      <c r="N20" s="171"/>
      <c r="O20" s="171"/>
      <c r="P20" s="171"/>
      <c r="Q20" s="171"/>
      <c r="R20" s="171"/>
      <c r="S20" s="171"/>
      <c r="T20" s="171"/>
      <c r="U20" s="171"/>
    </row>
    <row r="21" spans="1:5" s="168" customFormat="1" ht="12">
      <c r="A21" s="154" t="s">
        <v>276</v>
      </c>
      <c r="C21" s="171">
        <f>O16</f>
        <v>286731.61598894896</v>
      </c>
      <c r="D21" s="171"/>
      <c r="E21" s="171"/>
    </row>
    <row r="22" spans="1:5" s="168" customFormat="1" ht="12">
      <c r="A22" s="173" t="s">
        <v>277</v>
      </c>
      <c r="C22" s="171">
        <f>C21/C19</f>
        <v>19.578806144687537</v>
      </c>
      <c r="D22" s="171"/>
      <c r="E22" s="171"/>
    </row>
    <row r="23" spans="1:10" s="168" customFormat="1" ht="12.75" thickBot="1">
      <c r="A23" s="175" t="s">
        <v>278</v>
      </c>
      <c r="B23" s="176"/>
      <c r="C23" s="177"/>
      <c r="D23" s="177"/>
      <c r="E23" s="177"/>
      <c r="F23" s="179">
        <f>C22/12</f>
        <v>1.6315671787239614</v>
      </c>
      <c r="G23" s="154" t="s">
        <v>268</v>
      </c>
      <c r="H23" s="154"/>
      <c r="I23" s="154"/>
      <c r="J23" s="154"/>
    </row>
    <row r="24" spans="1:10" s="168" customFormat="1" ht="12.75" thickTop="1">
      <c r="A24" s="154"/>
      <c r="C24" s="171"/>
      <c r="D24" s="171"/>
      <c r="E24" s="171"/>
      <c r="F24" s="171"/>
      <c r="G24" s="154" t="s">
        <v>269</v>
      </c>
      <c r="H24" s="154"/>
      <c r="I24" s="154"/>
      <c r="J24" s="154"/>
    </row>
    <row r="25" s="168" customFormat="1" ht="12"/>
  </sheetData>
  <sheetProtection/>
  <mergeCells count="14">
    <mergeCell ref="T5:V5"/>
    <mergeCell ref="B5:D5"/>
    <mergeCell ref="E5:G5"/>
    <mergeCell ref="H5:J5"/>
    <mergeCell ref="K5:M5"/>
    <mergeCell ref="N5:P5"/>
    <mergeCell ref="Q5:S5"/>
    <mergeCell ref="Q4:S4"/>
    <mergeCell ref="T4:V4"/>
    <mergeCell ref="B4:D4"/>
    <mergeCell ref="E4:G4"/>
    <mergeCell ref="H4:J4"/>
    <mergeCell ref="K4:M4"/>
    <mergeCell ref="N4:P4"/>
  </mergeCells>
  <printOptions/>
  <pageMargins left="0.7086614173228347" right="0.7086614173228347" top="0.7480314960629921" bottom="0.7480314960629921" header="0.31496062992125984" footer="0.31496062992125984"/>
  <pageSetup fitToHeight="1" fitToWidth="1" horizontalDpi="600" verticalDpi="600" orientation="landscape" scale="61" r:id="rId1"/>
  <headerFooter>
    <oddHeader>&amp;R&amp;F&amp;A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jens</cp:lastModifiedBy>
  <cp:lastPrinted>2010-02-18T14:54:01Z</cp:lastPrinted>
  <dcterms:created xsi:type="dcterms:W3CDTF">2007-08-13T15:48:29Z</dcterms:created>
  <dcterms:modified xsi:type="dcterms:W3CDTF">2010-02-18T15:52:47Z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