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770" windowHeight="10020" tabRatio="589" firstSheet="27" activeTab="28"/>
  </bookViews>
  <sheets>
    <sheet name="Notes" sheetId="1" r:id="rId1"/>
    <sheet name="FA Continuity 2004" sheetId="2" r:id="rId2"/>
    <sheet name="FA Continuity 2005" sheetId="3" r:id="rId3"/>
    <sheet name="FA Continuity 2006" sheetId="4" r:id="rId4"/>
    <sheet name="FA Continuity 2007" sheetId="5" r:id="rId5"/>
    <sheet name="FA Continuity 2008" sheetId="6" r:id="rId6"/>
    <sheet name="FA Continuity 2009" sheetId="7" r:id="rId7"/>
    <sheet name="FA Continuity 2010" sheetId="8" r:id="rId8"/>
    <sheet name="Trial Balance" sheetId="9" r:id="rId9"/>
    <sheet name="2006 Balance Sheet" sheetId="10" r:id="rId10"/>
    <sheet name="2006 Income Statement" sheetId="11" r:id="rId11"/>
    <sheet name="2007 Balance Sheet" sheetId="12" r:id="rId12"/>
    <sheet name="2007 Income Statement" sheetId="13" r:id="rId13"/>
    <sheet name="2008 Balance Sheet" sheetId="14" r:id="rId14"/>
    <sheet name="2008 Income Statement" sheetId="15" r:id="rId15"/>
    <sheet name="2009 Balance Sheet" sheetId="16" r:id="rId16"/>
    <sheet name="2009 Income Statement" sheetId="17" r:id="rId17"/>
    <sheet name="2010 Balance Sheet" sheetId="18" r:id="rId18"/>
    <sheet name="2010 Income Statement" sheetId="19" r:id="rId19"/>
    <sheet name="Return on Capital" sheetId="20" r:id="rId20"/>
    <sheet name="Debt &amp; Capital Structure" sheetId="21" r:id="rId21"/>
    <sheet name="Tax rates" sheetId="22" r:id="rId22"/>
    <sheet name="CCA Continuity 2009" sheetId="23" r:id="rId23"/>
    <sheet name="CCA Continuity 2010" sheetId="24" r:id="rId24"/>
    <sheet name="Reserves Continuity" sheetId="25" r:id="rId25"/>
    <sheet name="Corporation Loss Continuity" sheetId="26" r:id="rId26"/>
    <sheet name="Tax Adjustments 2009" sheetId="27" r:id="rId27"/>
    <sheet name="Tax Adjustments 2010" sheetId="28" r:id="rId28"/>
    <sheet name="2010 Rev Deficiency" sheetId="29" r:id="rId29"/>
    <sheet name="Capital Tax &amp; Expense Schedules" sheetId="30" r:id="rId30"/>
    <sheet name="Revenue Requirement" sheetId="31" r:id="rId31"/>
  </sheets>
  <externalReferences>
    <externalReference r:id="rId34"/>
  </externalReferences>
  <definedNames>
    <definedName name="DaysInPreviousYear">'[1]Distribution Revenue by Source'!$B$22</definedName>
    <definedName name="DaysInYear">'[1]Distribution Revenue by Source'!$B$21</definedName>
    <definedName name="MofF">#REF!</definedName>
    <definedName name="_xlnm.Print_Area" localSheetId="9">'2006 Balance Sheet'!$A$1:$B$234</definedName>
    <definedName name="_xlnm.Print_Area" localSheetId="11">'2007 Balance Sheet'!$A$1:$B$234</definedName>
    <definedName name="_xlnm.Print_Area" localSheetId="13">'2008 Balance Sheet'!$A$1:$B$234</definedName>
    <definedName name="_xlnm.Print_Area" localSheetId="15">'2009 Balance Sheet'!$A$1:$B$235</definedName>
    <definedName name="_xlnm.Print_Area" localSheetId="17">'2010 Balance Sheet'!$A$1:$B$235</definedName>
    <definedName name="_xlnm.Print_Area" localSheetId="1">'FA Continuity 2004'!$A$1:$M$52</definedName>
    <definedName name="_xlnm.Print_Area" localSheetId="2">'FA Continuity 2005'!$A$1:$M$51</definedName>
    <definedName name="_xlnm.Print_Area" localSheetId="3">'FA Continuity 2006'!$A$1:$M$51</definedName>
    <definedName name="_xlnm.Print_Area" localSheetId="4">'FA Continuity 2007'!$A$1:$M$51</definedName>
    <definedName name="_xlnm.Print_Area" localSheetId="5">'FA Continuity 2008'!$A$1:$M$51</definedName>
    <definedName name="_xlnm.Print_Area" localSheetId="6">'FA Continuity 2009'!$A$1:$M$51</definedName>
    <definedName name="_xlnm.Print_Area" localSheetId="7">'FA Continuity 2010'!$A$1:$M$51</definedName>
    <definedName name="_xlnm.Print_Area" localSheetId="19">'Return on Capital'!$A$1:$AD$43</definedName>
    <definedName name="_xlnm.Print_Area" localSheetId="26">'Tax Adjustments 2009'!$A$1:$F$78</definedName>
    <definedName name="_xlnm.Print_Area" localSheetId="27">'Tax Adjustments 2010'!$B$1:$F$78</definedName>
    <definedName name="_xlnm.Print_Area" localSheetId="8">'Trial Balance'!$A$3:$L$406</definedName>
    <definedName name="_xlnm.Print_Titles" localSheetId="9">'2006 Balance Sheet'!$5:$5</definedName>
    <definedName name="_xlnm.Print_Titles" localSheetId="10">'2006 Income Statement'!$5:$5</definedName>
    <definedName name="_xlnm.Print_Titles" localSheetId="11">'2007 Balance Sheet'!$5:$5</definedName>
    <definedName name="_xlnm.Print_Titles" localSheetId="12">'2007 Income Statement'!$5:$5</definedName>
    <definedName name="_xlnm.Print_Titles" localSheetId="13">'2008 Balance Sheet'!$5:$5</definedName>
    <definedName name="_xlnm.Print_Titles" localSheetId="14">'2008 Income Statement'!$5:$5</definedName>
    <definedName name="_xlnm.Print_Titles" localSheetId="15">'2009 Balance Sheet'!$5:$5</definedName>
    <definedName name="_xlnm.Print_Titles" localSheetId="16">'2009 Income Statement'!$5:$5</definedName>
    <definedName name="_xlnm.Print_Titles" localSheetId="17">'2010 Balance Sheet'!$5:$5</definedName>
    <definedName name="_xlnm.Print_Titles" localSheetId="18">'2010 Income Statement'!$5:$5</definedName>
    <definedName name="_xlnm.Print_Titles" localSheetId="28">'2010 Rev Deficiency'!$5:$5</definedName>
    <definedName name="_xlnm.Print_Titles" localSheetId="26">'Tax Adjustments 2009'!$4:$4</definedName>
    <definedName name="_xlnm.Print_Titles" localSheetId="27">'Tax Adjustments 2010'!$4:$4</definedName>
    <definedName name="_xlnm.Print_Titles" localSheetId="8">'Trial Balance'!$4:$5</definedName>
    <definedName name="Ratebase">'[1]Distribution Revenue by Source'!$C$25</definedName>
    <definedName name="Surtax">#REF!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User</author>
  </authors>
  <commentList>
    <comment ref="A25" authorId="0">
      <text>
        <r>
          <rPr>
            <b/>
            <sz val="8"/>
            <rFont val="Tahoma"/>
            <family val="0"/>
          </rPr>
          <t>Part of CEC calculation</t>
        </r>
      </text>
    </comment>
  </commentList>
</comments>
</file>

<file path=xl/comments23.xml><?xml version="1.0" encoding="utf-8"?>
<comments xmlns="http://schemas.openxmlformats.org/spreadsheetml/2006/main">
  <authors>
    <author>User</author>
  </authors>
  <commentList>
    <comment ref="H5" authorId="0">
      <text>
        <r>
          <rPr>
            <sz val="8"/>
            <rFont val="Tahoma"/>
            <family val="2"/>
          </rPr>
          <t>See Continuity Schedule for CCA class to add to</t>
        </r>
      </text>
    </comment>
    <comment ref="H9" authorId="0">
      <text>
        <r>
          <rPr>
            <b/>
            <sz val="8"/>
            <rFont val="Tahoma"/>
            <family val="0"/>
          </rPr>
          <t>Fully allocated items are inputted here from the contuity schedule</t>
        </r>
      </text>
    </comment>
    <comment ref="H10" authorId="0">
      <text>
        <r>
          <rPr>
            <b/>
            <sz val="8"/>
            <rFont val="Tahoma"/>
            <family val="0"/>
          </rPr>
          <t>Fully allocated items are inputted here from the contuity schedule</t>
        </r>
      </text>
    </comment>
    <comment ref="E64" authorId="0">
      <text>
        <r>
          <rPr>
            <b/>
            <sz val="8"/>
            <rFont val="Tahoma"/>
            <family val="0"/>
          </rPr>
          <t>Input the CEC deduction rate</t>
        </r>
      </text>
    </comment>
  </commentList>
</comments>
</file>

<file path=xl/comments24.xml><?xml version="1.0" encoding="utf-8"?>
<comments xmlns="http://schemas.openxmlformats.org/spreadsheetml/2006/main">
  <authors>
    <author>User</author>
  </authors>
  <commentList>
    <comment ref="H5" authorId="0">
      <text>
        <r>
          <rPr>
            <sz val="8"/>
            <rFont val="Tahoma"/>
            <family val="2"/>
          </rPr>
          <t>See Continuity Schedule for CCA class to add to</t>
        </r>
      </text>
    </comment>
    <comment ref="H9" authorId="0">
      <text>
        <r>
          <rPr>
            <b/>
            <sz val="8"/>
            <rFont val="Tahoma"/>
            <family val="0"/>
          </rPr>
          <t>Fully allocated items are inputted here from the contuity schedule</t>
        </r>
      </text>
    </comment>
    <comment ref="H10" authorId="0">
      <text>
        <r>
          <rPr>
            <b/>
            <sz val="8"/>
            <rFont val="Tahoma"/>
            <family val="0"/>
          </rPr>
          <t>Fully allocated items are inputted here from the contuity schedule</t>
        </r>
      </text>
    </comment>
    <comment ref="E64" authorId="0">
      <text>
        <r>
          <rPr>
            <b/>
            <sz val="8"/>
            <rFont val="Tahoma"/>
            <family val="0"/>
          </rPr>
          <t>Input the CEC deduction rate</t>
        </r>
      </text>
    </comment>
  </commentList>
</comments>
</file>

<file path=xl/comments25.xml><?xml version="1.0" encoding="utf-8"?>
<comments xmlns="http://schemas.openxmlformats.org/spreadsheetml/2006/main">
  <authors>
    <author>BenumMa</author>
  </authors>
  <commentList>
    <comment ref="C13" authorId="0">
      <text>
        <r>
          <rPr>
            <b/>
            <sz val="8"/>
            <rFont val="Tahoma"/>
            <family val="0"/>
          </rPr>
          <t xml:space="preserve">Please Note that if this cell is red then total does not balance to cell C65
 from worksheet "2004 Adjusted Taxable Income"
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0"/>
          </rPr>
          <t>Please Note that if this cell is red then total does not balance to cell D65 from worksheet "2004 Adjusted Taxable Income"</t>
        </r>
      </text>
    </comment>
    <comment ref="E13" authorId="0">
      <text>
        <r>
          <rPr>
            <b/>
            <sz val="8"/>
            <rFont val="Tahoma"/>
            <family val="0"/>
          </rPr>
          <t>Please Note that if this cell is red then total does not balance to cell E65 from worksheet "2004 Adjusted Taxable Income"</t>
        </r>
        <r>
          <rPr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0"/>
          </rPr>
          <t>Please Note that if this cell is red then total does not balance to cell C32 from worksheet "2004 Adjusted Taxable Income"</t>
        </r>
      </text>
    </comment>
    <comment ref="D32" authorId="0">
      <text>
        <r>
          <rPr>
            <b/>
            <sz val="8"/>
            <rFont val="Tahoma"/>
            <family val="0"/>
          </rPr>
          <t>Please Note that if this cell is red then total does not balance to cell D32 from worksheet "2004 Adjusted Taxable Income"</t>
        </r>
      </text>
    </comment>
    <comment ref="E32" authorId="0">
      <text>
        <r>
          <rPr>
            <b/>
            <sz val="8"/>
            <rFont val="Tahoma"/>
            <family val="0"/>
          </rPr>
          <t>Please Note that if this cell is red then total does not balance to cell E32 from worksheet "2004 Adjusted Taxable Income"</t>
        </r>
      </text>
    </comment>
  </commentList>
</comments>
</file>

<file path=xl/comments27.xml><?xml version="1.0" encoding="utf-8"?>
<comments xmlns="http://schemas.openxmlformats.org/spreadsheetml/2006/main">
  <authors>
    <author>User</author>
  </authors>
  <commentList>
    <comment ref="B78" authorId="0">
      <text>
        <r>
          <rPr>
            <sz val="10"/>
            <rFont val="Tahoma"/>
            <family val="2"/>
          </rPr>
          <t>Used in the determination of PILs</t>
        </r>
      </text>
    </comment>
  </commentList>
</comments>
</file>

<file path=xl/comments28.xml><?xml version="1.0" encoding="utf-8"?>
<comments xmlns="http://schemas.openxmlformats.org/spreadsheetml/2006/main">
  <authors>
    <author>User</author>
  </authors>
  <commentList>
    <comment ref="B78" authorId="0">
      <text>
        <r>
          <rPr>
            <sz val="10"/>
            <rFont val="Tahoma"/>
            <family val="2"/>
          </rPr>
          <t>Used in the determination of PILs</t>
        </r>
      </text>
    </comment>
  </commentList>
</comments>
</file>

<file path=xl/comments29.xml><?xml version="1.0" encoding="utf-8"?>
<comments xmlns="http://schemas.openxmlformats.org/spreadsheetml/2006/main">
  <authors>
    <author>User</author>
  </authors>
  <commentList>
    <comment ref="A27" authorId="0">
      <text>
        <r>
          <rPr>
            <b/>
            <sz val="8"/>
            <rFont val="Tahoma"/>
            <family val="0"/>
          </rPr>
          <t>This is equivalent to Regulatory Grossed up Taxes
*  See Tax Exhibit below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25" authorId="0">
      <text>
        <r>
          <rPr>
            <b/>
            <sz val="8"/>
            <rFont val="Tahoma"/>
            <family val="0"/>
          </rPr>
          <t>Part of CEC calculation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25" authorId="0">
      <text>
        <r>
          <rPr>
            <b/>
            <sz val="8"/>
            <rFont val="Tahoma"/>
            <family val="0"/>
          </rPr>
          <t>Part of CEC calculation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25" authorId="0">
      <text>
        <r>
          <rPr>
            <b/>
            <sz val="8"/>
            <rFont val="Tahoma"/>
            <family val="0"/>
          </rPr>
          <t>Part of CEC calculation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25" authorId="0">
      <text>
        <r>
          <rPr>
            <b/>
            <sz val="8"/>
            <rFont val="Tahoma"/>
            <family val="0"/>
          </rPr>
          <t>Part of CEC calculation</t>
        </r>
      </text>
    </comment>
  </commentList>
</comments>
</file>

<file path=xl/sharedStrings.xml><?xml version="1.0" encoding="utf-8"?>
<sst xmlns="http://schemas.openxmlformats.org/spreadsheetml/2006/main" count="1883" uniqueCount="899">
  <si>
    <t>NS</t>
  </si>
  <si>
    <t>CS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</si>
  <si>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</si>
  <si>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</si>
  <si>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</si>
  <si>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</si>
  <si>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Street Lighting and Signal Systems</t>
  </si>
  <si>
    <t>Sentinel Lights - Labour</t>
  </si>
  <si>
    <t>Sentinel Lights - Materials and Expenses</t>
  </si>
  <si>
    <t>Maintenance of Meters</t>
  </si>
  <si>
    <t>Customer Installations Expenses - Leased Property</t>
  </si>
  <si>
    <t>Maintenance of Other Installations on Customer Premises</t>
  </si>
  <si>
    <t>Purchase of Transmission and System Services</t>
  </si>
  <si>
    <t>Transmission Charges</t>
  </si>
  <si>
    <t>Transmission Charges Recovered</t>
  </si>
  <si>
    <t>Meter Reading Expense</t>
  </si>
  <si>
    <t>Customer Billing</t>
  </si>
  <si>
    <t>Collecting - Cash Over and Short</t>
  </si>
  <si>
    <t>Collection Charges</t>
  </si>
  <si>
    <t>Bad Debt Expense</t>
  </si>
  <si>
    <t>Miscellaneous Customer Accounts Expenses</t>
  </si>
  <si>
    <t>Community Relations - Sundry</t>
  </si>
  <si>
    <t>Energy Conservation</t>
  </si>
  <si>
    <t>Community Safety Program</t>
  </si>
  <si>
    <t>Miscellaneous Customer Service and Informational Expenses</t>
  </si>
  <si>
    <t>Demonstrating and Selling Expense</t>
  </si>
  <si>
    <t>Advertising Expense</t>
  </si>
  <si>
    <t>Miscellaneous Sales Expense</t>
  </si>
  <si>
    <t>Executive Salaries and Expenses</t>
  </si>
  <si>
    <t>Management Salaries and Expenses</t>
  </si>
  <si>
    <t>General Administrative Salaries and Expenses</t>
  </si>
  <si>
    <t>Office Supplies and Expenses</t>
  </si>
  <si>
    <t>Administrative Expense Transferred-Credit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</si>
  <si>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</si>
  <si>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</si>
  <si>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</si>
  <si>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</si>
  <si>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</si>
  <si>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Expenses</t>
  </si>
  <si>
    <t>General Advertising Expenses</t>
  </si>
  <si>
    <t>Miscellaneous Expenses</t>
  </si>
  <si>
    <t xml:space="preserve">Rent  </t>
  </si>
  <si>
    <t>Maintenance of General Plant</t>
  </si>
  <si>
    <t>Electrical Safety Authority Fees</t>
  </si>
  <si>
    <t>Independent Market Operator Fees and Penalties</t>
  </si>
  <si>
    <t>Amortization Expense - Property, Plant and Equipment</t>
  </si>
  <si>
    <t>Amortization of Limited Term Electric Plant</t>
  </si>
  <si>
    <t>Amortization of Intangibles and Other Electric Plant</t>
  </si>
  <si>
    <t>Amortization of Electric Plant Acquisition Adjustments</t>
  </si>
  <si>
    <t>Miscellaneous Amortization</t>
  </si>
  <si>
    <t>Amortization of Unrecovered Plant and Regulatory Study Costs</t>
  </si>
  <si>
    <t>Amortization of Deferred Development Costs</t>
  </si>
  <si>
    <t>Amortization of Deferred Charges</t>
  </si>
  <si>
    <t>Interest on Long Term Debt</t>
  </si>
  <si>
    <t>Amortization of Debt Discount and Expense</t>
  </si>
  <si>
    <t>Amortization of Premium on Debt-Credit</t>
  </si>
  <si>
    <t>Amortization of Loss on Reacquired Debt</t>
  </si>
  <si>
    <t>Amortization of Gain on Reacquired Debt-Credit</t>
  </si>
  <si>
    <t>Interest on Debt to Associated Companies</t>
  </si>
  <si>
    <t>Other Interest Expense</t>
  </si>
  <si>
    <t>Allowance for Borrowed Funds Used During Construction-Credit</t>
  </si>
  <si>
    <t>Allowance for Other Funds Used During Construction</t>
  </si>
  <si>
    <t>Interest Expense on Capital Lease Obligations</t>
  </si>
  <si>
    <t>Taxes Other Than Income Taxes</t>
  </si>
  <si>
    <t>Income Taxes</t>
  </si>
  <si>
    <t>Provision for Future Income Taxes</t>
  </si>
  <si>
    <t>Life Insurance</t>
  </si>
  <si>
    <t>Penalties</t>
  </si>
  <si>
    <t>Extraordinary Income</t>
  </si>
  <si>
    <t>Extraordinary Deductions</t>
  </si>
  <si>
    <t>Income Taxes, Extraordinary Items</t>
  </si>
  <si>
    <t>TOTALS</t>
  </si>
  <si>
    <t>Other</t>
  </si>
  <si>
    <t>3050-Revenues From Services - Distirbution Total</t>
  </si>
  <si>
    <t>3100-Other Operating Revenues</t>
  </si>
  <si>
    <t>3800-Administrative and General Expenses Total</t>
  </si>
  <si>
    <t>3850-Amortization Expense</t>
  </si>
  <si>
    <t>3850-Amortization Expense Total</t>
  </si>
  <si>
    <t>3900-Interest Expense</t>
  </si>
  <si>
    <t>1450-Distribution Plant Total</t>
  </si>
  <si>
    <t>1500-General Plant</t>
  </si>
  <si>
    <t>WORKING CAPITAL ALLOWANCE FOR 2006</t>
  </si>
  <si>
    <t>3150-Other Income &amp; Deductions Total</t>
  </si>
  <si>
    <t>3200-Investment Income</t>
  </si>
  <si>
    <t>3200-Investment Income Total</t>
  </si>
  <si>
    <t>3350-Power Supply Expenses</t>
  </si>
  <si>
    <t>3100-Other Operating Revenues Total</t>
  </si>
  <si>
    <t>3150-Other Income &amp; Deductions</t>
  </si>
  <si>
    <t>3550-Distribution Expenses - Maintenance Total</t>
  </si>
  <si>
    <t>3650-Billing and Collecting</t>
  </si>
  <si>
    <t>Utility Only Opening Balance</t>
  </si>
  <si>
    <t xml:space="preserve"> Balance for Bridge Year </t>
  </si>
  <si>
    <t xml:space="preserve"> Balance for Test Year </t>
  </si>
  <si>
    <t>Y</t>
  </si>
  <si>
    <t xml:space="preserve">Amount to be used in Year </t>
  </si>
  <si>
    <t>Application of  Loss Carry Forward to reduce taxable income in Year</t>
  </si>
  <si>
    <t>Balance available  in Year</t>
  </si>
  <si>
    <t>Balance available for use next Year</t>
  </si>
  <si>
    <t>3650-Billing and Collecting Total</t>
  </si>
  <si>
    <t>3700-Community Relations</t>
  </si>
  <si>
    <t>3700-Community Relations Total</t>
  </si>
  <si>
    <t>3800-Administrative and General Expenses</t>
  </si>
  <si>
    <t>1100-Inventory Total</t>
  </si>
  <si>
    <t>1150-Non-Current Assets</t>
  </si>
  <si>
    <t>1150-Non-Current Assets Total</t>
  </si>
  <si>
    <t>1200-Other Assets and Deferred Charges</t>
  </si>
  <si>
    <t>Current Assets</t>
  </si>
  <si>
    <t>Inventory</t>
  </si>
  <si>
    <t>Other Assets and Deferred Charges</t>
  </si>
  <si>
    <t>Non-Current Assets</t>
  </si>
  <si>
    <t>Fixed Assets</t>
  </si>
  <si>
    <t>Other Capital Assets</t>
  </si>
  <si>
    <t>Accumulated Amortization</t>
  </si>
  <si>
    <t>Current Liabilities</t>
  </si>
  <si>
    <t>Non-Current Liabilities</t>
  </si>
  <si>
    <t>Other Liabilities and Deferred Credits</t>
  </si>
  <si>
    <t>Shareholders' Equity</t>
  </si>
  <si>
    <t>Sales of Electricity</t>
  </si>
  <si>
    <t>Revenues From Services - Distribution</t>
  </si>
  <si>
    <t>Other Operating Revenues</t>
  </si>
  <si>
    <t>Other Income/ Deductions</t>
  </si>
  <si>
    <t>Investment Income</t>
  </si>
  <si>
    <t>Other Power Supply Expenses</t>
  </si>
  <si>
    <t>Other Expenses</t>
  </si>
  <si>
    <t>Sales Expenses</t>
  </si>
  <si>
    <t>Interest Expense</t>
  </si>
  <si>
    <t>Amortization Expense</t>
  </si>
  <si>
    <t>Taxes</t>
  </si>
  <si>
    <t>Extraordinary Items</t>
  </si>
  <si>
    <t>Other Accounts</t>
  </si>
  <si>
    <t>Cost of Power Adjustments</t>
  </si>
  <si>
    <t>System Control and Load Dispatching</t>
  </si>
  <si>
    <t>Competition Transition Expense</t>
  </si>
  <si>
    <t>Rural Rate Assistance Expense</t>
  </si>
  <si>
    <t>PILs and Tax Variance for 2006 &amp; Subsequent Years</t>
  </si>
  <si>
    <t>Billed WMS-One Time</t>
  </si>
  <si>
    <t>Maintenance of Transformer Station Equipment</t>
  </si>
  <si>
    <t>OM&amp;A Contra Account</t>
  </si>
  <si>
    <t>Fixed Assets Opening Balance 2006</t>
  </si>
  <si>
    <t>Fixed Assets Closing Balance 2006</t>
  </si>
  <si>
    <t>4080</t>
  </si>
  <si>
    <t>3000-Sales of Electricity</t>
  </si>
  <si>
    <t>3000-Sales of Electricity Total</t>
  </si>
  <si>
    <t>3050-Revenues From Services - Distirbution</t>
  </si>
  <si>
    <t>1500-General Plant Total</t>
  </si>
  <si>
    <t>1550-Other Capital Assets</t>
  </si>
  <si>
    <t>1550-Other Capital Assets Total</t>
  </si>
  <si>
    <t>1600-Accumulated Amortization</t>
  </si>
  <si>
    <t>1050-Current Assets</t>
  </si>
  <si>
    <t>1050-Current Assets Total</t>
  </si>
  <si>
    <t>1100-Inventory</t>
  </si>
  <si>
    <t>1600-Accumulated Amortization Total</t>
  </si>
  <si>
    <t>1650-Current Liabilities</t>
  </si>
  <si>
    <t>Total</t>
  </si>
  <si>
    <t>1200-Other Assets and Deferred Charges Total</t>
  </si>
  <si>
    <t>1450-Distribution Plant</t>
  </si>
  <si>
    <t>1700-Non-Current Liabilities Total</t>
  </si>
  <si>
    <t>1800-Long-Term Debt</t>
  </si>
  <si>
    <t>1800-Long-Term Debt Total</t>
  </si>
  <si>
    <t>1850-Shareholders' Equity</t>
  </si>
  <si>
    <t>Distribution Expenses - Operation</t>
  </si>
  <si>
    <t>2007 BALANCE SHEET</t>
  </si>
  <si>
    <t>2007 STATEMENT OF INCOME AND RETAINED EARNINGS</t>
  </si>
  <si>
    <t>2007</t>
  </si>
  <si>
    <t>2008</t>
  </si>
  <si>
    <t>2008 STATEMENT OF INCOME AND RETAINED EARNINGS</t>
  </si>
  <si>
    <t>2008 BALANCE SHEET</t>
  </si>
  <si>
    <t>Total Interest Cost for 2009</t>
  </si>
  <si>
    <t>Weighted Debt Cost Rate for 2009</t>
  </si>
  <si>
    <t>RATE BASE CALCULATION FOR 2006</t>
  </si>
  <si>
    <t>Return</t>
  </si>
  <si>
    <t>Rate of Return</t>
  </si>
  <si>
    <t>CCA Continuity Schedule (2009)</t>
  </si>
  <si>
    <t>CONTINUITY OF RESERVES FOR 2009</t>
  </si>
  <si>
    <t>Determination of Tax Adjustments to Accounting Income for 2009</t>
  </si>
  <si>
    <t>2009 Capital Taxes</t>
  </si>
  <si>
    <t>2009 PILs Schedule</t>
  </si>
  <si>
    <t>2009 Total Taxes</t>
  </si>
  <si>
    <t>2006 BALANCE SHEET</t>
  </si>
  <si>
    <t>2006 STATEMENT OF INCOME AND RETAINED EARNINGS</t>
  </si>
  <si>
    <t>Rate%</t>
  </si>
  <si>
    <t>Year Applied to</t>
  </si>
  <si>
    <t>Return On Equity</t>
  </si>
  <si>
    <t>Rate</t>
  </si>
  <si>
    <t>Long-Term Debt</t>
  </si>
  <si>
    <t>Short-Tern Debt</t>
  </si>
  <si>
    <t>Regulated Rate of Return</t>
  </si>
  <si>
    <t>Deemed Portion</t>
  </si>
  <si>
    <t>Effective Rate</t>
  </si>
  <si>
    <t>Description</t>
  </si>
  <si>
    <t>WORKING CAPITAL ALLOWANCE FOR 2007</t>
  </si>
  <si>
    <t>Distribution Expenses</t>
  </si>
  <si>
    <t>$</t>
  </si>
  <si>
    <t>Total Eligible Distribution Expenses</t>
  </si>
  <si>
    <t>Working Capital Allowance</t>
  </si>
  <si>
    <t>Total Rate Base</t>
  </si>
  <si>
    <t>Regulated Return On Capital</t>
  </si>
  <si>
    <t>Deemed Interest Expense</t>
  </si>
  <si>
    <t>Deemed Return on Equity</t>
  </si>
  <si>
    <t>Distribution Expenses - Maintenance</t>
  </si>
  <si>
    <t>Billing and Collecting</t>
  </si>
  <si>
    <t>Community Relations</t>
  </si>
  <si>
    <t>Administrative and General Expenses</t>
  </si>
  <si>
    <t>Taxes Other than Income Taxes</t>
  </si>
  <si>
    <t>Power Supply Expenses</t>
  </si>
  <si>
    <t>As at December 31, 2007</t>
  </si>
  <si>
    <t>2009</t>
  </si>
  <si>
    <t>2009 BALANCE SHEET</t>
  </si>
  <si>
    <t>2009 STATEMENT OF INCOME AND RETAINED EARNINGS</t>
  </si>
  <si>
    <t>WORKING CAPITAL ALLOWANCE FOR 2009</t>
  </si>
  <si>
    <t>RATE BASE CALCULATION FOR 2009</t>
  </si>
  <si>
    <t>Fixed Assets Opening Balance 2009</t>
  </si>
  <si>
    <t>Fixed Assets Closing Balance 2009</t>
  </si>
  <si>
    <t>Total Working Capital Expenses</t>
  </si>
  <si>
    <t>Working Capital Allowance rate of 15%</t>
  </si>
  <si>
    <t>RATE BASE CALCULATION FOR 2007</t>
  </si>
  <si>
    <t>Fixed Assets Opening Balance 2007</t>
  </si>
  <si>
    <t>Fixed Assets Opening Balance 2008</t>
  </si>
  <si>
    <t>Fixed Assets Closing Balance 2007</t>
  </si>
  <si>
    <t>Average Fixed Asset Balance for 2007</t>
  </si>
  <si>
    <t xml:space="preserve">Rate Base  </t>
  </si>
  <si>
    <t>Regulated Return on Capital</t>
  </si>
  <si>
    <t>WORKING CAPITAL ALLOWANCE FOR 2008</t>
  </si>
  <si>
    <t>CCA Class</t>
  </si>
  <si>
    <t>N/A</t>
  </si>
  <si>
    <t>WIP</t>
  </si>
  <si>
    <t>Storage Battery Equipment</t>
  </si>
  <si>
    <t>Other Additions</t>
  </si>
  <si>
    <t>Other Deductions</t>
  </si>
  <si>
    <t>Name of Applicant:</t>
  </si>
  <si>
    <t>File Number</t>
  </si>
  <si>
    <t>Fixed Asset Continuity Schedule (Distribution &amp; Operations)</t>
  </si>
  <si>
    <t>Contact:</t>
  </si>
  <si>
    <t>License Number</t>
  </si>
  <si>
    <t>Date of Application:</t>
  </si>
  <si>
    <t>Total Interest Cost for 2006</t>
  </si>
  <si>
    <t>Weighted Debt Cost Rate for 2006</t>
  </si>
  <si>
    <t>Debt &amp; Capital Cost Structure</t>
  </si>
  <si>
    <t>Average Fixed Asset Balance for 2006</t>
  </si>
  <si>
    <t>Opening Balance</t>
  </si>
  <si>
    <t>Closing Balance</t>
  </si>
  <si>
    <t>Net Book Value</t>
  </si>
  <si>
    <t>Total before Work in Process</t>
  </si>
  <si>
    <t>Total after Work in Process</t>
  </si>
  <si>
    <t>Rates of Return, Working Capital Allowance &amp; Rate Base Calculations</t>
  </si>
  <si>
    <t>Corporate Tax Rates</t>
  </si>
  <si>
    <t xml:space="preserve">    Revenue Deficiency</t>
  </si>
  <si>
    <t xml:space="preserve">    Distribution Revenue </t>
  </si>
  <si>
    <t xml:space="preserve">    Other Operating Revenue (Net) </t>
  </si>
  <si>
    <t xml:space="preserve">    Operation &amp; Maintenance  </t>
  </si>
  <si>
    <t xml:space="preserve">    Depreciation &amp; Amortization  </t>
  </si>
  <si>
    <t xml:space="preserve">    Property Taxes</t>
  </si>
  <si>
    <t xml:space="preserve">    Capital Taxes  </t>
  </si>
  <si>
    <t xml:space="preserve">    Deemed Interest</t>
  </si>
  <si>
    <t xml:space="preserve">    Corporate Income Taxes</t>
  </si>
  <si>
    <t xml:space="preserve">    Total Rate Base</t>
  </si>
  <si>
    <t xml:space="preserve">    Exemption</t>
  </si>
  <si>
    <t xml:space="preserve">    Deemed Taxable Capital</t>
  </si>
  <si>
    <t xml:space="preserve">    Ontario Capital Tax</t>
  </si>
  <si>
    <t xml:space="preserve">    Accounting Income</t>
  </si>
  <si>
    <t xml:space="preserve">    Tax Adjustments to Accounting Income</t>
  </si>
  <si>
    <t xml:space="preserve">    Rate Base</t>
  </si>
  <si>
    <t xml:space="preserve">    Interest Expense</t>
  </si>
  <si>
    <t xml:space="preserve">    Net Income</t>
  </si>
  <si>
    <t xml:space="preserve">    Return on Debt (Weighted)</t>
  </si>
  <si>
    <t xml:space="preserve">    Return on Equity</t>
  </si>
  <si>
    <t xml:space="preserve">    Deemed Interest Expense</t>
  </si>
  <si>
    <t xml:space="preserve">    Return On Equity</t>
  </si>
  <si>
    <t xml:space="preserve">    Less OCT Included Above</t>
  </si>
  <si>
    <t>RATE BASE CALCULATION FOR 2008</t>
  </si>
  <si>
    <t>Fixed Assets Closing Balance 2008</t>
  </si>
  <si>
    <t>Average Fixed Asset Balance for 2008</t>
  </si>
  <si>
    <t>Total Assets</t>
  </si>
  <si>
    <t>As at December 31, 2006</t>
  </si>
  <si>
    <t>Cost</t>
  </si>
  <si>
    <t>Accumulated Depreciation</t>
  </si>
  <si>
    <t>Balance</t>
  </si>
  <si>
    <t>Work in Process</t>
  </si>
  <si>
    <t>Less:  Fully Allocated Depreciation</t>
  </si>
  <si>
    <t>Transportation</t>
  </si>
  <si>
    <t>Net Depreciation</t>
  </si>
  <si>
    <t>Balance Sheet Total</t>
  </si>
  <si>
    <t>Total Liabilities &amp; Shareholder's Equity</t>
  </si>
  <si>
    <t>Total Interest Cost for 2007</t>
  </si>
  <si>
    <t>Weighted Debt Cost Rate for 2007</t>
  </si>
  <si>
    <t>Weighted Debt Cost Rate for 2008</t>
  </si>
  <si>
    <t>Tax Exhibit</t>
  </si>
  <si>
    <t>Tax Rate</t>
  </si>
  <si>
    <t>Deemed Utility Income</t>
  </si>
  <si>
    <t>Taxable Income prior to adjusting revenue to PILs</t>
  </si>
  <si>
    <t>Grossed up PILs</t>
  </si>
  <si>
    <t>Total PILs before gross up</t>
  </si>
  <si>
    <t>Total Interest Cost for 2008</t>
  </si>
  <si>
    <t>Non-deductible life insurance premiums</t>
  </si>
  <si>
    <t>Non-deductible company pension plans</t>
  </si>
  <si>
    <t>Reserves from financial statements- balance at end of year</t>
  </si>
  <si>
    <t>Soft costs on construction and renovation of buildings</t>
  </si>
  <si>
    <t>Buildings (No footings below ground)</t>
  </si>
  <si>
    <t>Computers &amp; Systems Hardware acq'd post Mar 19/07</t>
  </si>
  <si>
    <t>Computers &amp; Systems Hardware acq'd post Mar 22/04</t>
  </si>
  <si>
    <t>Book loss on joint ventures or partnerships</t>
  </si>
  <si>
    <t>Capital items expensed</t>
  </si>
  <si>
    <t>Debt issue expense</t>
  </si>
  <si>
    <t>Development expenses claimed in current year</t>
  </si>
  <si>
    <t>Financing fees deducted in books</t>
  </si>
  <si>
    <t>Gain on settlement of debt</t>
  </si>
  <si>
    <t>Non-deductible advertising</t>
  </si>
  <si>
    <t>Non-deductible interest</t>
  </si>
  <si>
    <t>Non-deductible legal and accounting fees</t>
  </si>
  <si>
    <t>Recapture of SR&amp;ED expenditures</t>
  </si>
  <si>
    <t>Share issue expense</t>
  </si>
  <si>
    <t>Write down of capital property</t>
  </si>
  <si>
    <t>Amounts received in respect of qualifying environment trust per paragraphs 12(1)(z.1) and 12(1)(z.2)</t>
  </si>
  <si>
    <t>Interest Expensed on Capital Leases</t>
  </si>
  <si>
    <t>Reveneue Requirement Rebasing Model</t>
  </si>
  <si>
    <t>Realized Income from Deferred Credit Accounts</t>
  </si>
  <si>
    <t>Pensions</t>
  </si>
  <si>
    <t>Non-deductible penalties</t>
  </si>
  <si>
    <t>Debt Financing Expenses for Book Purposes</t>
  </si>
  <si>
    <t>Total Additions</t>
  </si>
  <si>
    <t>Deductions:</t>
  </si>
  <si>
    <t>Gain on disposal of assets per financial statements</t>
  </si>
  <si>
    <t>Dividends not taxable under section 83</t>
  </si>
  <si>
    <t>Capital cost allowance from Schedule 8</t>
  </si>
  <si>
    <t>Terminal loss from Schedule 8</t>
  </si>
  <si>
    <t>Cumulative eligible capital deduction from Schedule 10</t>
  </si>
  <si>
    <t>Allowable business investment loss</t>
  </si>
  <si>
    <t>Scientific research expenses claimed in year</t>
  </si>
  <si>
    <t>Reserves from financial statements - balance at beginning of year</t>
  </si>
  <si>
    <t>Contributions to deferred income plans</t>
  </si>
  <si>
    <t>Book income of joint venture or partnership</t>
  </si>
  <si>
    <t>Equity in income from subsidiary or affiliates</t>
  </si>
  <si>
    <t>Interest capitalized for accounting deducted for tax</t>
  </si>
  <si>
    <t>Capital Lease Payments</t>
  </si>
  <si>
    <t xml:space="preserve">Non-taxable imputed interest income on deferral and variance accounts </t>
  </si>
  <si>
    <t>Financing Fees for Tax Under S.20(1)(e)</t>
  </si>
  <si>
    <t>Total Deductions</t>
  </si>
  <si>
    <t>Charitable donations from Schedule 2</t>
  </si>
  <si>
    <t>Limited partnership losses of preceding taxation years from Schedule 4</t>
  </si>
  <si>
    <t>Line Item</t>
  </si>
  <si>
    <t>Additions</t>
  </si>
  <si>
    <t>Disposals</t>
  </si>
  <si>
    <t>Cumulative Eligible Capital</t>
  </si>
  <si>
    <t>Other Adjustments</t>
  </si>
  <si>
    <t>Subtotal</t>
  </si>
  <si>
    <t>x 3/4 =</t>
  </si>
  <si>
    <t>x 1/2 =</t>
  </si>
  <si>
    <t>Amount transferred on amalgamation or wind-up of subsidiary</t>
  </si>
  <si>
    <t>Cumulative Eligible Capital Balance</t>
  </si>
  <si>
    <t>CEC Deduction</t>
  </si>
  <si>
    <t>Eliminate Amounts Not Relevant for Test Year
Sign Convention:
Increase (+) Decrease (-)</t>
  </si>
  <si>
    <t>Disallowed Expenses</t>
  </si>
  <si>
    <t>Capital Gains Reserves ss.40(1)</t>
  </si>
  <si>
    <t>Tax Reserves Not Deducted for accounting purposes</t>
  </si>
  <si>
    <t>Reserve for doubtful accounts ss. 20(1)(l)</t>
  </si>
  <si>
    <t>Reserve for goods and services not delivered ss. 20(1)(m)</t>
  </si>
  <si>
    <t>Reserve for unpaid amounts ss. 20(1)(n)</t>
  </si>
  <si>
    <t>Debt &amp; Share Issue Expenses ss. 20(1)(e)</t>
  </si>
  <si>
    <t>Other tax reserves</t>
  </si>
  <si>
    <t>General Reserve for Inventory Obsolescence (non-specific)</t>
  </si>
  <si>
    <t>General reserve for bad debts</t>
  </si>
  <si>
    <t>Accrued Employee Future Benefits:</t>
  </si>
  <si>
    <t>- Medical and Life Insurance</t>
  </si>
  <si>
    <t>-Short &amp; Long-term Disability</t>
  </si>
  <si>
    <t>- Termination Cost</t>
  </si>
  <si>
    <t>- Other Post-Employment Benefits</t>
  </si>
  <si>
    <t>Provision for Environmental Costs</t>
  </si>
  <si>
    <t>Restructuring Costs</t>
  </si>
  <si>
    <t>Accrued Contingent Litigation Costs</t>
  </si>
  <si>
    <t>Accrued Self-Insurance Costs</t>
  </si>
  <si>
    <t>Other Contingent Liabilities</t>
  </si>
  <si>
    <t>Bonuses Accrued and Not Paid Within 180 Days of Year-End ss. 78(4)</t>
  </si>
  <si>
    <t>Unpaid Amounts to Related Person and Not Paid Within 3 Taxation Years ss. 78(1)</t>
  </si>
  <si>
    <t>Tax reserves beginning of year</t>
  </si>
  <si>
    <t>Tax reserves end of year</t>
  </si>
  <si>
    <t>Non-Capital Loss Carry Forward Deduction</t>
  </si>
  <si>
    <t>Non-capital losses of preceding taxation years from Schedule 7-1</t>
  </si>
  <si>
    <t>Net-capital losses of preceding taxation years from Schedule 7-1</t>
  </si>
  <si>
    <t>OCT</t>
  </si>
  <si>
    <t>LCT</t>
  </si>
  <si>
    <t>Exemption</t>
  </si>
  <si>
    <t>Deemed Taxable Capital</t>
  </si>
  <si>
    <t>Gross Tax Payable</t>
  </si>
  <si>
    <t>Surtax</t>
  </si>
  <si>
    <t>Total Income Taxes</t>
  </si>
  <si>
    <t>Investment Tax Credits</t>
  </si>
  <si>
    <t>Miscellaneous Tax Credits</t>
  </si>
  <si>
    <t>Combined Income Tax Rate</t>
  </si>
  <si>
    <t>Total Tax Credits</t>
  </si>
  <si>
    <t>Tax
Payable</t>
  </si>
  <si>
    <t>Total PILs</t>
  </si>
  <si>
    <t>Source
or Input</t>
  </si>
  <si>
    <t>Cumulative Eligible Capital - Closing Balance</t>
  </si>
  <si>
    <t>Cost of Eligible Capital Property Acquired during the year</t>
  </si>
  <si>
    <t>Utility
Amount</t>
  </si>
  <si>
    <t>Non-taxable portion of a non-arm's length transferor's gain realized on the transfer of an ECP to the Corporation after Friday December 31, 2002</t>
  </si>
  <si>
    <t>Cumulative Eligible Capital Calculation</t>
  </si>
  <si>
    <t>Projected proceeds of sale (less outlays and expenses not otherwise deductible) from the disposition of all ECP during the year</t>
  </si>
  <si>
    <t>Non-Distribution Eliminations</t>
  </si>
  <si>
    <t>Adjusted Utility Balance</t>
  </si>
  <si>
    <t>Change During the Year</t>
  </si>
  <si>
    <t>Financial Statement Reserves (not deductible for Tax Purposes)</t>
  </si>
  <si>
    <t xml:space="preserve"> -Accmulated Sick Leave</t>
  </si>
  <si>
    <t xml:space="preserve">Total </t>
  </si>
  <si>
    <r>
      <t xml:space="preserve">Non-Distribution Portion </t>
    </r>
    <r>
      <rPr>
        <b/>
        <vertAlign val="superscript"/>
        <sz val="9"/>
        <color indexed="10"/>
        <rFont val="Arial"/>
        <family val="2"/>
      </rPr>
      <t>1</t>
    </r>
  </si>
  <si>
    <t>Utility Balance</t>
  </si>
  <si>
    <t xml:space="preserve">Actual/Estimated </t>
  </si>
  <si>
    <t>Other Adjustments Add (+) Deduct (-)</t>
  </si>
  <si>
    <t>CORPORATION LOSS CONTINUITY</t>
  </si>
  <si>
    <t>From Trial Balance</t>
  </si>
  <si>
    <t>Difference</t>
  </si>
  <si>
    <r>
      <t xml:space="preserve">Taxable dividends deductible under section 112 or 113, from Schedule 3 </t>
    </r>
    <r>
      <rPr>
        <sz val="10"/>
        <color indexed="10"/>
        <rFont val="Arial"/>
        <family val="2"/>
      </rPr>
      <t>(item 82)</t>
    </r>
  </si>
  <si>
    <t>Taxable Income</t>
  </si>
  <si>
    <t>OM&amp;A Expenses</t>
  </si>
  <si>
    <t>Amortization Expenses</t>
  </si>
  <si>
    <t>Total Distribution Expenses</t>
  </si>
  <si>
    <t>ProjAmt</t>
  </si>
  <si>
    <t>OffsetPct</t>
  </si>
  <si>
    <t>OffsetAmt</t>
  </si>
  <si>
    <t>Revenue Offset Schedule</t>
  </si>
  <si>
    <t>Total Revenue Offsets</t>
  </si>
  <si>
    <r>
      <t>Less:</t>
    </r>
    <r>
      <rPr>
        <sz val="10"/>
        <rFont val="Arial"/>
        <family val="0"/>
      </rPr>
      <t xml:space="preserve"> Revenue Offsets</t>
    </r>
  </si>
  <si>
    <r>
      <t>Less:</t>
    </r>
    <r>
      <rPr>
        <sz val="10"/>
        <rFont val="Arial"/>
        <family val="0"/>
      </rPr>
      <t xml:space="preserve"> Capital Taxes within 6105</t>
    </r>
  </si>
  <si>
    <t>Revenue Deficiency Determination</t>
  </si>
  <si>
    <t>Revenue</t>
  </si>
  <si>
    <t xml:space="preserve">Total Revenue </t>
  </si>
  <si>
    <t>Costs and Expenses</t>
  </si>
  <si>
    <t xml:space="preserve">Total Costs and Expenses  </t>
  </si>
  <si>
    <t>Total Costs and Expenses Net of OCT</t>
  </si>
  <si>
    <t xml:space="preserve">Utility Income Before Income Taxes  </t>
  </si>
  <si>
    <t>Income Taxes:</t>
  </si>
  <si>
    <t xml:space="preserve">Utility Net Income  </t>
  </si>
  <si>
    <t>Capital Tax Expense Calculation:</t>
  </si>
  <si>
    <t>Income Tax Expense Calculation:</t>
  </si>
  <si>
    <t>Accounting Income</t>
  </si>
  <si>
    <t>Tax Adjustments to Accounting Income</t>
  </si>
  <si>
    <t>Actual Return on Rate Base:</t>
  </si>
  <si>
    <t>Total Actual Return on Rate Base</t>
  </si>
  <si>
    <t>Actual Return on Rate Base</t>
  </si>
  <si>
    <t>Required Return on Rate Base:</t>
  </si>
  <si>
    <t>Return Rates:</t>
  </si>
  <si>
    <t>Total Return</t>
  </si>
  <si>
    <t>Expected Return on Rate Base</t>
  </si>
  <si>
    <t xml:space="preserve">Revenue Deficiency After Tax </t>
  </si>
  <si>
    <t xml:space="preserve">Revenue Deficiency Before Tax </t>
  </si>
  <si>
    <t>Weighted Debt Rate</t>
  </si>
  <si>
    <t>Other Adjustments to Taxable Income</t>
  </si>
  <si>
    <t>Tax Adj to Accounting Income</t>
  </si>
  <si>
    <t>PILs Rates</t>
  </si>
  <si>
    <t>Tax Payable</t>
  </si>
  <si>
    <t>Net Capital Tax Payable</t>
  </si>
  <si>
    <t>PILs</t>
  </si>
  <si>
    <t>PILs including Capital Taxes</t>
  </si>
  <si>
    <t>Common Share Equity</t>
  </si>
  <si>
    <t>Long Term Debt</t>
  </si>
  <si>
    <t>Unfunded Short Term Debt</t>
  </si>
  <si>
    <t>Base Revenue Requirement</t>
  </si>
  <si>
    <t>Service Revenue Requirement</t>
  </si>
  <si>
    <t>Total Adjustments</t>
  </si>
  <si>
    <t>Weighted Debt Cost</t>
  </si>
  <si>
    <t>Debt Holder</t>
  </si>
  <si>
    <t>Affliated with LDC?</t>
  </si>
  <si>
    <t>Date of Issuance</t>
  </si>
  <si>
    <t>Principal</t>
  </si>
  <si>
    <t>Term (Years)</t>
  </si>
  <si>
    <t>Interest Cost</t>
  </si>
  <si>
    <t>% of Rate Base</t>
  </si>
  <si>
    <t>Total equity</t>
  </si>
  <si>
    <t>Federal Income Tax</t>
  </si>
  <si>
    <t>Ontario Income Tax</t>
  </si>
  <si>
    <t>Combined Income Tax</t>
  </si>
  <si>
    <t>Bridge</t>
  </si>
  <si>
    <t>Test</t>
  </si>
  <si>
    <t>Corporate Tax Rates for Tax Year:</t>
  </si>
  <si>
    <t>OCT Exemption</t>
  </si>
  <si>
    <t xml:space="preserve">    Administrative &amp; General, Billing &amp; Collecting</t>
  </si>
  <si>
    <t>Ontario Capital Tax Rate</t>
  </si>
  <si>
    <t>Large Corporation Tax Rate</t>
  </si>
  <si>
    <t>Large Corporation Tax Exemption</t>
  </si>
  <si>
    <t>Class</t>
  </si>
  <si>
    <t>Class Description</t>
  </si>
  <si>
    <t>UCC Prior Year Ending Balance</t>
  </si>
  <si>
    <t>Less: Non-Distribution Portion</t>
  </si>
  <si>
    <t>Less: Disallowed FMV Increment</t>
  </si>
  <si>
    <t>UCC Bridge Year Opening Balance</t>
  </si>
  <si>
    <t>Distribution System - 1988 to 22-Feb-2005</t>
  </si>
  <si>
    <t>Distribution System - pre 1988</t>
  </si>
  <si>
    <t>General Office/Stores Equip</t>
  </si>
  <si>
    <t>Computer Hardware/  Vehicles</t>
  </si>
  <si>
    <t>Certain Automobiles</t>
  </si>
  <si>
    <t>13 1</t>
  </si>
  <si>
    <t>Lease # 1</t>
  </si>
  <si>
    <t>13 2</t>
  </si>
  <si>
    <t>Lease #2</t>
  </si>
  <si>
    <t>13 3</t>
  </si>
  <si>
    <t>Lease # 3</t>
  </si>
  <si>
    <t>13 4</t>
  </si>
  <si>
    <t>Lease # 4</t>
  </si>
  <si>
    <t>Franchise</t>
  </si>
  <si>
    <t>New Electrical Generating Equipment Acq'd after Feb 27/00 Other Than Bldgs</t>
  </si>
  <si>
    <t>Certain Energy-Efficient Electrical Generating Equipment</t>
  </si>
  <si>
    <t>Data Network Infrastructure Equipment (acq'd post Mar 22/04)</t>
  </si>
  <si>
    <t>Distribution System - post 22-Feb-2005</t>
  </si>
  <si>
    <t>SUB-TOTAL - UCC</t>
  </si>
  <si>
    <t>CEC</t>
  </si>
  <si>
    <t>Goodwill</t>
  </si>
  <si>
    <t>FMV Bump-up</t>
  </si>
  <si>
    <t>SUB-TOTAL - CEC</t>
  </si>
  <si>
    <t xml:space="preserve"> Additions</t>
  </si>
  <si>
    <t>Dispositions</t>
  </si>
  <si>
    <t>UCC Before 1/2 Yr Adjustment</t>
  </si>
  <si>
    <t>1/2 Year Rule {1/2 Additions Less Disposals}</t>
  </si>
  <si>
    <t>Reduced UCC</t>
  </si>
  <si>
    <t>Rate %</t>
  </si>
  <si>
    <t>CCA</t>
  </si>
  <si>
    <t>UCC Ending Balance</t>
  </si>
  <si>
    <t>OEB</t>
  </si>
  <si>
    <t>T2S1 line #</t>
  </si>
  <si>
    <t>Total for Legal Entity</t>
  </si>
  <si>
    <t xml:space="preserve">Non-Distribution Eliminations   </t>
  </si>
  <si>
    <t>Additions:</t>
  </si>
  <si>
    <t>Interest and penalties on taxes</t>
  </si>
  <si>
    <t>Amortization of tangible assets</t>
  </si>
  <si>
    <t>Amortization of intangible assets</t>
  </si>
  <si>
    <t>Recapture of capital cost allowance from Schedule 8</t>
  </si>
  <si>
    <t>Gain on sale of eligible capital property from Schedule 10</t>
  </si>
  <si>
    <t>Income or loss for tax purposes- joint ventures or partnerships</t>
  </si>
  <si>
    <t>Loss in equity of subsidiaries and affiliates</t>
  </si>
  <si>
    <t xml:space="preserve">Loss on disposal of assets </t>
  </si>
  <si>
    <t>Charitable donations</t>
  </si>
  <si>
    <t>Taxable Capital Gains</t>
  </si>
  <si>
    <t>Political Donations</t>
  </si>
  <si>
    <t>Deferred and prepaid expenses</t>
  </si>
  <si>
    <t>Scientific research expenditures deducted on financial statements</t>
  </si>
  <si>
    <t>Capitalized interest</t>
  </si>
  <si>
    <t>Non-deductible club dues and fees</t>
  </si>
  <si>
    <t>Non-deductible meals and entertainment expense</t>
  </si>
  <si>
    <t>Non-deductible automobile expenses</t>
  </si>
  <si>
    <t>Total Debt</t>
  </si>
  <si>
    <t>Computer Software</t>
  </si>
  <si>
    <t>1650-Current Liabilities Total</t>
  </si>
  <si>
    <t>1700-Non-Current Liabilities</t>
  </si>
  <si>
    <t>4100-Extraordinary &amp; Other Items</t>
  </si>
  <si>
    <t>4100-Extraordinary &amp; Other Items Total</t>
  </si>
  <si>
    <t>from Income statement</t>
  </si>
  <si>
    <t>Account Description</t>
  </si>
  <si>
    <t>Leasehold Improvements</t>
  </si>
  <si>
    <t>Line Transformers</t>
  </si>
  <si>
    <t>Land</t>
  </si>
  <si>
    <t>Land Rights</t>
  </si>
  <si>
    <t>Transportation Equipment</t>
  </si>
  <si>
    <t>Stores Equipment</t>
  </si>
  <si>
    <t>Miscellaneous Equipment</t>
  </si>
  <si>
    <t>System Supervisory Equipment</t>
  </si>
  <si>
    <t>3350-Power Supply Expenses Total</t>
  </si>
  <si>
    <t>3500-Distribution Expenses - Operation</t>
  </si>
  <si>
    <t>3900-Interest Expense Total</t>
  </si>
  <si>
    <t>3950-Taxes Other Than Income Taxes</t>
  </si>
  <si>
    <t>3500-Distribution Expenses - Operation Total</t>
  </si>
  <si>
    <t>3550-Distribution Expenses - Maintenance</t>
  </si>
  <si>
    <t>3950-Taxes Other Than Income Taxes Total</t>
  </si>
  <si>
    <t>4000-Income Taxes</t>
  </si>
  <si>
    <t>4000-Income Taxes Total</t>
  </si>
  <si>
    <t>3046-Balance Transferred From Income</t>
  </si>
  <si>
    <t>1850-Shareholders' Equity Total</t>
  </si>
  <si>
    <t>Summary OEB Adjusted Trial Balance</t>
  </si>
  <si>
    <t>2006</t>
  </si>
  <si>
    <t>OEB No</t>
  </si>
  <si>
    <t>OEB Account Name</t>
  </si>
  <si>
    <t>Actual</t>
  </si>
  <si>
    <t>Cash</t>
  </si>
  <si>
    <t>Prepayments</t>
  </si>
  <si>
    <t>Accounts Receivable from Associated Companies</t>
  </si>
  <si>
    <t xml:space="preserve">    Smart Meter Deferral Account Adjustment</t>
  </si>
  <si>
    <t>Deferred PILs</t>
  </si>
  <si>
    <t>Services</t>
  </si>
  <si>
    <t>Meters</t>
  </si>
  <si>
    <t>Other Miscellaneous Non-Current Liabilities</t>
  </si>
  <si>
    <t>Other Regulatory Liabilities</t>
  </si>
  <si>
    <t>Common Shares Issued</t>
  </si>
  <si>
    <t>Commercial Energy Sales</t>
  </si>
  <si>
    <t>Industrial Energy Sales</t>
  </si>
  <si>
    <t>Energy Sales to Large Users</t>
  </si>
  <si>
    <t>Energy Sales for Resale</t>
  </si>
  <si>
    <t>Power Purchased</t>
  </si>
  <si>
    <t>Supervision</t>
  </si>
  <si>
    <t>Collecting</t>
  </si>
  <si>
    <t>Donations</t>
  </si>
  <si>
    <t>Cash Advances and Working Funds</t>
  </si>
  <si>
    <t>Interest Special Deposits</t>
  </si>
  <si>
    <t>Dividend Special Deposits</t>
  </si>
  <si>
    <t>Other Special Deposits</t>
  </si>
  <si>
    <t>Term Deposits</t>
  </si>
  <si>
    <t>Current Investments</t>
  </si>
  <si>
    <t>Customer Accounts Receivable</t>
  </si>
  <si>
    <t>Accounts Receivable - Services</t>
  </si>
  <si>
    <t>Accounts Receivable - Recoverable Work</t>
  </si>
  <si>
    <t>Accounts Receivable - Merchandise, Jobbing, etc.</t>
  </si>
  <si>
    <t>Other Accounts Receivable</t>
  </si>
  <si>
    <t>Accrued Utility Revenues</t>
  </si>
  <si>
    <t>Accumulated Provision for Uncollectable Accounts -- Credit</t>
  </si>
  <si>
    <t>Interest and Dividends Receivable</t>
  </si>
  <si>
    <t>Rents Receivable</t>
  </si>
  <si>
    <t>Notes Receivable</t>
  </si>
  <si>
    <t>Miscellaneous Current and Accrued Assets</t>
  </si>
  <si>
    <t>Notes  Receivable from Associated Companies</t>
  </si>
  <si>
    <t>Fuel Stock</t>
  </si>
  <si>
    <t>Plant Materials and Operating Supplies</t>
  </si>
  <si>
    <t>Merchandise</t>
  </si>
  <si>
    <t>Other Material and Supplies</t>
  </si>
  <si>
    <t>Long Term Investments in Non-Associated Companies</t>
  </si>
  <si>
    <t>Long Term Receivable - Street Lighting Transfer</t>
  </si>
  <si>
    <t>Other Special or Collateral Funds</t>
  </si>
  <si>
    <t>Sinking Funds</t>
  </si>
  <si>
    <t>Unamortized Debt Expense</t>
  </si>
  <si>
    <t>Unamortized Discount on Long-Term Debt--Debit</t>
  </si>
  <si>
    <t>Unamortized Deferred Foreign Currency Translation Gains and Losses</t>
  </si>
  <si>
    <t>Other Non-Current Assets</t>
  </si>
  <si>
    <t>O.M.E.R.S. Past Service Costs</t>
  </si>
  <si>
    <t>Past Service Costs - Employee Future Benefits</t>
  </si>
  <si>
    <t>Past Service Costs -Other Pension Plans</t>
  </si>
  <si>
    <t>Portfolio Investments - Associated Companies</t>
  </si>
  <si>
    <t>Investment In Subsidiary Companies - Significant Influence</t>
  </si>
  <si>
    <t>Investment in Subsidiary Companies</t>
  </si>
  <si>
    <t>Unrecovered Plant and Regulatory Study Costs</t>
  </si>
  <si>
    <t>Other Regulatory Assets</t>
  </si>
  <si>
    <t>Preliminary Survey and Investigation Charges</t>
  </si>
  <si>
    <t>Emission Allowance Inventory</t>
  </si>
  <si>
    <t>Emission Allowance Withheld</t>
  </si>
  <si>
    <t>Miscellaneous Deferred Debits</t>
  </si>
  <si>
    <t>Deferred Losses from Disposition of Utility Plant</t>
  </si>
  <si>
    <t>Development Charge Deposits/ Receivables</t>
  </si>
  <si>
    <t>RCVA - Service Transaction Request (STR)</t>
  </si>
  <si>
    <t>LV Charges - Variance</t>
  </si>
  <si>
    <t>Smart Meters Recovery</t>
  </si>
  <si>
    <t>Smart Meters OM &amp; A</t>
  </si>
  <si>
    <t>Deferred PILs - Contra</t>
  </si>
  <si>
    <t>C &amp; DM Costs</t>
  </si>
  <si>
    <t>C &amp; DM Costs Contra</t>
  </si>
  <si>
    <t>Qualifying Transition Costs</t>
  </si>
  <si>
    <t>Pre Market CofP Variance</t>
  </si>
  <si>
    <t>Deferred Rate Impact Amounts</t>
  </si>
  <si>
    <t>RSVA - Wholesale Market Services</t>
  </si>
  <si>
    <t>RSVA - One-Time</t>
  </si>
  <si>
    <t>RSVA - Network Charges</t>
  </si>
  <si>
    <t>RSVA - Connection Charges</t>
  </si>
  <si>
    <t>RSVA - Commodity (Power)</t>
  </si>
  <si>
    <t>Buildings and Fixtures</t>
  </si>
  <si>
    <t>Poles, Towers and Fixtures</t>
  </si>
  <si>
    <t>Overhead Conductors and Devices</t>
  </si>
  <si>
    <t>Underground Conduit</t>
  </si>
  <si>
    <t>Underground Conductors and Devices</t>
  </si>
  <si>
    <t>Other Installations on Customer's Premises</t>
  </si>
  <si>
    <t>Leased Property on Customer Premises</t>
  </si>
  <si>
    <t>Street Lighting and Signal Systems</t>
  </si>
  <si>
    <t>Office Furniture and Equipment</t>
  </si>
  <si>
    <t>Computer Equipment - Hardware</t>
  </si>
  <si>
    <t>Tools, Shop and Garage Equipment</t>
  </si>
  <si>
    <t>Measurement and Testing Equipment</t>
  </si>
  <si>
    <t>Power Operated Equipment</t>
  </si>
  <si>
    <t>Communication Equipment</t>
  </si>
  <si>
    <t xml:space="preserve">Load Management Controls - Customer Premises </t>
  </si>
  <si>
    <t>Load Management Controls - Utility Premises</t>
  </si>
  <si>
    <t>Sentinel Lighting Rentals</t>
  </si>
  <si>
    <t>Other Tangible Property</t>
  </si>
  <si>
    <t>Contributions and Grants</t>
  </si>
  <si>
    <t>Property Under Capital Leases</t>
  </si>
  <si>
    <t>Electric Plant Purchased or Sold</t>
  </si>
  <si>
    <t>Experimental Electric Plant Unclassified</t>
  </si>
  <si>
    <t>Electric Plant and Equipment Leased to Others</t>
  </si>
  <si>
    <t>Electric Plant Held for Future Use</t>
  </si>
  <si>
    <t>Completed Construction Not Classified--Electric</t>
  </si>
  <si>
    <t>Construction Work in Progress--Electric</t>
  </si>
  <si>
    <t>Electric Plant Acquisition Adjustment</t>
  </si>
  <si>
    <t>Other Electric Plant Adjustment</t>
  </si>
  <si>
    <t>Other Utility Plant</t>
  </si>
  <si>
    <t>Non-Utility Property Owned or Under Capital Lease</t>
  </si>
  <si>
    <t>Accumulated Amortization of Electric Utility Plant - Property, Plant and Equipment</t>
  </si>
  <si>
    <t>Accumulated Amortization of Electric Utility Plant - Intangibles</t>
  </si>
  <si>
    <t>Accumulated Amortization of Electric Plant Acquisition Adjustment</t>
  </si>
  <si>
    <t>Accumulated Amortization of Other Utility Plant</t>
  </si>
  <si>
    <t>Accumulated Amortization of Non-Utility Property</t>
  </si>
  <si>
    <t>Accounts Payable</t>
  </si>
  <si>
    <t>Customer Credit Balances</t>
  </si>
  <si>
    <t xml:space="preserve">Current Portion of Customer Deposits </t>
  </si>
  <si>
    <t>Dividends Declared</t>
  </si>
  <si>
    <t>Miscellaneous Current and Accrued Liabilities</t>
  </si>
  <si>
    <t>Notes and Loans Payable</t>
  </si>
  <si>
    <t>Accounts Payable to Associated Companies</t>
  </si>
  <si>
    <t>Notes Payable to Associated Companies</t>
  </si>
  <si>
    <t>Transmission Charges Payable</t>
  </si>
  <si>
    <t>Electric Safety Authority Fees Payable</t>
  </si>
  <si>
    <t>Independent Market Operator Fees and Penalties Payable</t>
  </si>
  <si>
    <t>Current Portion of Long Term Debt</t>
  </si>
  <si>
    <t>Ontario Hydro Debt - Current Portion</t>
  </si>
  <si>
    <t>Pensions and Employee Benefits - Current Portion</t>
  </si>
  <si>
    <t>Accrued Interest on Long Term Debt</t>
  </si>
  <si>
    <t>Matured Long Term Debt</t>
  </si>
  <si>
    <t>Matured Interest on Long Term Debt</t>
  </si>
  <si>
    <t>Obligations Under Capital Leases--Current</t>
  </si>
  <si>
    <t>Commodity Taxes</t>
  </si>
  <si>
    <t>Payroll Deductions / Expenses Payable</t>
  </si>
  <si>
    <t>Accrual for Taxes, "Payments in Lieu" of Taxes, Etc.</t>
  </si>
  <si>
    <t>Future Income Taxes - Current</t>
  </si>
  <si>
    <t>Accumulated Provision for Injuries and Damages</t>
  </si>
  <si>
    <t>Employee Future Benefits</t>
  </si>
  <si>
    <t>Other Pensions - Past Service Liability</t>
  </si>
  <si>
    <t>Vested Sick Leave Liability</t>
  </si>
  <si>
    <t>Accumulated Provision for Rate Refunds</t>
  </si>
  <si>
    <t>Obligations Under Capital Lease--Non-Current</t>
  </si>
  <si>
    <t>Devolpment Charge Fund</t>
  </si>
  <si>
    <t>Long Term Customer Deposits</t>
  </si>
  <si>
    <t>Collateral Funds Liability</t>
  </si>
  <si>
    <t>Unamortized Premium on Long Term Debt</t>
  </si>
  <si>
    <t>O.M.E.R.S. - Past Service Liability - Long Term Portion</t>
  </si>
  <si>
    <t>Future Income Tax - Non-Current</t>
  </si>
  <si>
    <t>Deferred Gains From Disposition of Utility Plant</t>
  </si>
  <si>
    <t>Unamortized Gain on Reacquired Debt</t>
  </si>
  <si>
    <t>Other Deferred Credits</t>
  </si>
  <si>
    <t>Accrued Rate-Payer Benefit</t>
  </si>
  <si>
    <t>Debentures Outstanding - Long Term Portion</t>
  </si>
  <si>
    <t>Debenture Advances</t>
  </si>
  <si>
    <t>Required Bonds</t>
  </si>
  <si>
    <t>Other Long Term Debt</t>
  </si>
  <si>
    <t>Term Bank Loans - Long Term Portion</t>
  </si>
  <si>
    <t>Ontario Hydro Debt Outstanding - Long Term Portion</t>
  </si>
  <si>
    <t>Advances from Associated Companies</t>
  </si>
  <si>
    <t>Preference Shares Issued</t>
  </si>
  <si>
    <t>Contributed Surplus</t>
  </si>
  <si>
    <t>Donations Received</t>
  </si>
  <si>
    <t>Devolpment Charges Transferred to Equity</t>
  </si>
  <si>
    <t>Capital Stock Held in Treasury</t>
  </si>
  <si>
    <t>Miscellaneous Paid-In Capital</t>
  </si>
  <si>
    <t>Installments Received on Capital Stock</t>
  </si>
  <si>
    <t>Appropriated Retained Earnings</t>
  </si>
  <si>
    <t>Unappropriated Retained Earnings</t>
  </si>
  <si>
    <t>Balance Transferred From Income</t>
  </si>
  <si>
    <t>Appropriations of Retained Earnings - Current Period</t>
  </si>
  <si>
    <t>Dividends Payable-Preference Shares</t>
  </si>
  <si>
    <t>Dividends Payable-Common Shares</t>
  </si>
  <si>
    <t xml:space="preserve">Adjustment to Retained Earnings                 </t>
  </si>
  <si>
    <t>Unappropriated Undistributed Subsidiary Earnings</t>
  </si>
  <si>
    <t>Residential Energy Sales</t>
  </si>
  <si>
    <t>Street Lighting Energy Sales</t>
  </si>
  <si>
    <t>Sentinel Energy Sales</t>
  </si>
  <si>
    <t>General Energy Sales</t>
  </si>
  <si>
    <t>Other Energy Sales to Public Authorities</t>
  </si>
  <si>
    <t>Energy Sales to Railroads and Railways</t>
  </si>
  <si>
    <t>Revenue Adjustment</t>
  </si>
  <si>
    <t>Interdepartmental Energy Sales</t>
  </si>
  <si>
    <t>WMS</t>
  </si>
  <si>
    <t>LV Charges</t>
  </si>
  <si>
    <t>Distribution Services Revenue</t>
  </si>
  <si>
    <t>RS Rev</t>
  </si>
  <si>
    <t>Serv Tx Requests</t>
  </si>
  <si>
    <t>Electric Services Incidental to Energy Sales</t>
  </si>
  <si>
    <t>Interdepartmental Rents</t>
  </si>
  <si>
    <t>Rent from Electric Property</t>
  </si>
  <si>
    <t>Other Utility Operating Income</t>
  </si>
  <si>
    <t>Other Electric Revenues</t>
  </si>
  <si>
    <t>Late Payment Charges</t>
  </si>
  <si>
    <t>Sales of Water and Water Power</t>
  </si>
  <si>
    <t>Miscellaneous Service Revenues</t>
  </si>
  <si>
    <t>Provision for Rate Refunds</t>
  </si>
  <si>
    <t>Government Assistance Directly Credited to Income</t>
  </si>
  <si>
    <t>Regulatory Debits</t>
  </si>
  <si>
    <t>Regulatory Credits</t>
  </si>
  <si>
    <t>Revenues from Electric Plant Leased to Others</t>
  </si>
  <si>
    <t>Expenses of Electric Plant Leased to Others</t>
  </si>
  <si>
    <t>Revenues from Merchandise, Jobbing, Etc.</t>
  </si>
  <si>
    <t>Costs and Expenses of Merchandising, Jobbing, Etc</t>
  </si>
  <si>
    <t>Profits and Losses from Financial Instrument Hedges</t>
  </si>
  <si>
    <t>Profits and Losses from Financial Instrument Investments</t>
  </si>
  <si>
    <t>Gains from Disposition of Future Use Utility Plant</t>
  </si>
  <si>
    <t>Losses from Disposition of Future Use Utility Plant</t>
  </si>
  <si>
    <t>Gain on Disposition of Utility and Other Property</t>
  </si>
  <si>
    <t>Loss on Disposition of Utility and Other Property</t>
  </si>
  <si>
    <t>Gains from Disposition of Allowances for Emission</t>
  </si>
  <si>
    <t>Losses from Disposition of Allowances for Emission</t>
  </si>
  <si>
    <t>Revenues from Non-Utility Operations</t>
  </si>
  <si>
    <t>Expenses of Non-Utility Operations</t>
  </si>
  <si>
    <t>Miscellaneous Non-Operating Income</t>
  </si>
  <si>
    <t>Rate-Payer Benefit Including Interest</t>
  </si>
  <si>
    <t>Foreign Exchange Gains and Losses, Including Amortization</t>
  </si>
  <si>
    <t>Interest and Dividend Income</t>
  </si>
  <si>
    <t>Equity in Earnings of Subsidiary Companies</t>
  </si>
  <si>
    <t>NW</t>
  </si>
  <si>
    <t>NCN</t>
  </si>
  <si>
    <t>Operation Supervision and Engineering</t>
  </si>
  <si>
    <t>Load Dispatching</t>
  </si>
  <si>
    <t>Station Buildings and Fixtures Expense</t>
  </si>
  <si>
    <t>Transformer Station Equipment - Operation Labour</t>
  </si>
  <si>
    <t>Transformer Station Equipment - Operation Supplies and Expenses</t>
  </si>
  <si>
    <t>Distribution Station Equipment - Operation Labour</t>
  </si>
  <si>
    <t>Distribution Station Equipment - Operation Supplies and Expenses</t>
  </si>
  <si>
    <t>Overhead Distribution Lines and Feeders - Operation Labour</t>
  </si>
  <si>
    <t>Overhead Distribution Lines and Feeders - Operation Supplies and Expenses</t>
  </si>
  <si>
    <t>Overhead Subtransmission Feeders - Operation</t>
  </si>
  <si>
    <t>Overhead Distribution Transformers - Operation</t>
  </si>
  <si>
    <t>Underground Distribution Lines and Feeders - Operation Labour</t>
  </si>
  <si>
    <t>Underground Distribution Lines and Feeders - Operation Supplies and Expenses</t>
  </si>
  <si>
    <t>Underground Subtransmission Feeders - Operation</t>
  </si>
  <si>
    <t>Underground Distribution Transformers - Operation</t>
  </si>
  <si>
    <t>Street Lighting and Signal System Expense</t>
  </si>
  <si>
    <t>Meter Expense</t>
  </si>
  <si>
    <t>Customer Premises - Operation Labour</t>
  </si>
  <si>
    <t>Customer Premises - Materials and Expenses</t>
  </si>
  <si>
    <t>Miscellaneous Distribution Expense</t>
  </si>
  <si>
    <t>Underground Distribution Lines and Feeders - Rental Paid</t>
  </si>
  <si>
    <t>Overhead Distribution Lines and Feeders - Rental Paid</t>
  </si>
  <si>
    <t>Other Rent</t>
  </si>
  <si>
    <t>Maintenance Supervision and Engineering</t>
  </si>
  <si>
    <t>Maintenance of Structures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</si>
  <si>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</si>
  <si>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</si>
  <si>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</si>
  <si>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</si>
  <si>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Net Income - (Gain)/Loss</t>
  </si>
  <si>
    <t>Communication</t>
  </si>
  <si>
    <t>Extraordinary Event Losses</t>
  </si>
  <si>
    <t>Recovery of Regulatory Assets (25% of 2002 bal.)</t>
  </si>
  <si>
    <t>Competition Transition Charges Payable</t>
  </si>
  <si>
    <t>2010</t>
  </si>
  <si>
    <t>As at December 31, 2008</t>
  </si>
  <si>
    <t>As at December 31, 2009</t>
  </si>
  <si>
    <t>As at December 31, 2010</t>
  </si>
  <si>
    <t>2010 BALANCE SHEET</t>
  </si>
  <si>
    <t>2010 STATEMENT OF INCOME AND RETAINED EARNINGS</t>
  </si>
  <si>
    <t>CCA Continuity Schedule (2010)</t>
  </si>
  <si>
    <t>2009 Bridge</t>
  </si>
  <si>
    <t>2010 Test</t>
  </si>
  <si>
    <t>CONTINUITY OF RESERVES FOR 2010</t>
  </si>
  <si>
    <t>Determination of Tax Adjustments to Accounting Income for 2010</t>
  </si>
  <si>
    <t>2009 Bridge Actual</t>
  </si>
  <si>
    <t>2010 Test     Existing Rates</t>
  </si>
  <si>
    <t>2010 Test - Required Revenue</t>
  </si>
  <si>
    <t>2010 Capital Taxes</t>
  </si>
  <si>
    <t>2010 PILs Schedule</t>
  </si>
  <si>
    <t>2010 Total Taxes</t>
  </si>
  <si>
    <t>10' Rev Def</t>
  </si>
  <si>
    <t>Average Fixed Asset Balance for 2009</t>
  </si>
  <si>
    <t>Average Fixed Asset Balance for 2010</t>
  </si>
  <si>
    <t>WORKING CAPITAL ALLOWANCE FOR 2010</t>
  </si>
  <si>
    <t>RATE BASE CALCULATION FOR 2010</t>
  </si>
  <si>
    <t>Fixed Assets Opening Balance 2010</t>
  </si>
  <si>
    <t>Fixed Assets Closing Balance 2010</t>
  </si>
  <si>
    <t>Shareholder loan</t>
  </si>
  <si>
    <t xml:space="preserve">2006 Total Long Term Debt      </t>
  </si>
  <si>
    <t xml:space="preserve">2007 Total Long Term Debt      </t>
  </si>
  <si>
    <t xml:space="preserve">2008 Total Long Term Debt      </t>
  </si>
  <si>
    <t xml:space="preserve">2009 Total Long Term Debt      </t>
  </si>
  <si>
    <t xml:space="preserve">2010 Total Long Term Debt      </t>
  </si>
  <si>
    <t>Total Interest Cost for 2010</t>
  </si>
  <si>
    <t>Weighted Debt Cost Rate for 2010</t>
  </si>
  <si>
    <t>Deemed Capital Structure for 2006</t>
  </si>
  <si>
    <t>Deemed Capital Structure for 2007</t>
  </si>
  <si>
    <t>Deemed Capital Structure for 2008</t>
  </si>
  <si>
    <t>Deemed Capital Structure for 2009</t>
  </si>
  <si>
    <t>Deemed Capital Structure for 2010</t>
  </si>
  <si>
    <t>RCVA - Retail</t>
  </si>
  <si>
    <t>North Bay Hydro Distribution Ltd.</t>
  </si>
  <si>
    <r>
      <t xml:space="preserve">Name:  </t>
    </r>
    <r>
      <rPr>
        <sz val="10"/>
        <rFont val="Arial"/>
        <family val="0"/>
      </rPr>
      <t>Todd Wilcox</t>
    </r>
  </si>
  <si>
    <r>
      <t xml:space="preserve">E-mail:  </t>
    </r>
    <r>
      <rPr>
        <sz val="10"/>
        <rFont val="Arial"/>
        <family val="2"/>
      </rPr>
      <t>twilcox@northbayhydro.com</t>
    </r>
  </si>
  <si>
    <r>
      <t xml:space="preserve">Telephone:  </t>
    </r>
    <r>
      <rPr>
        <sz val="10"/>
        <rFont val="Arial"/>
        <family val="2"/>
      </rPr>
      <t>705-474-8100</t>
    </r>
  </si>
  <si>
    <t>August 28, 2009</t>
  </si>
  <si>
    <t>Non-Utility Rental Income</t>
  </si>
  <si>
    <t xml:space="preserve">Check </t>
  </si>
  <si>
    <t>Per above</t>
  </si>
  <si>
    <t>Variance</t>
  </si>
  <si>
    <t>Per F/S</t>
  </si>
  <si>
    <t>Rounding variance</t>
  </si>
  <si>
    <t>Intangible Plant - Organization</t>
  </si>
  <si>
    <t>Intangible Plant - Misc. Intangible Plant</t>
  </si>
  <si>
    <t>Recovery of Regulatory Asset Balances</t>
  </si>
  <si>
    <t>1600 - Intangible Plant</t>
  </si>
  <si>
    <t>1600 - Intangible Plant Total</t>
  </si>
  <si>
    <t>City of North Bay</t>
  </si>
  <si>
    <t>Balance at December 31, 2008 Actual Year as per tax returns</t>
  </si>
  <si>
    <t>N</t>
  </si>
  <si>
    <t>Income Tax Expense Before Tax Credit</t>
  </si>
  <si>
    <t>Tax Credits</t>
  </si>
  <si>
    <t>Income Tax Expense After Tax Credit</t>
  </si>
  <si>
    <t>Override of Capital Tax</t>
  </si>
  <si>
    <t>As at December 31, 2004</t>
  </si>
  <si>
    <t>As at December 31, 2005</t>
  </si>
  <si>
    <t>ED-2003-0024</t>
  </si>
  <si>
    <t>EB-2009-0270</t>
  </si>
  <si>
    <t>Short-Term Debt</t>
  </si>
  <si>
    <t>Bank Loan # 2</t>
  </si>
  <si>
    <t>Bank Loan # 1</t>
  </si>
  <si>
    <t>Computers &amp; Systems Hardware (100% deductible)</t>
  </si>
  <si>
    <t>Transformer Station Equipment -  &gt; 50 kV</t>
  </si>
  <si>
    <t>Distribution Station Equipment - &lt; 50 kV</t>
  </si>
  <si>
    <t>Per Trial Balance</t>
  </si>
  <si>
    <t>Infrastructure Ontario</t>
  </si>
  <si>
    <t>September 30, 2009</t>
  </si>
  <si>
    <t>August 30, 2010</t>
  </si>
  <si>
    <t>Maintenance of Distribution Station Equipment</t>
  </si>
  <si>
    <t>Transformer Station Equipment - &gt; 50 kV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</si>
</sst>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_);_(* \(#,##0.00\);_(* &quot;-&quot;_);_(@_)"/>
    <numFmt numFmtId="173" formatCode="#,##0_ ;\-#,##0\ "/>
    <numFmt numFmtId="174" formatCode="#,##0.00_ ;\-#,##0.00\ "/>
    <numFmt numFmtId="175" formatCode="0.0000%"/>
    <numFmt numFmtId="176" formatCode="0.000%"/>
    <numFmt numFmtId="177" formatCode="_-* #,##0_-;\-* #,##0_-;_-* &quot;-&quot;??_-;_-@_-"/>
    <numFmt numFmtId="178" formatCode="0.0%"/>
    <numFmt numFmtId="179" formatCode="0.000000000000000%"/>
    <numFmt numFmtId="180" formatCode="_(* #,##0\);_(* \(#,##0\);_(* &quot;-&quot;??_);_(@_)"/>
    <numFmt numFmtId="181" formatCode="_(* #,##0_);_(* \(#,##0\);_(* &quot;-&quot;??_);_(@_)"/>
    <numFmt numFmtId="182" formatCode="&quot;$&quot;#,##0.00;[Red]\-&quot;$&quot;#\(##0.00\)"/>
    <numFmt numFmtId="183" formatCode="&quot;$&quot;#,##0.00;[Red]\(&quot;$&quot;###0.00\)"/>
    <numFmt numFmtId="184" formatCode="&quot;$&quot;#,##0.00;[Red]\(&quot;$&quot;#,##0.00\)"/>
    <numFmt numFmtId="185" formatCode="#,##0;[Red]\(#,##0.00\)"/>
    <numFmt numFmtId="186" formatCode="#,##0.00;[Red]\(#,##0.00\)"/>
    <numFmt numFmtId="187" formatCode="#,##0.00_ ;\(#,##0.00\)\ "/>
    <numFmt numFmtId="188" formatCode="#,##0_);\(#,##0.00\)"/>
    <numFmt numFmtId="189" formatCode="#,##0.0;\-#,##0.0"/>
    <numFmt numFmtId="190" formatCode="mmmm\ d\,\ yyyy"/>
    <numFmt numFmtId="191" formatCode="#,##0.00;\(#,##0.00\)"/>
    <numFmt numFmtId="192" formatCode="_-* #,##0.0_-;\-* #,##0.0_-;_-* &quot;-&quot;??_-;_-@_-"/>
    <numFmt numFmtId="193" formatCode="_-* #,##0.000_-;\-* #,##0.000_-;_-* &quot;-&quot;??_-;_-@_-"/>
    <numFmt numFmtId="194" formatCode="#,##0.0000000000_);\(#,##0.0000000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* #,##0.0_);_(* \(#,##0.0\);_(* &quot;-&quot;??_);_(@_)"/>
    <numFmt numFmtId="200" formatCode="_(* #,##0.0_);_(* \(#,##0.0\);_(* &quot;-&quot;_);_(@_)"/>
    <numFmt numFmtId="201" formatCode="#,##0.0;[Red]\(#,##0.0\)"/>
    <numFmt numFmtId="202" formatCode="#,##0;[Red]\(#,##0\)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1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4"/>
      <color indexed="63"/>
      <name val="Times New Roman"/>
      <family val="1"/>
    </font>
    <font>
      <sz val="9"/>
      <color indexed="9"/>
      <name val="Arial"/>
      <family val="2"/>
    </font>
    <font>
      <b/>
      <sz val="11"/>
      <color indexed="63"/>
      <name val="Arial"/>
      <family val="2"/>
    </font>
    <font>
      <b/>
      <sz val="9"/>
      <name val="Arial"/>
      <family val="2"/>
    </font>
    <font>
      <b/>
      <vertAlign val="superscript"/>
      <sz val="9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0"/>
    </font>
    <font>
      <sz val="9"/>
      <name val="Times New Roman"/>
      <family val="1"/>
    </font>
    <font>
      <b/>
      <sz val="12"/>
      <color indexed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top"/>
      <protection locked="0"/>
    </xf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62">
    <xf numFmtId="0" fontId="0" fillId="0" borderId="0" xfId="0" applyAlignment="1">
      <alignment/>
    </xf>
    <xf numFmtId="0" fontId="0" fillId="0" borderId="0" xfId="30" applyNumberFormat="1" applyAlignment="1">
      <alignment horizontal="center" vertical="center"/>
      <protection/>
    </xf>
    <xf numFmtId="172" fontId="1" fillId="0" borderId="0" xfId="30" applyNumberFormat="1" applyFont="1" applyAlignment="1">
      <alignment vertical="center"/>
      <protection/>
    </xf>
    <xf numFmtId="172" fontId="0" fillId="0" borderId="0" xfId="30" applyNumberFormat="1" applyAlignment="1">
      <alignment vertical="center"/>
      <protection/>
    </xf>
    <xf numFmtId="172" fontId="2" fillId="0" borderId="0" xfId="30" applyNumberFormat="1" applyFont="1" applyAlignment="1">
      <alignment vertical="center"/>
      <protection/>
    </xf>
    <xf numFmtId="0" fontId="0" fillId="0" borderId="2" xfId="30" applyNumberFormat="1" applyBorder="1" applyAlignment="1">
      <alignment horizontal="center" vertical="center"/>
      <protection/>
    </xf>
    <xf numFmtId="172" fontId="1" fillId="0" borderId="2" xfId="30" applyNumberFormat="1" applyFont="1" applyBorder="1" applyAlignment="1">
      <alignment vertical="center"/>
      <protection/>
    </xf>
    <xf numFmtId="172" fontId="0" fillId="2" borderId="2" xfId="30" applyNumberFormat="1" applyFill="1" applyBorder="1" applyAlignment="1">
      <alignment vertical="center"/>
      <protection/>
    </xf>
    <xf numFmtId="172" fontId="2" fillId="0" borderId="3" xfId="30" applyNumberFormat="1" applyFont="1" applyBorder="1" applyAlignment="1">
      <alignment vertical="center"/>
      <protection/>
    </xf>
    <xf numFmtId="172" fontId="4" fillId="0" borderId="4" xfId="30" applyNumberFormat="1" applyFont="1" applyBorder="1" applyAlignment="1">
      <alignment vertical="center"/>
      <protection/>
    </xf>
    <xf numFmtId="0" fontId="5" fillId="0" borderId="0" xfId="32">
      <alignment/>
      <protection/>
    </xf>
    <xf numFmtId="0" fontId="5" fillId="0" borderId="0" xfId="28">
      <alignment/>
      <protection/>
    </xf>
    <xf numFmtId="172" fontId="2" fillId="0" borderId="0" xfId="32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30" applyNumberFormat="1" applyBorder="1" applyAlignment="1">
      <alignment horizontal="center" vertical="center"/>
      <protection/>
    </xf>
    <xf numFmtId="172" fontId="1" fillId="0" borderId="0" xfId="30" applyNumberFormat="1" applyFont="1" applyFill="1" applyBorder="1" applyAlignment="1">
      <alignment vertical="center"/>
      <protection/>
    </xf>
    <xf numFmtId="172" fontId="0" fillId="0" borderId="0" xfId="30" applyNumberFormat="1" applyBorder="1" applyAlignment="1">
      <alignment vertical="center"/>
      <protection/>
    </xf>
    <xf numFmtId="172" fontId="1" fillId="0" borderId="0" xfId="30" applyNumberFormat="1" applyFont="1" applyBorder="1" applyAlignment="1">
      <alignment vertical="center"/>
      <protection/>
    </xf>
    <xf numFmtId="172" fontId="0" fillId="0" borderId="0" xfId="30" applyNumberFormat="1" applyFill="1" applyBorder="1" applyAlignment="1">
      <alignment vertical="center"/>
      <protection/>
    </xf>
    <xf numFmtId="0" fontId="0" fillId="0" borderId="0" xfId="0" applyAlignment="1">
      <alignment wrapText="1"/>
    </xf>
    <xf numFmtId="17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30" applyNumberFormat="1" applyFill="1" applyBorder="1" applyAlignment="1">
      <alignment horizontal="center" vertical="center"/>
      <protection/>
    </xf>
    <xf numFmtId="172" fontId="0" fillId="0" borderId="5" xfId="30" applyNumberFormat="1" applyFill="1" applyBorder="1" applyAlignment="1">
      <alignment vertical="center"/>
      <protection/>
    </xf>
    <xf numFmtId="172" fontId="2" fillId="3" borderId="6" xfId="30" applyNumberFormat="1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172" fontId="2" fillId="4" borderId="6" xfId="30" applyNumberFormat="1" applyFont="1" applyFill="1" applyBorder="1" applyAlignment="1">
      <alignment vertical="center"/>
      <protection/>
    </xf>
    <xf numFmtId="0" fontId="0" fillId="0" borderId="7" xfId="32" applyFont="1" applyFill="1" applyBorder="1" applyAlignment="1">
      <alignment horizontal="left"/>
      <protection/>
    </xf>
    <xf numFmtId="0" fontId="0" fillId="0" borderId="0" xfId="32" applyFont="1" applyFill="1" applyBorder="1" applyAlignment="1">
      <alignment horizontal="left"/>
      <protection/>
    </xf>
    <xf numFmtId="0" fontId="5" fillId="0" borderId="0" xfId="32" applyAlignment="1">
      <alignment horizontal="left"/>
      <protection/>
    </xf>
    <xf numFmtId="0" fontId="0" fillId="0" borderId="0" xfId="0" applyAlignment="1">
      <alignment horizontal="left"/>
    </xf>
    <xf numFmtId="172" fontId="2" fillId="3" borderId="6" xfId="32" applyNumberFormat="1" applyFont="1" applyFill="1" applyBorder="1">
      <alignment/>
      <protection/>
    </xf>
    <xf numFmtId="0" fontId="0" fillId="0" borderId="5" xfId="32" applyFont="1" applyFill="1" applyBorder="1" applyAlignment="1">
      <alignment horizontal="left"/>
      <protection/>
    </xf>
    <xf numFmtId="172" fontId="0" fillId="0" borderId="2" xfId="30" applyNumberFormat="1" applyFill="1" applyBorder="1" applyAlignment="1">
      <alignment vertical="center"/>
      <protection/>
    </xf>
    <xf numFmtId="0" fontId="11" fillId="3" borderId="8" xfId="32" applyFont="1" applyFill="1" applyBorder="1" applyAlignment="1">
      <alignment horizontal="center"/>
      <protection/>
    </xf>
    <xf numFmtId="0" fontId="11" fillId="3" borderId="9" xfId="32" applyFont="1" applyFill="1" applyBorder="1" applyAlignment="1">
      <alignment horizontal="center"/>
      <protection/>
    </xf>
    <xf numFmtId="0" fontId="11" fillId="3" borderId="10" xfId="32" applyFont="1" applyFill="1" applyBorder="1" applyAlignment="1">
      <alignment horizontal="center"/>
      <protection/>
    </xf>
    <xf numFmtId="0" fontId="11" fillId="4" borderId="9" xfId="32" applyFont="1" applyFill="1" applyBorder="1" applyAlignment="1">
      <alignment horizontal="center"/>
      <protection/>
    </xf>
    <xf numFmtId="0" fontId="11" fillId="3" borderId="9" xfId="28" applyFont="1" applyFill="1" applyBorder="1" applyAlignment="1">
      <alignment horizontal="center"/>
      <protection/>
    </xf>
    <xf numFmtId="0" fontId="9" fillId="4" borderId="9" xfId="28" applyFont="1" applyFill="1" applyBorder="1" applyAlignment="1">
      <alignment horizontal="center"/>
      <protection/>
    </xf>
    <xf numFmtId="0" fontId="0" fillId="0" borderId="5" xfId="0" applyBorder="1" applyAlignment="1">
      <alignment/>
    </xf>
    <xf numFmtId="0" fontId="0" fillId="0" borderId="5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10" fontId="2" fillId="0" borderId="15" xfId="34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" xfId="0" applyFont="1" applyFill="1" applyBorder="1" applyAlignment="1">
      <alignment/>
    </xf>
    <xf numFmtId="10" fontId="0" fillId="0" borderId="5" xfId="34" applyNumberFormat="1" applyFont="1" applyFill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 horizontal="center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center"/>
    </xf>
    <xf numFmtId="10" fontId="0" fillId="0" borderId="0" xfId="34" applyNumberFormat="1" applyAlignment="1">
      <alignment horizontal="center"/>
    </xf>
    <xf numFmtId="10" fontId="0" fillId="0" borderId="19" xfId="34" applyNumberFormat="1" applyBorder="1" applyAlignment="1">
      <alignment horizontal="center"/>
    </xf>
    <xf numFmtId="10" fontId="0" fillId="0" borderId="0" xfId="34" applyNumberFormat="1" applyBorder="1" applyAlignment="1">
      <alignment horizontal="center"/>
    </xf>
    <xf numFmtId="0" fontId="9" fillId="4" borderId="5" xfId="32" applyFont="1" applyFill="1" applyBorder="1" applyAlignment="1">
      <alignment horizontal="center"/>
      <protection/>
    </xf>
    <xf numFmtId="0" fontId="9" fillId="4" borderId="20" xfId="32" applyFont="1" applyFill="1" applyBorder="1" applyAlignment="1">
      <alignment horizontal="center"/>
      <protection/>
    </xf>
    <xf numFmtId="0" fontId="2" fillId="4" borderId="5" xfId="0" applyFont="1" applyFill="1" applyBorder="1" applyAlignment="1">
      <alignment horizontal="center"/>
    </xf>
    <xf numFmtId="171" fontId="2" fillId="4" borderId="5" xfId="15" applyFont="1" applyFill="1" applyBorder="1" applyAlignment="1">
      <alignment horizontal="center"/>
    </xf>
    <xf numFmtId="10" fontId="0" fillId="2" borderId="5" xfId="34" applyNumberFormat="1" applyFont="1" applyFill="1" applyBorder="1" applyAlignment="1">
      <alignment horizontal="center"/>
    </xf>
    <xf numFmtId="9" fontId="0" fillId="0" borderId="0" xfId="34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3" fontId="2" fillId="4" borderId="2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0" fillId="2" borderId="0" xfId="34" applyNumberFormat="1" applyFill="1" applyAlignment="1">
      <alignment horizontal="center"/>
    </xf>
    <xf numFmtId="176" fontId="0" fillId="2" borderId="0" xfId="34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wrapText="1"/>
    </xf>
    <xf numFmtId="0" fontId="2" fillId="4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wrapText="1"/>
    </xf>
    <xf numFmtId="0" fontId="2" fillId="5" borderId="5" xfId="0" applyFont="1" applyFill="1" applyBorder="1" applyAlignment="1">
      <alignment horizontal="center" wrapText="1"/>
    </xf>
    <xf numFmtId="9" fontId="0" fillId="0" borderId="5" xfId="0" applyNumberFormat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71" fontId="0" fillId="2" borderId="5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3" fontId="0" fillId="0" borderId="19" xfId="0" applyNumberFormat="1" applyBorder="1" applyAlignment="1">
      <alignment/>
    </xf>
    <xf numFmtId="9" fontId="0" fillId="2" borderId="0" xfId="0" applyNumberFormat="1" applyFill="1" applyBorder="1" applyAlignment="1">
      <alignment/>
    </xf>
    <xf numFmtId="0" fontId="19" fillId="6" borderId="22" xfId="33" applyFont="1" applyFill="1" applyBorder="1" applyAlignment="1" applyProtection="1">
      <alignment horizontal="center" vertical="center" wrapText="1"/>
      <protection/>
    </xf>
    <xf numFmtId="0" fontId="20" fillId="6" borderId="5" xfId="33" applyFont="1" applyFill="1" applyBorder="1" applyAlignment="1" applyProtection="1">
      <alignment vertical="center" wrapText="1"/>
      <protection/>
    </xf>
    <xf numFmtId="0" fontId="20" fillId="6" borderId="5" xfId="33" applyFont="1" applyFill="1" applyBorder="1" applyAlignment="1" applyProtection="1">
      <alignment horizontal="left" vertical="center" wrapText="1"/>
      <protection/>
    </xf>
    <xf numFmtId="0" fontId="21" fillId="6" borderId="23" xfId="33" applyFont="1" applyFill="1" applyBorder="1" applyAlignment="1" applyProtection="1">
      <alignment vertical="center"/>
      <protection/>
    </xf>
    <xf numFmtId="0" fontId="20" fillId="6" borderId="21" xfId="33" applyFont="1" applyFill="1" applyBorder="1" applyAlignment="1" applyProtection="1">
      <alignment vertical="center" wrapText="1"/>
      <protection/>
    </xf>
    <xf numFmtId="3" fontId="22" fillId="6" borderId="21" xfId="33" applyNumberFormat="1" applyFont="1" applyFill="1" applyBorder="1" applyAlignment="1" applyProtection="1">
      <alignment horizontal="right" vertical="center"/>
      <protection/>
    </xf>
    <xf numFmtId="3" fontId="20" fillId="6" borderId="21" xfId="33" applyNumberFormat="1" applyFont="1" applyFill="1" applyBorder="1" applyAlignment="1" applyProtection="1">
      <alignment horizontal="right" vertical="center"/>
      <protection/>
    </xf>
    <xf numFmtId="3" fontId="20" fillId="6" borderId="21" xfId="33" applyNumberFormat="1" applyFont="1" applyFill="1" applyBorder="1" applyAlignment="1" applyProtection="1">
      <alignment horizontal="center" vertical="center"/>
      <protection/>
    </xf>
    <xf numFmtId="3" fontId="20" fillId="6" borderId="21" xfId="33" applyNumberFormat="1" applyFont="1" applyFill="1" applyBorder="1" applyAlignment="1" applyProtection="1">
      <alignment vertical="center"/>
      <protection/>
    </xf>
    <xf numFmtId="0" fontId="20" fillId="6" borderId="5" xfId="33" applyFont="1" applyFill="1" applyBorder="1" applyAlignment="1" applyProtection="1" quotePrefix="1">
      <alignment horizontal="left" vertical="center" wrapText="1"/>
      <protection/>
    </xf>
    <xf numFmtId="0" fontId="21" fillId="6" borderId="5" xfId="33" applyFont="1" applyFill="1" applyBorder="1" applyAlignment="1" applyProtection="1">
      <alignment vertical="center"/>
      <protection/>
    </xf>
    <xf numFmtId="3" fontId="20" fillId="7" borderId="5" xfId="33" applyNumberFormat="1" applyFont="1" applyFill="1" applyBorder="1" applyAlignment="1" applyProtection="1">
      <alignment horizontal="center" vertical="center"/>
      <protection locked="0"/>
    </xf>
    <xf numFmtId="3" fontId="20" fillId="2" borderId="5" xfId="33" applyNumberFormat="1" applyFont="1" applyFill="1" applyBorder="1" applyAlignment="1" applyProtection="1">
      <alignment horizontal="center" vertical="center"/>
      <protection locked="0"/>
    </xf>
    <xf numFmtId="0" fontId="24" fillId="8" borderId="5" xfId="0" applyFont="1" applyFill="1" applyBorder="1" applyAlignment="1" applyProtection="1">
      <alignment horizontal="center" vertical="center" wrapText="1"/>
      <protection/>
    </xf>
    <xf numFmtId="3" fontId="26" fillId="8" borderId="5" xfId="15" applyNumberFormat="1" applyFont="1" applyFill="1" applyBorder="1" applyAlignment="1" applyProtection="1">
      <alignment/>
      <protection/>
    </xf>
    <xf numFmtId="3" fontId="26" fillId="2" borderId="5" xfId="15" applyNumberFormat="1" applyFont="1" applyFill="1" applyBorder="1" applyAlignment="1" applyProtection="1">
      <alignment vertical="center"/>
      <protection locked="0"/>
    </xf>
    <xf numFmtId="3" fontId="26" fillId="2" borderId="5" xfId="15" applyNumberFormat="1" applyFont="1" applyFill="1" applyBorder="1" applyAlignment="1" applyProtection="1">
      <alignment/>
      <protection locked="0"/>
    </xf>
    <xf numFmtId="0" fontId="2" fillId="9" borderId="5" xfId="33" applyFont="1" applyFill="1" applyBorder="1" applyAlignment="1" applyProtection="1">
      <alignment horizontal="center" vertical="center" wrapText="1"/>
      <protection/>
    </xf>
    <xf numFmtId="0" fontId="2" fillId="0" borderId="5" xfId="33" applyFont="1" applyFill="1" applyBorder="1" applyAlignment="1" applyProtection="1">
      <alignment vertical="center" wrapText="1"/>
      <protection/>
    </xf>
    <xf numFmtId="0" fontId="27" fillId="0" borderId="5" xfId="33" applyFont="1" applyFill="1" applyBorder="1" applyAlignment="1" applyProtection="1">
      <alignment vertical="center" wrapText="1"/>
      <protection/>
    </xf>
    <xf numFmtId="3" fontId="0" fillId="0" borderId="9" xfId="33" applyNumberFormat="1" applyFont="1" applyFill="1" applyBorder="1" applyAlignment="1" applyProtection="1">
      <alignment horizontal="center" vertical="center" wrapText="1"/>
      <protection/>
    </xf>
    <xf numFmtId="3" fontId="0" fillId="0" borderId="19" xfId="33" applyNumberFormat="1" applyFont="1" applyFill="1" applyBorder="1" applyAlignment="1" applyProtection="1">
      <alignment horizontal="center" vertical="center" wrapText="1"/>
      <protection/>
    </xf>
    <xf numFmtId="0" fontId="2" fillId="0" borderId="24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vertical="center" wrapText="1"/>
      <protection/>
    </xf>
    <xf numFmtId="0" fontId="2" fillId="0" borderId="8" xfId="33" applyFont="1" applyFill="1" applyBorder="1" applyAlignment="1" applyProtection="1">
      <alignment vertical="center" wrapText="1"/>
      <protection/>
    </xf>
    <xf numFmtId="0" fontId="28" fillId="0" borderId="25" xfId="33" applyFont="1" applyFill="1" applyBorder="1" applyAlignment="1" applyProtection="1">
      <alignment horizontal="center" vertical="center" wrapText="1"/>
      <protection/>
    </xf>
    <xf numFmtId="0" fontId="0" fillId="0" borderId="5" xfId="33" applyFont="1" applyFill="1" applyBorder="1" applyAlignment="1" applyProtection="1">
      <alignment vertical="center" wrapText="1"/>
      <protection/>
    </xf>
    <xf numFmtId="0" fontId="28" fillId="0" borderId="5" xfId="33" applyFont="1" applyFill="1" applyBorder="1" applyAlignment="1" applyProtection="1">
      <alignment vertical="center" wrapText="1"/>
      <protection/>
    </xf>
    <xf numFmtId="0" fontId="16" fillId="0" borderId="26" xfId="33" applyFont="1" applyFill="1" applyBorder="1" applyAlignment="1" applyProtection="1">
      <alignment horizontal="center" vertical="center" wrapText="1"/>
      <protection/>
    </xf>
    <xf numFmtId="0" fontId="16" fillId="0" borderId="27" xfId="33" applyFont="1" applyFill="1" applyBorder="1" applyAlignment="1" applyProtection="1">
      <alignment horizontal="center" vertical="center" wrapText="1"/>
      <protection/>
    </xf>
    <xf numFmtId="0" fontId="16" fillId="0" borderId="8" xfId="33" applyFont="1" applyFill="1" applyBorder="1" applyAlignment="1" applyProtection="1">
      <alignment horizontal="center" vertical="center" wrapText="1"/>
      <protection/>
    </xf>
    <xf numFmtId="0" fontId="16" fillId="0" borderId="25" xfId="33" applyFont="1" applyFill="1" applyBorder="1" applyAlignment="1" applyProtection="1">
      <alignment horizontal="center" vertical="center" wrapText="1"/>
      <protection/>
    </xf>
    <xf numFmtId="0" fontId="2" fillId="5" borderId="5" xfId="33" applyFont="1" applyFill="1" applyBorder="1" applyAlignment="1" applyProtection="1">
      <alignment horizontal="center" vertical="center"/>
      <protection/>
    </xf>
    <xf numFmtId="0" fontId="0" fillId="0" borderId="5" xfId="33" applyFont="1" applyFill="1" applyBorder="1" applyAlignment="1" applyProtection="1">
      <alignment horizontal="left" vertical="center" wrapText="1" indent="1"/>
      <protection/>
    </xf>
    <xf numFmtId="0" fontId="28" fillId="0" borderId="9" xfId="33" applyFont="1" applyFill="1" applyBorder="1" applyAlignment="1" applyProtection="1">
      <alignment vertical="center" wrapText="1"/>
      <protection/>
    </xf>
    <xf numFmtId="3" fontId="0" fillId="0" borderId="5" xfId="33" applyNumberFormat="1" applyFont="1" applyFill="1" applyBorder="1" applyAlignment="1" applyProtection="1">
      <alignment vertical="center" wrapText="1"/>
      <protection locked="0"/>
    </xf>
    <xf numFmtId="0" fontId="28" fillId="0" borderId="20" xfId="33" applyFont="1" applyFill="1" applyBorder="1" applyAlignment="1" applyProtection="1">
      <alignment vertical="center" wrapText="1"/>
      <protection/>
    </xf>
    <xf numFmtId="0" fontId="2" fillId="0" borderId="23" xfId="33" applyFont="1" applyFill="1" applyBorder="1" applyAlignment="1" applyProtection="1">
      <alignment horizontal="left" vertical="center" wrapText="1"/>
      <protection/>
    </xf>
    <xf numFmtId="0" fontId="28" fillId="0" borderId="22" xfId="33" applyFont="1" applyFill="1" applyBorder="1" applyAlignment="1" applyProtection="1">
      <alignment vertical="center" wrapText="1"/>
      <protection/>
    </xf>
    <xf numFmtId="3" fontId="0" fillId="0" borderId="5" xfId="33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5" xfId="33" applyFont="1" applyFill="1" applyBorder="1" applyAlignment="1" applyProtection="1">
      <alignment horizontal="left" vertical="center" wrapText="1"/>
      <protection/>
    </xf>
    <xf numFmtId="0" fontId="27" fillId="5" borderId="5" xfId="33" applyFont="1" applyFill="1" applyBorder="1" applyAlignment="1" applyProtection="1">
      <alignment horizontal="center" vertical="center" wrapText="1"/>
      <protection/>
    </xf>
    <xf numFmtId="41" fontId="29" fillId="2" borderId="28" xfId="33" applyNumberFormat="1" applyFont="1" applyFill="1" applyBorder="1" applyProtection="1">
      <alignment vertical="top"/>
      <protection/>
    </xf>
    <xf numFmtId="0" fontId="2" fillId="5" borderId="5" xfId="33" applyFont="1" applyFill="1" applyBorder="1" applyAlignment="1" applyProtection="1">
      <alignment horizontal="center" vertical="top" wrapText="1"/>
      <protection/>
    </xf>
    <xf numFmtId="171" fontId="2" fillId="5" borderId="20" xfId="15" applyFont="1" applyFill="1" applyBorder="1" applyAlignment="1">
      <alignment horizontal="center"/>
    </xf>
    <xf numFmtId="171" fontId="2" fillId="5" borderId="29" xfId="15" applyFont="1" applyFill="1" applyBorder="1" applyAlignment="1">
      <alignment horizontal="center"/>
    </xf>
    <xf numFmtId="0" fontId="0" fillId="0" borderId="26" xfId="29" applyFont="1" applyFill="1" applyBorder="1">
      <alignment/>
      <protection/>
    </xf>
    <xf numFmtId="37" fontId="0" fillId="0" borderId="20" xfId="29" applyNumberFormat="1" applyFont="1" applyFill="1" applyBorder="1">
      <alignment/>
      <protection/>
    </xf>
    <xf numFmtId="37" fontId="0" fillId="0" borderId="29" xfId="29" applyNumberFormat="1" applyFont="1" applyFill="1" applyBorder="1">
      <alignment/>
      <protection/>
    </xf>
    <xf numFmtId="0" fontId="0" fillId="0" borderId="24" xfId="29" applyFont="1" applyFill="1" applyBorder="1">
      <alignment/>
      <protection/>
    </xf>
    <xf numFmtId="37" fontId="29" fillId="0" borderId="30" xfId="29" applyNumberFormat="1" applyFont="1" applyFill="1" applyBorder="1">
      <alignment/>
      <protection/>
    </xf>
    <xf numFmtId="37" fontId="29" fillId="0" borderId="28" xfId="29" applyNumberFormat="1" applyFont="1" applyFill="1" applyBorder="1">
      <alignment/>
      <protection/>
    </xf>
    <xf numFmtId="0" fontId="0" fillId="0" borderId="24" xfId="29" applyFont="1" applyFill="1" applyBorder="1" applyAlignment="1">
      <alignment horizontal="left" indent="1"/>
      <protection/>
    </xf>
    <xf numFmtId="37" fontId="0" fillId="0" borderId="30" xfId="29" applyNumberFormat="1" applyFont="1" applyFill="1" applyBorder="1">
      <alignment/>
      <protection/>
    </xf>
    <xf numFmtId="176" fontId="29" fillId="0" borderId="30" xfId="34" applyNumberFormat="1" applyFont="1" applyFill="1" applyBorder="1" applyAlignment="1">
      <alignment/>
    </xf>
    <xf numFmtId="176" fontId="29" fillId="0" borderId="28" xfId="34" applyNumberFormat="1" applyFont="1" applyFill="1" applyBorder="1" applyAlignment="1">
      <alignment/>
    </xf>
    <xf numFmtId="37" fontId="0" fillId="0" borderId="28" xfId="34" applyNumberFormat="1" applyFont="1" applyFill="1" applyBorder="1" applyAlignment="1">
      <alignment/>
    </xf>
    <xf numFmtId="0" fontId="2" fillId="0" borderId="9" xfId="29" applyFont="1" applyFill="1" applyBorder="1" applyAlignment="1">
      <alignment horizontal="left" indent="1"/>
      <protection/>
    </xf>
    <xf numFmtId="37" fontId="2" fillId="0" borderId="5" xfId="29" applyNumberFormat="1" applyFont="1" applyFill="1" applyBorder="1">
      <alignment/>
      <protection/>
    </xf>
    <xf numFmtId="0" fontId="0" fillId="0" borderId="20" xfId="33" applyFont="1" applyFill="1" applyBorder="1" applyAlignment="1" applyProtection="1">
      <alignment vertical="center"/>
      <protection/>
    </xf>
    <xf numFmtId="41" fontId="0" fillId="0" borderId="20" xfId="33" applyNumberFormat="1" applyFont="1" applyFill="1" applyBorder="1" applyAlignment="1" applyProtection="1">
      <alignment vertical="center"/>
      <protection/>
    </xf>
    <xf numFmtId="41" fontId="0" fillId="0" borderId="29" xfId="33" applyNumberFormat="1" applyFont="1" applyFill="1" applyBorder="1" applyProtection="1">
      <alignment vertical="top"/>
      <protection/>
    </xf>
    <xf numFmtId="0" fontId="0" fillId="0" borderId="30" xfId="33" applyFont="1" applyFill="1" applyBorder="1" applyAlignment="1" applyProtection="1">
      <alignment horizontal="left" vertical="top"/>
      <protection/>
    </xf>
    <xf numFmtId="41" fontId="0" fillId="0" borderId="30" xfId="33" applyNumberFormat="1" applyFont="1" applyFill="1" applyBorder="1" applyAlignment="1" applyProtection="1">
      <alignment horizontal="left" vertical="top"/>
      <protection/>
    </xf>
    <xf numFmtId="41" fontId="0" fillId="0" borderId="28" xfId="33" applyNumberFormat="1" applyFont="1" applyFill="1" applyBorder="1" applyProtection="1">
      <alignment vertical="top"/>
      <protection/>
    </xf>
    <xf numFmtId="41" fontId="0" fillId="0" borderId="30" xfId="33" applyNumberFormat="1" applyFont="1" applyFill="1" applyBorder="1" applyAlignment="1" applyProtection="1">
      <alignment horizontal="left" vertical="top" indent="2"/>
      <protection/>
    </xf>
    <xf numFmtId="41" fontId="0" fillId="0" borderId="30" xfId="33" applyNumberFormat="1" applyFont="1" applyFill="1" applyBorder="1" applyProtection="1">
      <alignment vertical="top"/>
      <protection/>
    </xf>
    <xf numFmtId="41" fontId="29" fillId="0" borderId="30" xfId="33" applyNumberFormat="1" applyFont="1" applyFill="1" applyBorder="1" applyProtection="1">
      <alignment vertical="top"/>
      <protection/>
    </xf>
    <xf numFmtId="41" fontId="2" fillId="0" borderId="5" xfId="33" applyNumberFormat="1" applyFont="1" applyFill="1" applyBorder="1" applyProtection="1">
      <alignment vertical="top"/>
      <protection/>
    </xf>
    <xf numFmtId="0" fontId="2" fillId="5" borderId="5" xfId="33" applyFont="1" applyFill="1" applyBorder="1" applyAlignment="1" applyProtection="1">
      <alignment horizontal="center" vertical="center" wrapText="1"/>
      <protection/>
    </xf>
    <xf numFmtId="171" fontId="2" fillId="5" borderId="5" xfId="15" applyFont="1" applyFill="1" applyBorder="1" applyAlignment="1">
      <alignment horizontal="center"/>
    </xf>
    <xf numFmtId="41" fontId="0" fillId="2" borderId="28" xfId="33" applyNumberFormat="1" applyFont="1" applyFill="1" applyBorder="1" applyProtection="1">
      <alignment vertical="top"/>
      <protection/>
    </xf>
    <xf numFmtId="3" fontId="0" fillId="0" borderId="31" xfId="0" applyNumberFormat="1" applyBorder="1" applyAlignment="1">
      <alignment/>
    </xf>
    <xf numFmtId="0" fontId="0" fillId="0" borderId="11" xfId="31" applyFont="1" applyFill="1" applyBorder="1">
      <alignment/>
      <protection/>
    </xf>
    <xf numFmtId="173" fontId="0" fillId="0" borderId="13" xfId="31" applyNumberFormat="1" applyFont="1" applyFill="1" applyBorder="1">
      <alignment/>
      <protection/>
    </xf>
    <xf numFmtId="0" fontId="0" fillId="0" borderId="14" xfId="31" applyFont="1" applyFill="1" applyBorder="1">
      <alignment/>
      <protection/>
    </xf>
    <xf numFmtId="173" fontId="0" fillId="0" borderId="15" xfId="31" applyNumberFormat="1" applyFont="1" applyFill="1" applyBorder="1">
      <alignment/>
      <protection/>
    </xf>
    <xf numFmtId="0" fontId="0" fillId="0" borderId="32" xfId="31" applyFont="1" applyFill="1" applyBorder="1" applyAlignment="1">
      <alignment horizontal="left" indent="1"/>
      <protection/>
    </xf>
    <xf numFmtId="0" fontId="2" fillId="0" borderId="33" xfId="31" applyFont="1" applyFill="1" applyBorder="1" applyAlignment="1">
      <alignment horizontal="left" indent="1"/>
      <protection/>
    </xf>
    <xf numFmtId="173" fontId="2" fillId="0" borderId="34" xfId="31" applyNumberFormat="1" applyFont="1" applyFill="1" applyBorder="1">
      <alignment/>
      <protection/>
    </xf>
    <xf numFmtId="173" fontId="2" fillId="5" borderId="5" xfId="31" applyNumberFormat="1" applyFont="1" applyFill="1" applyBorder="1" applyAlignment="1">
      <alignment horizontal="center"/>
      <protection/>
    </xf>
    <xf numFmtId="9" fontId="2" fillId="5" borderId="5" xfId="34" applyNumberFormat="1" applyFont="1" applyFill="1" applyBorder="1" applyAlignment="1">
      <alignment horizontal="center"/>
    </xf>
    <xf numFmtId="0" fontId="2" fillId="5" borderId="5" xfId="31" applyFont="1" applyFill="1" applyBorder="1" applyAlignment="1">
      <alignment horizontal="center"/>
      <protection/>
    </xf>
    <xf numFmtId="49" fontId="0" fillId="0" borderId="5" xfId="31" applyNumberFormat="1" applyFont="1" applyFill="1" applyBorder="1" applyAlignment="1" applyProtection="1">
      <alignment horizontal="left"/>
      <protection/>
    </xf>
    <xf numFmtId="0" fontId="0" fillId="0" borderId="5" xfId="31" applyFont="1" applyFill="1" applyBorder="1">
      <alignment/>
      <protection/>
    </xf>
    <xf numFmtId="173" fontId="0" fillId="0" borderId="5" xfId="31" applyNumberFormat="1" applyFont="1" applyFill="1" applyBorder="1">
      <alignment/>
      <protection/>
    </xf>
    <xf numFmtId="9" fontId="0" fillId="0" borderId="5" xfId="34" applyNumberFormat="1" applyFont="1" applyFill="1" applyBorder="1" applyAlignment="1">
      <alignment/>
    </xf>
    <xf numFmtId="174" fontId="0" fillId="0" borderId="12" xfId="31" applyNumberFormat="1" applyFont="1" applyFill="1" applyBorder="1" applyAlignment="1">
      <alignment horizontal="right"/>
      <protection/>
    </xf>
    <xf numFmtId="174" fontId="0" fillId="0" borderId="13" xfId="31" applyNumberFormat="1" applyFont="1" applyFill="1" applyBorder="1">
      <alignment/>
      <protection/>
    </xf>
    <xf numFmtId="174" fontId="0" fillId="0" borderId="25" xfId="31" applyNumberFormat="1" applyFont="1" applyFill="1" applyBorder="1" applyAlignment="1">
      <alignment horizontal="right"/>
      <protection/>
    </xf>
    <xf numFmtId="174" fontId="0" fillId="0" borderId="35" xfId="31" applyNumberFormat="1" applyFont="1" applyFill="1" applyBorder="1">
      <alignment/>
      <protection/>
    </xf>
    <xf numFmtId="174" fontId="2" fillId="0" borderId="19" xfId="31" applyNumberFormat="1" applyFont="1" applyFill="1" applyBorder="1" applyAlignment="1">
      <alignment horizontal="right"/>
      <protection/>
    </xf>
    <xf numFmtId="174" fontId="2" fillId="0" borderId="36" xfId="31" applyNumberFormat="1" applyFont="1" applyFill="1" applyBorder="1">
      <alignment/>
      <protection/>
    </xf>
    <xf numFmtId="0" fontId="16" fillId="0" borderId="37" xfId="31" applyFont="1" applyFill="1" applyBorder="1">
      <alignment/>
      <protection/>
    </xf>
    <xf numFmtId="0" fontId="2" fillId="0" borderId="32" xfId="31" applyFont="1" applyFill="1" applyBorder="1" applyAlignment="1">
      <alignment horizontal="center"/>
      <protection/>
    </xf>
    <xf numFmtId="0" fontId="2" fillId="0" borderId="17" xfId="0" applyFont="1" applyBorder="1" applyAlignment="1">
      <alignment horizontal="center"/>
    </xf>
    <xf numFmtId="173" fontId="0" fillId="0" borderId="17" xfId="0" applyNumberFormat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0" fillId="0" borderId="19" xfId="15" applyNumberFormat="1" applyFont="1" applyFill="1" applyBorder="1" applyAlignment="1">
      <alignment/>
    </xf>
    <xf numFmtId="177" fontId="0" fillId="0" borderId="0" xfId="0" applyNumberFormat="1" applyAlignment="1">
      <alignment/>
    </xf>
    <xf numFmtId="0" fontId="2" fillId="4" borderId="5" xfId="33" applyFont="1" applyFill="1" applyBorder="1" applyAlignment="1" applyProtection="1">
      <alignment vertical="center" wrapText="1"/>
      <protection/>
    </xf>
    <xf numFmtId="0" fontId="2" fillId="4" borderId="8" xfId="33" applyFont="1" applyFill="1" applyBorder="1" applyAlignment="1" applyProtection="1">
      <alignment vertical="center" wrapText="1"/>
      <protection/>
    </xf>
    <xf numFmtId="0" fontId="2" fillId="4" borderId="8" xfId="33" applyFont="1" applyFill="1" applyBorder="1" applyAlignment="1" applyProtection="1">
      <alignment horizontal="left" vertical="center" wrapText="1"/>
      <protection/>
    </xf>
    <xf numFmtId="0" fontId="2" fillId="0" borderId="5" xfId="33" applyFont="1" applyFill="1" applyBorder="1" applyAlignment="1" applyProtection="1">
      <alignment horizontal="center" vertical="center" wrapText="1"/>
      <protection/>
    </xf>
    <xf numFmtId="0" fontId="2" fillId="0" borderId="23" xfId="33" applyFont="1" applyFill="1" applyBorder="1" applyAlignment="1" applyProtection="1">
      <alignment horizontal="center" vertical="center" wrapText="1"/>
      <protection/>
    </xf>
    <xf numFmtId="0" fontId="2" fillId="3" borderId="5" xfId="33" applyFont="1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>
      <alignment/>
    </xf>
    <xf numFmtId="0" fontId="0" fillId="0" borderId="30" xfId="33" applyFont="1" applyFill="1" applyBorder="1" applyAlignment="1" applyProtection="1">
      <alignment vertical="center"/>
      <protection/>
    </xf>
    <xf numFmtId="41" fontId="0" fillId="0" borderId="30" xfId="33" applyNumberFormat="1" applyFont="1" applyFill="1" applyBorder="1" applyAlignment="1" applyProtection="1">
      <alignment vertical="center"/>
      <protection/>
    </xf>
    <xf numFmtId="0" fontId="2" fillId="0" borderId="5" xfId="33" applyFont="1" applyFill="1" applyBorder="1" applyAlignment="1" applyProtection="1">
      <alignment horizontal="center" vertical="top"/>
      <protection/>
    </xf>
    <xf numFmtId="41" fontId="0" fillId="0" borderId="5" xfId="33" applyNumberFormat="1" applyFont="1" applyFill="1" applyBorder="1" applyProtection="1">
      <alignment vertical="top"/>
      <protection/>
    </xf>
    <xf numFmtId="176" fontId="0" fillId="0" borderId="28" xfId="34" applyNumberFormat="1" applyFont="1" applyFill="1" applyBorder="1" applyAlignment="1" applyProtection="1">
      <alignment/>
      <protection/>
    </xf>
    <xf numFmtId="37" fontId="2" fillId="0" borderId="30" xfId="29" applyNumberFormat="1" applyFont="1" applyFill="1" applyBorder="1">
      <alignment/>
      <protection/>
    </xf>
    <xf numFmtId="41" fontId="0" fillId="0" borderId="5" xfId="0" applyNumberForma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/>
    </xf>
    <xf numFmtId="41" fontId="0" fillId="0" borderId="20" xfId="0" applyNumberFormat="1" applyBorder="1" applyAlignment="1">
      <alignment/>
    </xf>
    <xf numFmtId="41" fontId="0" fillId="3" borderId="6" xfId="0" applyNumberFormat="1" applyFill="1" applyBorder="1" applyAlignment="1">
      <alignment/>
    </xf>
    <xf numFmtId="0" fontId="0" fillId="2" borderId="5" xfId="0" applyFill="1" applyBorder="1" applyAlignment="1">
      <alignment/>
    </xf>
    <xf numFmtId="10" fontId="0" fillId="0" borderId="6" xfId="34" applyNumberFormat="1" applyFont="1" applyFill="1" applyBorder="1" applyAlignment="1">
      <alignment horizontal="center"/>
    </xf>
    <xf numFmtId="10" fontId="0" fillId="0" borderId="6" xfId="34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1" fillId="0" borderId="0" xfId="32" applyFont="1" applyFill="1" applyBorder="1" applyAlignment="1">
      <alignment horizontal="center"/>
      <protection/>
    </xf>
    <xf numFmtId="0" fontId="11" fillId="5" borderId="9" xfId="32" applyFont="1" applyFill="1" applyBorder="1" applyAlignment="1">
      <alignment horizontal="left"/>
      <protection/>
    </xf>
    <xf numFmtId="172" fontId="2" fillId="5" borderId="6" xfId="32" applyNumberFormat="1" applyFont="1" applyFill="1" applyBorder="1">
      <alignment/>
      <protection/>
    </xf>
    <xf numFmtId="0" fontId="11" fillId="5" borderId="5" xfId="32" applyFont="1" applyFill="1" applyBorder="1" applyAlignment="1">
      <alignment horizontal="left"/>
      <protection/>
    </xf>
    <xf numFmtId="171" fontId="11" fillId="5" borderId="5" xfId="32" applyNumberFormat="1" applyFont="1" applyFill="1" applyBorder="1" applyAlignment="1">
      <alignment horizontal="left"/>
      <protection/>
    </xf>
    <xf numFmtId="172" fontId="2" fillId="3" borderId="38" xfId="32" applyNumberFormat="1" applyFont="1" applyFill="1" applyBorder="1">
      <alignment/>
      <protection/>
    </xf>
    <xf numFmtId="0" fontId="11" fillId="3" borderId="5" xfId="32" applyFont="1" applyFill="1" applyBorder="1" applyAlignment="1">
      <alignment horizontal="center"/>
      <protection/>
    </xf>
    <xf numFmtId="0" fontId="2" fillId="0" borderId="14" xfId="0" applyFon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37" fontId="0" fillId="0" borderId="0" xfId="15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2" fillId="5" borderId="5" xfId="0" applyFont="1" applyFill="1" applyBorder="1" applyAlignment="1">
      <alignment horizontal="center"/>
    </xf>
    <xf numFmtId="181" fontId="2" fillId="0" borderId="0" xfId="0" applyNumberFormat="1" applyFont="1" applyAlignment="1">
      <alignment/>
    </xf>
    <xf numFmtId="181" fontId="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Font="1" applyAlignment="1">
      <alignment horizontal="center"/>
    </xf>
    <xf numFmtId="181" fontId="0" fillId="0" borderId="0" xfId="0" applyNumberFormat="1" applyFont="1" applyBorder="1" applyAlignment="1">
      <alignment horizontal="right"/>
    </xf>
    <xf numFmtId="10" fontId="2" fillId="0" borderId="0" xfId="34" applyNumberFormat="1" applyFont="1" applyFill="1" applyBorder="1" applyAlignment="1">
      <alignment/>
    </xf>
    <xf numFmtId="0" fontId="0" fillId="0" borderId="14" xfId="0" applyBorder="1" applyAlignment="1">
      <alignment wrapText="1"/>
    </xf>
    <xf numFmtId="0" fontId="2" fillId="4" borderId="9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172" fontId="0" fillId="2" borderId="5" xfId="31" applyNumberFormat="1" applyFont="1" applyFill="1" applyBorder="1">
      <alignment/>
      <protection/>
    </xf>
    <xf numFmtId="172" fontId="3" fillId="10" borderId="20" xfId="30" applyNumberFormat="1" applyFont="1" applyFill="1" applyBorder="1" applyAlignment="1" applyProtection="1" quotePrefix="1">
      <alignment horizontal="center" vertical="center"/>
      <protection/>
    </xf>
    <xf numFmtId="172" fontId="3" fillId="10" borderId="21" xfId="30" applyNumberFormat="1" applyFont="1" applyFill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center"/>
    </xf>
    <xf numFmtId="181" fontId="0" fillId="0" borderId="5" xfId="0" applyNumberFormat="1" applyFont="1" applyBorder="1" applyAlignment="1">
      <alignment/>
    </xf>
    <xf numFmtId="181" fontId="0" fillId="0" borderId="5" xfId="0" applyNumberFormat="1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7" fontId="0" fillId="4" borderId="6" xfId="32" applyNumberFormat="1" applyFont="1" applyFill="1" applyBorder="1">
      <alignment/>
      <protection/>
    </xf>
    <xf numFmtId="0" fontId="16" fillId="0" borderId="0" xfId="0" applyFont="1" applyAlignment="1">
      <alignment/>
    </xf>
    <xf numFmtId="186" fontId="0" fillId="2" borderId="0" xfId="0" applyNumberFormat="1" applyFont="1" applyFill="1" applyBorder="1" applyAlignment="1">
      <alignment horizontal="center"/>
    </xf>
    <xf numFmtId="186" fontId="0" fillId="0" borderId="39" xfId="0" applyNumberFormat="1" applyFont="1" applyBorder="1" applyAlignment="1">
      <alignment horizontal="center"/>
    </xf>
    <xf numFmtId="181" fontId="2" fillId="0" borderId="5" xfId="0" applyNumberFormat="1" applyFont="1" applyBorder="1" applyAlignment="1">
      <alignment horizontal="center"/>
    </xf>
    <xf numFmtId="3" fontId="20" fillId="6" borderId="5" xfId="33" applyNumberFormat="1" applyFont="1" applyFill="1" applyBorder="1" applyAlignment="1" applyProtection="1">
      <alignment horizontal="center" vertical="center"/>
      <protection/>
    </xf>
    <xf numFmtId="3" fontId="20" fillId="8" borderId="5" xfId="33" applyNumberFormat="1" applyFont="1" applyFill="1" applyBorder="1" applyAlignment="1" applyProtection="1">
      <alignment horizontal="center" vertical="center"/>
      <protection/>
    </xf>
    <xf numFmtId="3" fontId="20" fillId="7" borderId="5" xfId="33" applyNumberFormat="1" applyFont="1" applyFill="1" applyBorder="1" applyAlignment="1" applyProtection="1">
      <alignment horizontal="center" vertical="center"/>
      <protection/>
    </xf>
    <xf numFmtId="3" fontId="19" fillId="6" borderId="5" xfId="33" applyNumberFormat="1" applyFont="1" applyFill="1" applyBorder="1" applyAlignment="1" applyProtection="1">
      <alignment horizontal="center" vertical="center"/>
      <protection/>
    </xf>
    <xf numFmtId="3" fontId="19" fillId="6" borderId="22" xfId="33" applyNumberFormat="1" applyFont="1" applyFill="1" applyBorder="1" applyAlignment="1" applyProtection="1">
      <alignment horizontal="center" vertical="center"/>
      <protection/>
    </xf>
    <xf numFmtId="3" fontId="0" fillId="2" borderId="5" xfId="33" applyNumberFormat="1" applyFont="1" applyFill="1" applyBorder="1" applyAlignment="1" applyProtection="1">
      <alignment horizontal="center" vertical="center" wrapText="1"/>
      <protection locked="0"/>
    </xf>
    <xf numFmtId="3" fontId="0" fillId="2" borderId="5" xfId="33" applyNumberFormat="1" applyFont="1" applyFill="1" applyBorder="1" applyAlignment="1" applyProtection="1">
      <alignment horizontal="center" vertical="center"/>
      <protection locked="0"/>
    </xf>
    <xf numFmtId="3" fontId="0" fillId="0" borderId="5" xfId="33" applyNumberFormat="1" applyFont="1" applyFill="1" applyBorder="1" applyAlignment="1" applyProtection="1">
      <alignment horizontal="center" vertical="center"/>
      <protection/>
    </xf>
    <xf numFmtId="3" fontId="0" fillId="2" borderId="40" xfId="33" applyNumberFormat="1" applyFont="1" applyFill="1" applyBorder="1" applyAlignment="1" applyProtection="1">
      <alignment horizontal="center" vertical="center"/>
      <protection locked="0"/>
    </xf>
    <xf numFmtId="3" fontId="0" fillId="2" borderId="21" xfId="27" applyNumberFormat="1" applyFont="1" applyFill="1" applyBorder="1" applyAlignment="1" applyProtection="1">
      <alignment horizontal="center" vertical="center" wrapText="1"/>
      <protection locked="0"/>
    </xf>
    <xf numFmtId="3" fontId="0" fillId="2" borderId="20" xfId="33" applyNumberFormat="1" applyFont="1" applyFill="1" applyBorder="1" applyAlignment="1" applyProtection="1">
      <alignment horizontal="center" vertical="center" wrapText="1"/>
      <protection locked="0"/>
    </xf>
    <xf numFmtId="3" fontId="2" fillId="0" borderId="22" xfId="33" applyNumberFormat="1" applyFont="1" applyFill="1" applyBorder="1" applyAlignment="1" applyProtection="1">
      <alignment horizontal="center" vertical="center" wrapText="1"/>
      <protection/>
    </xf>
    <xf numFmtId="3" fontId="2" fillId="0" borderId="5" xfId="33" applyNumberFormat="1" applyFont="1" applyFill="1" applyBorder="1" applyAlignment="1" applyProtection="1">
      <alignment horizontal="center" vertical="center" wrapText="1"/>
      <protection/>
    </xf>
    <xf numFmtId="3" fontId="2" fillId="0" borderId="5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1" fillId="5" borderId="5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  <xf numFmtId="39" fontId="0" fillId="0" borderId="0" xfId="15" applyNumberFormat="1" applyFont="1" applyFill="1" applyBorder="1" applyAlignment="1">
      <alignment horizontal="center"/>
    </xf>
    <xf numFmtId="39" fontId="0" fillId="0" borderId="19" xfId="15" applyNumberFormat="1" applyFont="1" applyFill="1" applyBorder="1" applyAlignment="1">
      <alignment horizontal="center"/>
    </xf>
    <xf numFmtId="10" fontId="0" fillId="0" borderId="0" xfId="34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vertical="center" wrapText="1"/>
    </xf>
    <xf numFmtId="39" fontId="2" fillId="0" borderId="19" xfId="15" applyNumberFormat="1" applyFont="1" applyFill="1" applyBorder="1" applyAlignment="1">
      <alignment horizontal="center"/>
    </xf>
    <xf numFmtId="39" fontId="2" fillId="3" borderId="0" xfId="15" applyNumberFormat="1" applyFont="1" applyFill="1" applyBorder="1" applyAlignment="1">
      <alignment horizontal="center"/>
    </xf>
    <xf numFmtId="39" fontId="2" fillId="0" borderId="39" xfId="15" applyNumberFormat="1" applyFont="1" applyFill="1" applyBorder="1" applyAlignment="1">
      <alignment horizontal="center"/>
    </xf>
    <xf numFmtId="39" fontId="2" fillId="3" borderId="39" xfId="15" applyNumberFormat="1" applyFont="1" applyFill="1" applyBorder="1" applyAlignment="1">
      <alignment horizontal="center"/>
    </xf>
    <xf numFmtId="37" fontId="2" fillId="0" borderId="19" xfId="15" applyNumberFormat="1" applyFont="1" applyFill="1" applyBorder="1" applyAlignment="1">
      <alignment horizontal="center"/>
    </xf>
    <xf numFmtId="37" fontId="2" fillId="11" borderId="39" xfId="15" applyNumberFormat="1" applyFont="1" applyFill="1" applyBorder="1" applyAlignment="1">
      <alignment horizontal="center"/>
    </xf>
    <xf numFmtId="39" fontId="2" fillId="11" borderId="19" xfId="15" applyNumberFormat="1" applyFont="1" applyFill="1" applyBorder="1" applyAlignment="1">
      <alignment horizontal="center"/>
    </xf>
    <xf numFmtId="173" fontId="2" fillId="0" borderId="36" xfId="31" applyNumberFormat="1" applyFont="1" applyFill="1" applyBorder="1">
      <alignment/>
      <protection/>
    </xf>
    <xf numFmtId="173" fontId="2" fillId="0" borderId="39" xfId="0" applyNumberFormat="1" applyFont="1" applyBorder="1" applyAlignment="1">
      <alignment/>
    </xf>
    <xf numFmtId="0" fontId="9" fillId="0" borderId="0" xfId="0" applyFont="1" applyAlignment="1">
      <alignment/>
    </xf>
    <xf numFmtId="10" fontId="0" fillId="2" borderId="20" xfId="0" applyNumberFormat="1" applyFill="1" applyBorder="1" applyAlignment="1">
      <alignment horizontal="center"/>
    </xf>
    <xf numFmtId="172" fontId="0" fillId="3" borderId="2" xfId="30" applyNumberFormat="1" applyFill="1" applyBorder="1" applyAlignment="1">
      <alignment vertical="center"/>
      <protection/>
    </xf>
    <xf numFmtId="3" fontId="0" fillId="0" borderId="0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186" fontId="2" fillId="3" borderId="5" xfId="0" applyNumberFormat="1" applyFont="1" applyFill="1" applyBorder="1" applyAlignment="1">
      <alignment horizontal="center"/>
    </xf>
    <xf numFmtId="191" fontId="0" fillId="0" borderId="0" xfId="1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2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5" xfId="33" applyNumberFormat="1" applyFont="1" applyFill="1" applyBorder="1" applyAlignment="1" applyProtection="1">
      <alignment horizontal="center" vertical="center" wrapText="1"/>
      <protection locked="0"/>
    </xf>
    <xf numFmtId="3" fontId="0" fillId="0" borderId="21" xfId="33" applyNumberFormat="1" applyFont="1" applyFill="1" applyBorder="1" applyAlignment="1" applyProtection="1">
      <alignment horizontal="center" vertical="center" wrapText="1"/>
      <protection locked="0"/>
    </xf>
    <xf numFmtId="3" fontId="0" fillId="0" borderId="6" xfId="0" applyNumberFormat="1" applyFill="1" applyBorder="1" applyAlignment="1">
      <alignment horizontal="center"/>
    </xf>
    <xf numFmtId="9" fontId="0" fillId="0" borderId="5" xfId="0" applyNumberFormat="1" applyFill="1" applyBorder="1" applyAlignment="1">
      <alignment horizontal="center"/>
    </xf>
    <xf numFmtId="3" fontId="19" fillId="6" borderId="41" xfId="33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3" fontId="0" fillId="0" borderId="0" xfId="15" applyNumberFormat="1" applyFill="1" applyAlignment="1" applyProtection="1">
      <alignment/>
      <protection locked="0"/>
    </xf>
    <xf numFmtId="0" fontId="0" fillId="0" borderId="0" xfId="15" applyNumberFormat="1" applyAlignment="1">
      <alignment/>
    </xf>
    <xf numFmtId="171" fontId="0" fillId="0" borderId="0" xfId="15" applyAlignment="1">
      <alignment/>
    </xf>
    <xf numFmtId="0" fontId="0" fillId="0" borderId="0" xfId="0" applyFont="1" applyAlignment="1">
      <alignment horizontal="left"/>
    </xf>
    <xf numFmtId="43" fontId="0" fillId="0" borderId="0" xfId="0" applyNumberFormat="1" applyAlignment="1">
      <alignment/>
    </xf>
    <xf numFmtId="0" fontId="0" fillId="0" borderId="5" xfId="0" applyFont="1" applyBorder="1" applyAlignment="1">
      <alignment horizontal="left"/>
    </xf>
    <xf numFmtId="0" fontId="0" fillId="2" borderId="20" xfId="0" applyFill="1" applyBorder="1" applyAlignment="1">
      <alignment horizontal="center"/>
    </xf>
    <xf numFmtId="172" fontId="4" fillId="0" borderId="0" xfId="30" applyNumberFormat="1" applyFont="1" applyAlignment="1">
      <alignment horizontal="center" vertical="center"/>
      <protection/>
    </xf>
    <xf numFmtId="171" fontId="5" fillId="0" borderId="0" xfId="32" applyNumberFormat="1">
      <alignment/>
      <protection/>
    </xf>
    <xf numFmtId="186" fontId="0" fillId="0" borderId="0" xfId="0" applyNumberFormat="1" applyAlignment="1">
      <alignment/>
    </xf>
    <xf numFmtId="172" fontId="0" fillId="0" borderId="0" xfId="30" applyNumberFormat="1" applyFill="1" applyAlignment="1">
      <alignment vertical="center"/>
      <protection/>
    </xf>
    <xf numFmtId="0" fontId="0" fillId="0" borderId="2" xfId="30" applyNumberFormat="1" applyFill="1" applyBorder="1" applyAlignment="1">
      <alignment horizontal="center" vertical="center"/>
      <protection/>
    </xf>
    <xf numFmtId="172" fontId="0" fillId="4" borderId="5" xfId="30" applyNumberFormat="1" applyFill="1" applyBorder="1" applyAlignment="1">
      <alignment vertical="center"/>
      <protection/>
    </xf>
    <xf numFmtId="190" fontId="0" fillId="2" borderId="9" xfId="0" applyNumberFormat="1" applyFill="1" applyBorder="1" applyAlignment="1">
      <alignment horizontal="center"/>
    </xf>
    <xf numFmtId="190" fontId="0" fillId="2" borderId="19" xfId="0" applyNumberForma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12" borderId="0" xfId="0" applyNumberFormat="1" applyFont="1" applyFill="1" applyAlignment="1">
      <alignment horizontal="left"/>
    </xf>
    <xf numFmtId="1" fontId="0" fillId="0" borderId="0" xfId="0" applyNumberFormat="1" applyBorder="1" applyAlignment="1">
      <alignment/>
    </xf>
    <xf numFmtId="0" fontId="4" fillId="13" borderId="0" xfId="0" applyNumberFormat="1" applyFont="1" applyFill="1" applyAlignment="1">
      <alignment horizontal="left"/>
    </xf>
    <xf numFmtId="0" fontId="0" fillId="13" borderId="0" xfId="0" applyFill="1" applyAlignment="1">
      <alignment/>
    </xf>
    <xf numFmtId="0" fontId="0" fillId="2" borderId="9" xfId="0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0" xfId="0" applyNumberFormat="1" applyAlignment="1">
      <alignment/>
    </xf>
    <xf numFmtId="181" fontId="0" fillId="11" borderId="0" xfId="0" applyNumberFormat="1" applyFont="1" applyFill="1" applyBorder="1" applyAlignment="1">
      <alignment/>
    </xf>
    <xf numFmtId="186" fontId="0" fillId="11" borderId="0" xfId="0" applyNumberFormat="1" applyFont="1" applyFill="1" applyBorder="1" applyAlignment="1">
      <alignment horizontal="center"/>
    </xf>
    <xf numFmtId="186" fontId="0" fillId="11" borderId="39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left"/>
    </xf>
    <xf numFmtId="181" fontId="0" fillId="0" borderId="42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left" indent="2"/>
    </xf>
    <xf numFmtId="172" fontId="27" fillId="2" borderId="2" xfId="30" applyNumberFormat="1" applyFont="1" applyFill="1" applyBorder="1" applyAlignment="1">
      <alignment vertical="center"/>
      <protection/>
    </xf>
    <xf numFmtId="172" fontId="0" fillId="2" borderId="2" xfId="30" applyNumberFormat="1" applyFont="1" applyFill="1" applyBorder="1" applyAlignment="1">
      <alignment vertical="center"/>
      <protection/>
    </xf>
    <xf numFmtId="0" fontId="5" fillId="0" borderId="0" xfId="32" applyFont="1">
      <alignment/>
      <protection/>
    </xf>
    <xf numFmtId="171" fontId="5" fillId="0" borderId="0" xfId="15" applyAlignment="1">
      <alignment/>
    </xf>
    <xf numFmtId="172" fontId="0" fillId="2" borderId="2" xfId="30" applyNumberFormat="1" applyFont="1" applyFill="1" applyBorder="1" applyAlignment="1">
      <alignment vertical="center"/>
      <protection/>
    </xf>
    <xf numFmtId="3" fontId="0" fillId="14" borderId="5" xfId="0" applyNumberFormat="1" applyFill="1" applyBorder="1" applyAlignment="1">
      <alignment horizontal="center"/>
    </xf>
    <xf numFmtId="177" fontId="0" fillId="2" borderId="5" xfId="15" applyNumberFormat="1" applyFill="1" applyBorder="1" applyAlignment="1">
      <alignment horizontal="center"/>
    </xf>
    <xf numFmtId="177" fontId="0" fillId="0" borderId="5" xfId="15" applyNumberFormat="1" applyBorder="1" applyAlignment="1">
      <alignment horizontal="center"/>
    </xf>
    <xf numFmtId="177" fontId="2" fillId="0" borderId="5" xfId="15" applyNumberFormat="1" applyFont="1" applyBorder="1" applyAlignment="1">
      <alignment horizontal="center"/>
    </xf>
    <xf numFmtId="177" fontId="0" fillId="0" borderId="6" xfId="15" applyNumberFormat="1" applyBorder="1" applyAlignment="1">
      <alignment horizontal="center"/>
    </xf>
    <xf numFmtId="177" fontId="0" fillId="0" borderId="0" xfId="15" applyNumberFormat="1" applyFill="1" applyBorder="1" applyAlignment="1">
      <alignment/>
    </xf>
    <xf numFmtId="177" fontId="0" fillId="0" borderId="0" xfId="15" applyNumberFormat="1" applyBorder="1" applyAlignment="1">
      <alignment/>
    </xf>
    <xf numFmtId="177" fontId="0" fillId="0" borderId="19" xfId="15" applyNumberFormat="1" applyBorder="1" applyAlignment="1">
      <alignment/>
    </xf>
    <xf numFmtId="177" fontId="0" fillId="0" borderId="39" xfId="15" applyNumberFormat="1" applyBorder="1" applyAlignment="1">
      <alignment/>
    </xf>
    <xf numFmtId="173" fontId="0" fillId="0" borderId="0" xfId="0" applyNumberFormat="1" applyAlignment="1">
      <alignment/>
    </xf>
    <xf numFmtId="10" fontId="0" fillId="0" borderId="5" xfId="0" applyNumberFormat="1" applyFill="1" applyBorder="1" applyAlignment="1">
      <alignment horizontal="center"/>
    </xf>
    <xf numFmtId="177" fontId="0" fillId="0" borderId="5" xfId="15" applyNumberFormat="1" applyFill="1" applyBorder="1" applyAlignment="1">
      <alignment horizontal="center"/>
    </xf>
    <xf numFmtId="39" fontId="0" fillId="0" borderId="0" xfId="0" applyNumberFormat="1" applyAlignment="1">
      <alignment/>
    </xf>
    <xf numFmtId="171" fontId="0" fillId="0" borderId="0" xfId="15" applyAlignment="1">
      <alignment wrapText="1"/>
    </xf>
    <xf numFmtId="9" fontId="0" fillId="0" borderId="0" xfId="34" applyAlignment="1">
      <alignment/>
    </xf>
    <xf numFmtId="10" fontId="0" fillId="0" borderId="0" xfId="34" applyNumberFormat="1" applyAlignment="1">
      <alignment/>
    </xf>
    <xf numFmtId="41" fontId="0" fillId="0" borderId="0" xfId="0" applyNumberFormat="1" applyAlignment="1">
      <alignment/>
    </xf>
    <xf numFmtId="171" fontId="0" fillId="0" borderId="0" xfId="15" applyNumberFormat="1" applyAlignment="1">
      <alignment/>
    </xf>
    <xf numFmtId="4" fontId="0" fillId="0" borderId="0" xfId="34" applyNumberFormat="1" applyFont="1" applyFill="1" applyBorder="1" applyAlignment="1">
      <alignment horizontal="center"/>
    </xf>
    <xf numFmtId="37" fontId="2" fillId="11" borderId="0" xfId="15" applyNumberFormat="1" applyFont="1" applyFill="1" applyBorder="1" applyAlignment="1">
      <alignment horizontal="center"/>
    </xf>
    <xf numFmtId="37" fontId="2" fillId="0" borderId="0" xfId="15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72" fontId="0" fillId="0" borderId="0" xfId="0" applyNumberFormat="1" applyFill="1" applyBorder="1" applyAlignment="1">
      <alignment/>
    </xf>
    <xf numFmtId="171" fontId="0" fillId="0" borderId="0" xfId="15" applyFont="1" applyBorder="1" applyAlignment="1">
      <alignment/>
    </xf>
    <xf numFmtId="171" fontId="0" fillId="0" borderId="0" xfId="15" applyFont="1" applyAlignment="1">
      <alignment/>
    </xf>
    <xf numFmtId="181" fontId="0" fillId="0" borderId="0" xfId="0" applyNumberFormat="1" applyFont="1" applyFill="1" applyBorder="1" applyAlignment="1">
      <alignment/>
    </xf>
    <xf numFmtId="171" fontId="2" fillId="0" borderId="0" xfId="15" applyFont="1" applyBorder="1" applyAlignment="1">
      <alignment horizontal="right"/>
    </xf>
    <xf numFmtId="18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 horizontal="right"/>
    </xf>
    <xf numFmtId="171" fontId="0" fillId="0" borderId="0" xfId="15" applyFont="1" applyFill="1" applyBorder="1" applyAlignment="1">
      <alignment horizontal="right"/>
    </xf>
    <xf numFmtId="171" fontId="0" fillId="0" borderId="0" xfId="15" applyFont="1" applyFill="1" applyBorder="1" applyAlignment="1">
      <alignment/>
    </xf>
    <xf numFmtId="171" fontId="0" fillId="0" borderId="0" xfId="15" applyFont="1" applyAlignment="1">
      <alignment/>
    </xf>
    <xf numFmtId="3" fontId="0" fillId="0" borderId="0" xfId="0" applyNumberFormat="1" applyAlignment="1">
      <alignment/>
    </xf>
    <xf numFmtId="39" fontId="30" fillId="0" borderId="0" xfId="0" applyNumberFormat="1" applyFont="1" applyAlignment="1">
      <alignment/>
    </xf>
    <xf numFmtId="177" fontId="0" fillId="0" borderId="0" xfId="15" applyNumberFormat="1" applyAlignment="1">
      <alignment vertical="center"/>
    </xf>
    <xf numFmtId="177" fontId="0" fillId="0" borderId="0" xfId="15" applyNumberFormat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172" fontId="1" fillId="0" borderId="2" xfId="30" applyNumberFormat="1" applyFont="1" applyFill="1" applyBorder="1" applyAlignment="1">
      <alignment vertical="center"/>
      <protection/>
    </xf>
    <xf numFmtId="0" fontId="0" fillId="0" borderId="0" xfId="0" applyFill="1" applyAlignment="1" quotePrefix="1">
      <alignment/>
    </xf>
    <xf numFmtId="171" fontId="0" fillId="0" borderId="0" xfId="15" applyFill="1" applyAlignment="1">
      <alignment/>
    </xf>
    <xf numFmtId="43" fontId="0" fillId="0" borderId="0" xfId="0" applyNumberFormat="1" applyFill="1" applyAlignment="1">
      <alignment/>
    </xf>
    <xf numFmtId="0" fontId="0" fillId="0" borderId="2" xfId="30" applyNumberFormat="1" applyFont="1" applyBorder="1" applyAlignment="1">
      <alignment horizontal="center" vertical="center"/>
      <protection/>
    </xf>
    <xf numFmtId="172" fontId="0" fillId="0" borderId="0" xfId="30" applyNumberFormat="1" applyFont="1" applyFill="1" applyBorder="1" applyAlignment="1">
      <alignment vertical="center"/>
      <protection/>
    </xf>
    <xf numFmtId="172" fontId="0" fillId="0" borderId="2" xfId="30" applyNumberFormat="1" applyFont="1" applyFill="1" applyBorder="1" applyAlignment="1">
      <alignment vertical="center"/>
      <protection/>
    </xf>
    <xf numFmtId="172" fontId="0" fillId="0" borderId="0" xfId="0" applyNumberFormat="1" applyFont="1" applyAlignment="1">
      <alignment/>
    </xf>
    <xf numFmtId="0" fontId="0" fillId="0" borderId="5" xfId="0" applyFont="1" applyFill="1" applyBorder="1" applyAlignment="1">
      <alignment horizontal="center"/>
    </xf>
    <xf numFmtId="194" fontId="30" fillId="0" borderId="0" xfId="0" applyNumberFormat="1" applyFont="1" applyAlignment="1">
      <alignment/>
    </xf>
    <xf numFmtId="172" fontId="0" fillId="0" borderId="0" xfId="30" applyNumberFormat="1" applyFont="1" applyAlignment="1">
      <alignment vertical="center"/>
      <protection/>
    </xf>
    <xf numFmtId="172" fontId="5" fillId="0" borderId="0" xfId="28" applyNumberFormat="1">
      <alignment/>
      <protection/>
    </xf>
    <xf numFmtId="172" fontId="0" fillId="0" borderId="0" xfId="30" applyNumberFormat="1" applyFont="1" applyFill="1" applyAlignment="1">
      <alignment vertical="center"/>
      <protection/>
    </xf>
    <xf numFmtId="172" fontId="0" fillId="0" borderId="0" xfId="30" applyNumberFormat="1" applyFont="1" applyAlignment="1">
      <alignment vertical="center"/>
      <protection/>
    </xf>
    <xf numFmtId="172" fontId="0" fillId="3" borderId="2" xfId="30" applyNumberFormat="1" applyFont="1" applyFill="1" applyBorder="1" applyAlignment="1">
      <alignment vertical="center"/>
      <protection/>
    </xf>
    <xf numFmtId="172" fontId="28" fillId="2" borderId="2" xfId="30" applyNumberFormat="1" applyFont="1" applyFill="1" applyBorder="1" applyAlignment="1">
      <alignment vertical="center"/>
      <protection/>
    </xf>
    <xf numFmtId="172" fontId="27" fillId="0" borderId="0" xfId="30" applyNumberFormat="1" applyFont="1" applyAlignment="1">
      <alignment vertical="center"/>
      <protection/>
    </xf>
    <xf numFmtId="172" fontId="0" fillId="0" borderId="0" xfId="0" applyNumberFormat="1" applyFill="1" applyAlignment="1">
      <alignment/>
    </xf>
    <xf numFmtId="172" fontId="27" fillId="0" borderId="0" xfId="30" applyNumberFormat="1" applyFont="1" applyFill="1" applyAlignment="1">
      <alignment vertical="center"/>
      <protection/>
    </xf>
    <xf numFmtId="202" fontId="0" fillId="2" borderId="5" xfId="0" applyNumberFormat="1" applyFont="1" applyFill="1" applyBorder="1" applyAlignment="1">
      <alignment horizontal="center"/>
    </xf>
    <xf numFmtId="202" fontId="2" fillId="0" borderId="5" xfId="0" applyNumberFormat="1" applyFont="1" applyBorder="1" applyAlignment="1">
      <alignment horizontal="center"/>
    </xf>
    <xf numFmtId="202" fontId="0" fillId="0" borderId="5" xfId="0" applyNumberFormat="1" applyFont="1" applyBorder="1" applyAlignment="1">
      <alignment horizontal="center"/>
    </xf>
    <xf numFmtId="202" fontId="0" fillId="0" borderId="5" xfId="0" applyNumberFormat="1" applyFont="1" applyFill="1" applyBorder="1" applyAlignment="1">
      <alignment horizontal="center"/>
    </xf>
    <xf numFmtId="202" fontId="2" fillId="0" borderId="5" xfId="0" applyNumberFormat="1" applyFont="1" applyFill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0" fillId="0" borderId="5" xfId="0" applyNumberFormat="1" applyBorder="1" applyAlignment="1">
      <alignment/>
    </xf>
    <xf numFmtId="1" fontId="0" fillId="0" borderId="5" xfId="0" applyNumberFormat="1" applyFill="1" applyBorder="1" applyAlignment="1">
      <alignment/>
    </xf>
    <xf numFmtId="0" fontId="16" fillId="0" borderId="9" xfId="0" applyFont="1" applyFill="1" applyBorder="1" applyAlignment="1">
      <alignment/>
    </xf>
    <xf numFmtId="0" fontId="0" fillId="0" borderId="0" xfId="0" applyBorder="1" applyAlignment="1">
      <alignment/>
    </xf>
    <xf numFmtId="1" fontId="2" fillId="0" borderId="9" xfId="0" applyNumberFormat="1" applyFont="1" applyFill="1" applyBorder="1" applyAlignment="1">
      <alignment horizontal="center"/>
    </xf>
    <xf numFmtId="1" fontId="2" fillId="0" borderId="40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/>
    </xf>
    <xf numFmtId="1" fontId="0" fillId="0" borderId="40" xfId="0" applyNumberFormat="1" applyFont="1" applyFill="1" applyBorder="1" applyAlignment="1">
      <alignment/>
    </xf>
    <xf numFmtId="1" fontId="2" fillId="0" borderId="9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0" fontId="2" fillId="0" borderId="10" xfId="28" applyFont="1" applyFill="1" applyBorder="1">
      <alignment/>
      <protection/>
    </xf>
    <xf numFmtId="0" fontId="2" fillId="0" borderId="0" xfId="28" applyFont="1" applyFill="1" applyBorder="1">
      <alignment/>
      <protection/>
    </xf>
    <xf numFmtId="0" fontId="11" fillId="3" borderId="9" xfId="28" applyFont="1" applyFill="1" applyBorder="1">
      <alignment/>
      <protection/>
    </xf>
    <xf numFmtId="0" fontId="11" fillId="3" borderId="40" xfId="28" applyFont="1" applyFill="1" applyBorder="1">
      <alignment/>
      <protection/>
    </xf>
    <xf numFmtId="0" fontId="9" fillId="0" borderId="43" xfId="28" applyFont="1" applyFill="1" applyBorder="1" applyAlignment="1">
      <alignment horizontal="center"/>
      <protection/>
    </xf>
    <xf numFmtId="0" fontId="11" fillId="3" borderId="5" xfId="28" applyFont="1" applyFill="1" applyBorder="1">
      <alignment/>
      <protection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172" fontId="10" fillId="0" borderId="0" xfId="30" applyNumberFormat="1" applyFont="1" applyAlignment="1">
      <alignment horizontal="center" vertical="center"/>
      <protection/>
    </xf>
    <xf numFmtId="0" fontId="9" fillId="3" borderId="5" xfId="32" applyFont="1" applyFill="1" applyBorder="1" applyAlignment="1">
      <alignment horizontal="left"/>
      <protection/>
    </xf>
    <xf numFmtId="0" fontId="9" fillId="0" borderId="0" xfId="28" applyFont="1" applyFill="1" applyBorder="1" applyAlignment="1">
      <alignment horizontal="center"/>
      <protection/>
    </xf>
    <xf numFmtId="0" fontId="9" fillId="3" borderId="20" xfId="32" applyFont="1" applyFill="1" applyBorder="1" applyAlignment="1">
      <alignment horizontal="left"/>
      <protection/>
    </xf>
    <xf numFmtId="0" fontId="0" fillId="0" borderId="25" xfId="32" applyFont="1" applyFill="1" applyBorder="1" applyAlignment="1">
      <alignment horizontal="left"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ill="1" applyAlignment="1" applyProtection="1">
      <alignment horizontal="left"/>
      <protection locked="0"/>
    </xf>
    <xf numFmtId="0" fontId="4" fillId="12" borderId="0" xfId="0" applyFont="1" applyFill="1" applyAlignment="1">
      <alignment horizontal="left"/>
    </xf>
    <xf numFmtId="181" fontId="2" fillId="0" borderId="0" xfId="0" applyNumberFormat="1" applyFont="1" applyBorder="1" applyAlignment="1">
      <alignment horizontal="center"/>
    </xf>
    <xf numFmtId="181" fontId="0" fillId="0" borderId="25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Font="1" applyFill="1" applyBorder="1" applyAlignment="1">
      <alignment/>
    </xf>
    <xf numFmtId="0" fontId="2" fillId="5" borderId="20" xfId="0" applyFont="1" applyFill="1" applyBorder="1" applyAlignment="1">
      <alignment horizontal="center" wrapText="1"/>
    </xf>
    <xf numFmtId="0" fontId="2" fillId="5" borderId="21" xfId="0" applyFont="1" applyFill="1" applyBorder="1" applyAlignment="1">
      <alignment horizontal="center" wrapText="1"/>
    </xf>
    <xf numFmtId="181" fontId="0" fillId="0" borderId="0" xfId="0" applyNumberFormat="1" applyFont="1" applyBorder="1" applyAlignment="1">
      <alignment horizontal="center"/>
    </xf>
    <xf numFmtId="181" fontId="0" fillId="0" borderId="31" xfId="0" applyNumberFormat="1" applyFont="1" applyBorder="1" applyAlignment="1">
      <alignment horizontal="center"/>
    </xf>
    <xf numFmtId="181" fontId="0" fillId="11" borderId="0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181" fontId="0" fillId="0" borderId="30" xfId="0" applyNumberFormat="1" applyFont="1" applyBorder="1" applyAlignment="1">
      <alignment horizontal="center" wrapText="1"/>
    </xf>
    <xf numFmtId="0" fontId="4" fillId="12" borderId="0" xfId="30" applyNumberFormat="1" applyFont="1" applyFill="1" applyAlignment="1">
      <alignment horizontal="left" vertical="center"/>
      <protection/>
    </xf>
    <xf numFmtId="0" fontId="31" fillId="10" borderId="5" xfId="30" applyNumberFormat="1" applyFont="1" applyFill="1" applyBorder="1" applyAlignment="1" applyProtection="1">
      <alignment horizontal="center" vertical="center"/>
      <protection/>
    </xf>
    <xf numFmtId="172" fontId="31" fillId="10" borderId="5" xfId="3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/>
    </xf>
    <xf numFmtId="0" fontId="2" fillId="4" borderId="5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9" fillId="0" borderId="0" xfId="0" applyFont="1" applyBorder="1" applyAlignment="1">
      <alignment horizontal="center"/>
    </xf>
    <xf numFmtId="1" fontId="9" fillId="4" borderId="0" xfId="0" applyNumberFormat="1" applyFont="1" applyFill="1" applyBorder="1" applyAlignment="1">
      <alignment horizontal="center"/>
    </xf>
    <xf numFmtId="1" fontId="0" fillId="0" borderId="9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2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27" xfId="0" applyFont="1" applyFill="1" applyBorder="1" applyAlignment="1">
      <alignment horizontal="left" indent="1"/>
    </xf>
    <xf numFmtId="0" fontId="2" fillId="0" borderId="44" xfId="0" applyFont="1" applyFill="1" applyBorder="1" applyAlignment="1">
      <alignment horizontal="left" indent="1"/>
    </xf>
    <xf numFmtId="0" fontId="2" fillId="0" borderId="15" xfId="0" applyFont="1" applyFill="1" applyBorder="1" applyAlignment="1">
      <alignment horizontal="left" indent="1"/>
    </xf>
    <xf numFmtId="1" fontId="0" fillId="0" borderId="9" xfId="0" applyNumberFormat="1" applyFill="1" applyBorder="1" applyAlignment="1">
      <alignment/>
    </xf>
    <xf numFmtId="1" fontId="0" fillId="0" borderId="40" xfId="0" applyNumberFormat="1" applyFill="1" applyBorder="1" applyAlignment="1">
      <alignment/>
    </xf>
    <xf numFmtId="0" fontId="16" fillId="0" borderId="4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12" borderId="0" xfId="0" applyNumberFormat="1" applyFont="1" applyFill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1" fontId="0" fillId="0" borderId="40" xfId="0" applyNumberFormat="1" applyBorder="1" applyAlignment="1">
      <alignment/>
    </xf>
    <xf numFmtId="10" fontId="0" fillId="0" borderId="19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42" xfId="0" applyBorder="1" applyAlignment="1">
      <alignment/>
    </xf>
    <xf numFmtId="9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0" fontId="0" fillId="0" borderId="25" xfId="0" applyNumberFormat="1" applyBorder="1" applyAlignment="1">
      <alignment horizontal="center"/>
    </xf>
    <xf numFmtId="10" fontId="0" fillId="0" borderId="25" xfId="34" applyNumberFormat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0" fontId="2" fillId="4" borderId="40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10" fontId="0" fillId="0" borderId="27" xfId="34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5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5" fontId="0" fillId="2" borderId="9" xfId="0" applyNumberFormat="1" applyFill="1" applyBorder="1" applyAlignment="1">
      <alignment horizontal="center"/>
    </xf>
    <xf numFmtId="15" fontId="0" fillId="2" borderId="40" xfId="0" applyNumberFormat="1" applyFill="1" applyBorder="1" applyAlignment="1">
      <alignment horizontal="center"/>
    </xf>
    <xf numFmtId="10" fontId="0" fillId="2" borderId="5" xfId="0" applyNumberFormat="1" applyFill="1" applyBorder="1" applyAlignment="1">
      <alignment horizontal="center"/>
    </xf>
    <xf numFmtId="190" fontId="0" fillId="2" borderId="9" xfId="0" applyNumberFormat="1" applyFill="1" applyBorder="1" applyAlignment="1">
      <alignment horizontal="center"/>
    </xf>
    <xf numFmtId="190" fontId="0" fillId="2" borderId="40" xfId="0" applyNumberFormat="1" applyFill="1" applyBorder="1" applyAlignment="1">
      <alignment horizontal="center"/>
    </xf>
    <xf numFmtId="10" fontId="0" fillId="2" borderId="9" xfId="0" applyNumberFormat="1" applyFill="1" applyBorder="1" applyAlignment="1">
      <alignment horizontal="center"/>
    </xf>
    <xf numFmtId="10" fontId="0" fillId="2" borderId="40" xfId="0" applyNumberFormat="1" applyFill="1" applyBorder="1" applyAlignment="1">
      <alignment horizontal="center"/>
    </xf>
    <xf numFmtId="190" fontId="0" fillId="2" borderId="9" xfId="0" applyNumberFormat="1" applyFill="1" applyBorder="1" applyAlignment="1" quotePrefix="1">
      <alignment horizontal="center"/>
    </xf>
    <xf numFmtId="9" fontId="0" fillId="0" borderId="25" xfId="34" applyBorder="1" applyAlignment="1">
      <alignment horizontal="center"/>
    </xf>
    <xf numFmtId="0" fontId="0" fillId="0" borderId="27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9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9" fillId="0" borderId="0" xfId="0" applyFont="1" applyAlignment="1">
      <alignment horizontal="center"/>
    </xf>
    <xf numFmtId="0" fontId="2" fillId="4" borderId="20" xfId="0" applyFont="1" applyFill="1" applyBorder="1" applyAlignment="1">
      <alignment/>
    </xf>
    <xf numFmtId="0" fontId="2" fillId="4" borderId="21" xfId="0" applyFont="1" applyFill="1" applyBorder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wrapText="1"/>
    </xf>
    <xf numFmtId="0" fontId="11" fillId="3" borderId="19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45" xfId="0" applyBorder="1" applyAlignment="1">
      <alignment/>
    </xf>
    <xf numFmtId="0" fontId="4" fillId="12" borderId="17" xfId="0" applyFont="1" applyFill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23" fillId="15" borderId="9" xfId="33" applyFont="1" applyFill="1" applyBorder="1" applyAlignment="1" applyProtection="1">
      <alignment horizontal="left" vertical="center" wrapText="1"/>
      <protection/>
    </xf>
    <xf numFmtId="0" fontId="23" fillId="15" borderId="19" xfId="33" applyFont="1" applyFill="1" applyBorder="1" applyAlignment="1" applyProtection="1">
      <alignment horizontal="left" vertical="center" wrapText="1"/>
      <protection/>
    </xf>
    <xf numFmtId="0" fontId="23" fillId="15" borderId="40" xfId="33" applyFont="1" applyFill="1" applyBorder="1" applyAlignment="1" applyProtection="1">
      <alignment horizontal="left" vertical="center" wrapText="1"/>
      <protection/>
    </xf>
    <xf numFmtId="0" fontId="26" fillId="8" borderId="9" xfId="0" applyFont="1" applyFill="1" applyBorder="1" applyAlignment="1" applyProtection="1">
      <alignment/>
      <protection/>
    </xf>
    <xf numFmtId="0" fontId="26" fillId="8" borderId="19" xfId="0" applyFont="1" applyFill="1" applyBorder="1" applyAlignment="1" applyProtection="1">
      <alignment/>
      <protection/>
    </xf>
    <xf numFmtId="0" fontId="26" fillId="8" borderId="40" xfId="0" applyFont="1" applyFill="1" applyBorder="1" applyAlignment="1" applyProtection="1">
      <alignment/>
      <protection/>
    </xf>
    <xf numFmtId="0" fontId="24" fillId="8" borderId="9" xfId="0" applyFont="1" applyFill="1" applyBorder="1" applyAlignment="1" applyProtection="1">
      <alignment/>
      <protection/>
    </xf>
    <xf numFmtId="0" fontId="24" fillId="8" borderId="19" xfId="0" applyFont="1" applyFill="1" applyBorder="1" applyAlignment="1" applyProtection="1">
      <alignment/>
      <protection/>
    </xf>
    <xf numFmtId="0" fontId="24" fillId="8" borderId="40" xfId="0" applyFont="1" applyFill="1" applyBorder="1" applyAlignment="1" applyProtection="1">
      <alignment/>
      <protection/>
    </xf>
    <xf numFmtId="0" fontId="24" fillId="8" borderId="9" xfId="0" applyFont="1" applyFill="1" applyBorder="1" applyAlignment="1" applyProtection="1">
      <alignment horizontal="left"/>
      <protection/>
    </xf>
    <xf numFmtId="0" fontId="24" fillId="8" borderId="19" xfId="0" applyFont="1" applyFill="1" applyBorder="1" applyAlignment="1" applyProtection="1">
      <alignment horizontal="left"/>
      <protection/>
    </xf>
    <xf numFmtId="0" fontId="24" fillId="8" borderId="40" xfId="0" applyFont="1" applyFill="1" applyBorder="1" applyAlignment="1" applyProtection="1">
      <alignment horizontal="left"/>
      <protection/>
    </xf>
    <xf numFmtId="0" fontId="26" fillId="8" borderId="9" xfId="0" applyFont="1" applyFill="1" applyBorder="1" applyAlignment="1" applyProtection="1">
      <alignment horizontal="left"/>
      <protection/>
    </xf>
    <xf numFmtId="0" fontId="26" fillId="8" borderId="19" xfId="0" applyFont="1" applyFill="1" applyBorder="1" applyAlignment="1" applyProtection="1">
      <alignment horizontal="left"/>
      <protection/>
    </xf>
    <xf numFmtId="0" fontId="26" fillId="8" borderId="40" xfId="0" applyFont="1" applyFill="1" applyBorder="1" applyAlignment="1" applyProtection="1">
      <alignment horizontal="left"/>
      <protection/>
    </xf>
    <xf numFmtId="0" fontId="26" fillId="8" borderId="5" xfId="0" applyFont="1" applyFill="1" applyBorder="1" applyAlignment="1" applyProtection="1">
      <alignment horizontal="left"/>
      <protection/>
    </xf>
    <xf numFmtId="0" fontId="26" fillId="8" borderId="5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171" fontId="2" fillId="0" borderId="0" xfId="15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7" xfId="31" applyFont="1" applyFill="1" applyBorder="1" applyAlignment="1">
      <alignment horizontal="center"/>
      <protection/>
    </xf>
    <xf numFmtId="0" fontId="2" fillId="0" borderId="27" xfId="0" applyFont="1" applyBorder="1" applyAlignment="1">
      <alignment horizontal="center"/>
    </xf>
    <xf numFmtId="171" fontId="0" fillId="0" borderId="0" xfId="15" applyBorder="1" applyAlignment="1">
      <alignment wrapText="1"/>
    </xf>
    <xf numFmtId="0" fontId="0" fillId="0" borderId="0" xfId="0" applyBorder="1" applyAlignment="1">
      <alignment wrapText="1"/>
    </xf>
    <xf numFmtId="171" fontId="2" fillId="0" borderId="0" xfId="15" applyFont="1" applyBorder="1" applyAlignment="1">
      <alignment/>
    </xf>
    <xf numFmtId="171" fontId="0" fillId="0" borderId="0" xfId="15" applyBorder="1" applyAlignment="1">
      <alignment/>
    </xf>
    <xf numFmtId="175" fontId="0" fillId="0" borderId="0" xfId="34" applyNumberFormat="1" applyBorder="1" applyAlignment="1">
      <alignment/>
    </xf>
    <xf numFmtId="171" fontId="0" fillId="0" borderId="0" xfId="15" applyBorder="1" applyAlignment="1">
      <alignment/>
    </xf>
    <xf numFmtId="171" fontId="0" fillId="0" borderId="0" xfId="15" applyFont="1" applyBorder="1" applyAlignment="1">
      <alignment/>
    </xf>
    <xf numFmtId="10" fontId="0" fillId="0" borderId="0" xfId="34" applyNumberFormat="1" applyBorder="1" applyAlignment="1">
      <alignment/>
    </xf>
    <xf numFmtId="171" fontId="0" fillId="0" borderId="0" xfId="15" applyFont="1" applyBorder="1" applyAlignment="1">
      <alignment/>
    </xf>
  </cellXfs>
  <cellStyles count="22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Hyperlink_Sheet6" xfId="27"/>
    <cellStyle name="Normal_2006 Income Statement" xfId="28"/>
    <cellStyle name="Normal_Capital Tax Schedule" xfId="29"/>
    <cellStyle name="Normal_OEB Trial Balance - Regulatory-July24-07" xfId="30"/>
    <cellStyle name="Normal_Service Revenue Requirement" xfId="31"/>
    <cellStyle name="Normal_Sheet2" xfId="32"/>
    <cellStyle name="Normal_SIMPIL_MODEL_2004_ver2.6 (for rates application)" xfId="33"/>
    <cellStyle name="Percent" xfId="34"/>
    <cellStyle name="Total" xfId="35"/>
  </cellStyles>
  <dxfs count="2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15</xdr:row>
      <xdr:rowOff>57150</xdr:rowOff>
    </xdr:from>
    <xdr:to>
      <xdr:col>12</xdr:col>
      <xdr:colOff>142875</xdr:colOff>
      <xdr:row>35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562225"/>
          <a:ext cx="83153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9525</xdr:rowOff>
    </xdr:from>
    <xdr:to>
      <xdr:col>7</xdr:col>
      <xdr:colOff>0</xdr:colOff>
      <xdr:row>6</xdr:row>
      <xdr:rowOff>152400</xdr:rowOff>
    </xdr:to>
    <xdr:sp>
      <xdr:nvSpPr>
        <xdr:cNvPr id="1" name="AutoShape 2"/>
        <xdr:cNvSpPr>
          <a:spLocks/>
        </xdr:cNvSpPr>
      </xdr:nvSpPr>
      <xdr:spPr>
        <a:xfrm rot="5400000">
          <a:off x="3752850" y="981075"/>
          <a:ext cx="3038475" cy="142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5</xdr:row>
      <xdr:rowOff>152400</xdr:rowOff>
    </xdr:from>
    <xdr:to>
      <xdr:col>12</xdr:col>
      <xdr:colOff>9525</xdr:colOff>
      <xdr:row>6</xdr:row>
      <xdr:rowOff>142875</xdr:rowOff>
    </xdr:to>
    <xdr:sp>
      <xdr:nvSpPr>
        <xdr:cNvPr id="2" name="AutoShape 3"/>
        <xdr:cNvSpPr>
          <a:spLocks/>
        </xdr:cNvSpPr>
      </xdr:nvSpPr>
      <xdr:spPr>
        <a:xfrm rot="5400000">
          <a:off x="6886575" y="962025"/>
          <a:ext cx="302895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9525</xdr:rowOff>
    </xdr:from>
    <xdr:to>
      <xdr:col>7</xdr:col>
      <xdr:colOff>0</xdr:colOff>
      <xdr:row>6</xdr:row>
      <xdr:rowOff>152400</xdr:rowOff>
    </xdr:to>
    <xdr:sp>
      <xdr:nvSpPr>
        <xdr:cNvPr id="1" name="AutoShape 2"/>
        <xdr:cNvSpPr>
          <a:spLocks/>
        </xdr:cNvSpPr>
      </xdr:nvSpPr>
      <xdr:spPr>
        <a:xfrm rot="5400000">
          <a:off x="3752850" y="981075"/>
          <a:ext cx="3038475" cy="142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5</xdr:row>
      <xdr:rowOff>152400</xdr:rowOff>
    </xdr:from>
    <xdr:to>
      <xdr:col>12</xdr:col>
      <xdr:colOff>9525</xdr:colOff>
      <xdr:row>6</xdr:row>
      <xdr:rowOff>142875</xdr:rowOff>
    </xdr:to>
    <xdr:sp>
      <xdr:nvSpPr>
        <xdr:cNvPr id="2" name="AutoShape 3"/>
        <xdr:cNvSpPr>
          <a:spLocks/>
        </xdr:cNvSpPr>
      </xdr:nvSpPr>
      <xdr:spPr>
        <a:xfrm rot="5400000">
          <a:off x="6886575" y="962025"/>
          <a:ext cx="302895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9525</xdr:rowOff>
    </xdr:from>
    <xdr:to>
      <xdr:col>7</xdr:col>
      <xdr:colOff>0</xdr:colOff>
      <xdr:row>6</xdr:row>
      <xdr:rowOff>152400</xdr:rowOff>
    </xdr:to>
    <xdr:sp>
      <xdr:nvSpPr>
        <xdr:cNvPr id="1" name="AutoShape 2"/>
        <xdr:cNvSpPr>
          <a:spLocks/>
        </xdr:cNvSpPr>
      </xdr:nvSpPr>
      <xdr:spPr>
        <a:xfrm rot="5400000">
          <a:off x="3752850" y="981075"/>
          <a:ext cx="3038475" cy="142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5</xdr:row>
      <xdr:rowOff>152400</xdr:rowOff>
    </xdr:from>
    <xdr:to>
      <xdr:col>12</xdr:col>
      <xdr:colOff>9525</xdr:colOff>
      <xdr:row>6</xdr:row>
      <xdr:rowOff>142875</xdr:rowOff>
    </xdr:to>
    <xdr:sp>
      <xdr:nvSpPr>
        <xdr:cNvPr id="2" name="AutoShape 3"/>
        <xdr:cNvSpPr>
          <a:spLocks/>
        </xdr:cNvSpPr>
      </xdr:nvSpPr>
      <xdr:spPr>
        <a:xfrm rot="5400000">
          <a:off x="6886575" y="962025"/>
          <a:ext cx="3343275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9525</xdr:rowOff>
    </xdr:from>
    <xdr:to>
      <xdr:col>7</xdr:col>
      <xdr:colOff>0</xdr:colOff>
      <xdr:row>6</xdr:row>
      <xdr:rowOff>152400</xdr:rowOff>
    </xdr:to>
    <xdr:sp>
      <xdr:nvSpPr>
        <xdr:cNvPr id="1" name="AutoShape 2"/>
        <xdr:cNvSpPr>
          <a:spLocks/>
        </xdr:cNvSpPr>
      </xdr:nvSpPr>
      <xdr:spPr>
        <a:xfrm rot="5400000">
          <a:off x="3829050" y="981075"/>
          <a:ext cx="3038475" cy="142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5</xdr:row>
      <xdr:rowOff>152400</xdr:rowOff>
    </xdr:from>
    <xdr:to>
      <xdr:col>12</xdr:col>
      <xdr:colOff>9525</xdr:colOff>
      <xdr:row>6</xdr:row>
      <xdr:rowOff>142875</xdr:rowOff>
    </xdr:to>
    <xdr:sp>
      <xdr:nvSpPr>
        <xdr:cNvPr id="2" name="AutoShape 3"/>
        <xdr:cNvSpPr>
          <a:spLocks/>
        </xdr:cNvSpPr>
      </xdr:nvSpPr>
      <xdr:spPr>
        <a:xfrm rot="5400000">
          <a:off x="6962775" y="962025"/>
          <a:ext cx="3343275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9525</xdr:rowOff>
    </xdr:from>
    <xdr:to>
      <xdr:col>7</xdr:col>
      <xdr:colOff>0</xdr:colOff>
      <xdr:row>6</xdr:row>
      <xdr:rowOff>152400</xdr:rowOff>
    </xdr:to>
    <xdr:sp>
      <xdr:nvSpPr>
        <xdr:cNvPr id="1" name="AutoShape 2"/>
        <xdr:cNvSpPr>
          <a:spLocks/>
        </xdr:cNvSpPr>
      </xdr:nvSpPr>
      <xdr:spPr>
        <a:xfrm rot="5400000">
          <a:off x="3848100" y="981075"/>
          <a:ext cx="3038475" cy="142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5</xdr:row>
      <xdr:rowOff>152400</xdr:rowOff>
    </xdr:from>
    <xdr:to>
      <xdr:col>12</xdr:col>
      <xdr:colOff>9525</xdr:colOff>
      <xdr:row>6</xdr:row>
      <xdr:rowOff>142875</xdr:rowOff>
    </xdr:to>
    <xdr:sp>
      <xdr:nvSpPr>
        <xdr:cNvPr id="2" name="AutoShape 3"/>
        <xdr:cNvSpPr>
          <a:spLocks/>
        </xdr:cNvSpPr>
      </xdr:nvSpPr>
      <xdr:spPr>
        <a:xfrm rot="5400000">
          <a:off x="6991350" y="962025"/>
          <a:ext cx="302895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9525</xdr:rowOff>
    </xdr:from>
    <xdr:to>
      <xdr:col>7</xdr:col>
      <xdr:colOff>0</xdr:colOff>
      <xdr:row>6</xdr:row>
      <xdr:rowOff>152400</xdr:rowOff>
    </xdr:to>
    <xdr:sp>
      <xdr:nvSpPr>
        <xdr:cNvPr id="1" name="AutoShape 3"/>
        <xdr:cNvSpPr>
          <a:spLocks/>
        </xdr:cNvSpPr>
      </xdr:nvSpPr>
      <xdr:spPr>
        <a:xfrm rot="5400000">
          <a:off x="3838575" y="981075"/>
          <a:ext cx="3038475" cy="142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5</xdr:row>
      <xdr:rowOff>152400</xdr:rowOff>
    </xdr:from>
    <xdr:to>
      <xdr:col>12</xdr:col>
      <xdr:colOff>9525</xdr:colOff>
      <xdr:row>6</xdr:row>
      <xdr:rowOff>142875</xdr:rowOff>
    </xdr:to>
    <xdr:sp>
      <xdr:nvSpPr>
        <xdr:cNvPr id="2" name="AutoShape 4"/>
        <xdr:cNvSpPr>
          <a:spLocks/>
        </xdr:cNvSpPr>
      </xdr:nvSpPr>
      <xdr:spPr>
        <a:xfrm rot="5400000">
          <a:off x="6962775" y="962025"/>
          <a:ext cx="3343275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9525</xdr:rowOff>
    </xdr:from>
    <xdr:to>
      <xdr:col>7</xdr:col>
      <xdr:colOff>0</xdr:colOff>
      <xdr:row>6</xdr:row>
      <xdr:rowOff>152400</xdr:rowOff>
    </xdr:to>
    <xdr:sp>
      <xdr:nvSpPr>
        <xdr:cNvPr id="1" name="AutoShape 2"/>
        <xdr:cNvSpPr>
          <a:spLocks/>
        </xdr:cNvSpPr>
      </xdr:nvSpPr>
      <xdr:spPr>
        <a:xfrm rot="5400000">
          <a:off x="3781425" y="981075"/>
          <a:ext cx="3038475" cy="142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5</xdr:row>
      <xdr:rowOff>152400</xdr:rowOff>
    </xdr:from>
    <xdr:to>
      <xdr:col>12</xdr:col>
      <xdr:colOff>9525</xdr:colOff>
      <xdr:row>6</xdr:row>
      <xdr:rowOff>142875</xdr:rowOff>
    </xdr:to>
    <xdr:sp>
      <xdr:nvSpPr>
        <xdr:cNvPr id="2" name="AutoShape 3"/>
        <xdr:cNvSpPr>
          <a:spLocks/>
        </xdr:cNvSpPr>
      </xdr:nvSpPr>
      <xdr:spPr>
        <a:xfrm rot="5400000">
          <a:off x="6905625" y="962025"/>
          <a:ext cx="302895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nts%20and%20Settings\mmaw\Local%20Settings\Temporary%20Internet%20Files\OLKBC\Exhibit%203%20Distribution%20Revenue%20Throughputs%20-%20Bla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60" workbookViewId="0" topLeftCell="A1">
      <selection activeCell="D57" sqref="D57"/>
    </sheetView>
  </sheetViews>
  <sheetFormatPr defaultColWidth="9.140625" defaultRowHeight="12.75"/>
  <cols>
    <col min="1" max="1" width="18.7109375" style="0" customWidth="1"/>
    <col min="2" max="2" width="20.421875" style="0" customWidth="1"/>
    <col min="3" max="3" width="3.8515625" style="0" customWidth="1"/>
    <col min="4" max="4" width="17.8515625" style="0" customWidth="1"/>
  </cols>
  <sheetData>
    <row r="1" spans="1:4" ht="15.75">
      <c r="A1" s="438" t="s">
        <v>314</v>
      </c>
      <c r="B1" s="438"/>
      <c r="C1" s="438"/>
      <c r="D1" s="438"/>
    </row>
    <row r="2" spans="1:2" ht="15.75">
      <c r="A2" s="196"/>
      <c r="B2" s="290"/>
    </row>
    <row r="3" spans="2:4" ht="12.75">
      <c r="B3" s="439"/>
      <c r="C3" s="439"/>
      <c r="D3" s="439"/>
    </row>
    <row r="4" spans="1:4" ht="12.75">
      <c r="A4" s="255" t="s">
        <v>229</v>
      </c>
      <c r="B4" s="439" t="s">
        <v>860</v>
      </c>
      <c r="C4" s="439"/>
      <c r="D4" s="439"/>
    </row>
    <row r="5" spans="2:4" ht="12.75">
      <c r="B5" s="439"/>
      <c r="C5" s="439"/>
      <c r="D5" s="439"/>
    </row>
    <row r="6" spans="1:4" ht="12.75">
      <c r="A6" s="255" t="s">
        <v>233</v>
      </c>
      <c r="B6" s="439" t="s">
        <v>885</v>
      </c>
      <c r="C6" s="439"/>
      <c r="D6" s="439"/>
    </row>
    <row r="7" spans="2:4" ht="12.75">
      <c r="B7" s="439"/>
      <c r="C7" s="439"/>
      <c r="D7" s="439"/>
    </row>
    <row r="8" spans="1:4" ht="12.75">
      <c r="A8" s="255" t="s">
        <v>230</v>
      </c>
      <c r="B8" s="439" t="s">
        <v>886</v>
      </c>
      <c r="C8" s="439"/>
      <c r="D8" s="439"/>
    </row>
    <row r="9" spans="1:4" ht="12.75">
      <c r="A9" s="61"/>
      <c r="B9" s="439"/>
      <c r="C9" s="439"/>
      <c r="D9" s="439"/>
    </row>
    <row r="10" spans="1:4" ht="12.75">
      <c r="A10" s="255" t="s">
        <v>232</v>
      </c>
      <c r="B10" s="437" t="s">
        <v>861</v>
      </c>
      <c r="C10" s="437"/>
      <c r="D10" s="437"/>
    </row>
    <row r="11" spans="2:4" ht="12.75">
      <c r="B11" s="437" t="s">
        <v>862</v>
      </c>
      <c r="C11" s="437"/>
      <c r="D11" s="437"/>
    </row>
    <row r="12" spans="2:4" ht="12.75">
      <c r="B12" s="437" t="s">
        <v>863</v>
      </c>
      <c r="C12" s="437"/>
      <c r="D12" s="437"/>
    </row>
    <row r="13" spans="2:4" ht="12.75">
      <c r="B13" s="436"/>
      <c r="C13" s="436"/>
      <c r="D13" s="436"/>
    </row>
    <row r="14" spans="1:4" ht="12.75">
      <c r="A14" s="255" t="s">
        <v>234</v>
      </c>
      <c r="B14" s="440" t="s">
        <v>864</v>
      </c>
      <c r="C14" s="440"/>
      <c r="D14" s="440"/>
    </row>
    <row r="15" spans="2:4" ht="12.75">
      <c r="B15" s="436"/>
      <c r="C15" s="436"/>
      <c r="D15" s="436"/>
    </row>
  </sheetData>
  <sheetProtection/>
  <mergeCells count="14">
    <mergeCell ref="A1:D1"/>
    <mergeCell ref="B9:D9"/>
    <mergeCell ref="B14:D14"/>
    <mergeCell ref="B13:D13"/>
    <mergeCell ref="B3:D3"/>
    <mergeCell ref="B4:D4"/>
    <mergeCell ref="B5:D5"/>
    <mergeCell ref="B6:D6"/>
    <mergeCell ref="B7:D7"/>
    <mergeCell ref="B8:D8"/>
    <mergeCell ref="B15:D15"/>
    <mergeCell ref="B10:D10"/>
    <mergeCell ref="B11:D11"/>
    <mergeCell ref="B12:D12"/>
  </mergeCells>
  <printOptions/>
  <pageMargins left="0.75" right="0.75" top="1" bottom="1" header="0.5" footer="0.5"/>
  <pageSetup horizontalDpi="355" verticalDpi="355" orientation="landscape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53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73.28125" style="30" customWidth="1"/>
    <col min="2" max="2" width="20.8515625" style="0" customWidth="1"/>
    <col min="3" max="16384" width="9.140625" style="21" customWidth="1"/>
  </cols>
  <sheetData>
    <row r="1" spans="1:2" ht="12.75">
      <c r="A1" s="441" t="str">
        <f>'Trial Balance'!A1:J1</f>
        <v>North Bay Hydro Distribution Ltd.</v>
      </c>
      <c r="B1" s="441"/>
    </row>
    <row r="2" spans="1:2" ht="12.75">
      <c r="A2" s="441" t="str">
        <f>'Trial Balance'!A2:J2</f>
        <v>License Number ED-2003-0024, File Number EB-2009-0270</v>
      </c>
      <c r="B2" s="441"/>
    </row>
    <row r="3" spans="1:2" ht="15.75">
      <c r="A3" s="433" t="str">
        <f>Notes!B4</f>
        <v>North Bay Hydro Distribution Ltd.</v>
      </c>
      <c r="B3" s="433"/>
    </row>
    <row r="4" spans="1:2" ht="15.75">
      <c r="A4" s="433" t="s">
        <v>178</v>
      </c>
      <c r="B4" s="433"/>
    </row>
    <row r="5" spans="1:2" ht="15" customHeight="1">
      <c r="A5" s="71" t="s">
        <v>545</v>
      </c>
      <c r="B5" s="71" t="s">
        <v>153</v>
      </c>
    </row>
    <row r="6" spans="1:2" ht="15" customHeight="1">
      <c r="A6" s="434" t="s">
        <v>148</v>
      </c>
      <c r="B6" s="434"/>
    </row>
    <row r="7" spans="1:2" ht="15" customHeight="1">
      <c r="A7" s="32" t="str">
        <f>'Trial Balance'!A8&amp;"-"&amp;'Trial Balance'!B8</f>
        <v>1005-Cash</v>
      </c>
      <c r="B7" s="23">
        <f>'Trial Balance'!D8</f>
        <v>3324121.71</v>
      </c>
    </row>
    <row r="8" spans="1:2" ht="15" customHeight="1">
      <c r="A8" s="32" t="str">
        <f>'Trial Balance'!A9&amp;"-"&amp;'Trial Balance'!B9</f>
        <v>1010-Cash Advances and Working Funds</v>
      </c>
      <c r="B8" s="23">
        <f>'Trial Balance'!D9</f>
        <v>0</v>
      </c>
    </row>
    <row r="9" spans="1:2" ht="15" customHeight="1">
      <c r="A9" s="32" t="str">
        <f>'Trial Balance'!A10&amp;"-"&amp;'Trial Balance'!B10</f>
        <v>1020-Interest Special Deposits</v>
      </c>
      <c r="B9" s="23">
        <f>'Trial Balance'!D10</f>
        <v>0</v>
      </c>
    </row>
    <row r="10" spans="1:2" ht="15" customHeight="1">
      <c r="A10" s="32" t="str">
        <f>'Trial Balance'!A11&amp;"-"&amp;'Trial Balance'!B11</f>
        <v>1030-Dividend Special Deposits</v>
      </c>
      <c r="B10" s="23">
        <f>'Trial Balance'!D11</f>
        <v>0</v>
      </c>
    </row>
    <row r="11" spans="1:2" ht="15" customHeight="1">
      <c r="A11" s="32" t="str">
        <f>'Trial Balance'!A12&amp;"-"&amp;'Trial Balance'!B12</f>
        <v>1040-Other Special Deposits</v>
      </c>
      <c r="B11" s="23">
        <f>'Trial Balance'!D12</f>
        <v>0</v>
      </c>
    </row>
    <row r="12" spans="1:2" ht="15" customHeight="1">
      <c r="A12" s="32" t="str">
        <f>'Trial Balance'!A13&amp;"-"&amp;'Trial Balance'!B13</f>
        <v>1060-Term Deposits</v>
      </c>
      <c r="B12" s="23">
        <f>'Trial Balance'!D13</f>
        <v>6513325.99</v>
      </c>
    </row>
    <row r="13" spans="1:2" ht="15" customHeight="1">
      <c r="A13" s="32" t="str">
        <f>'Trial Balance'!A14&amp;"-"&amp;'Trial Balance'!B14</f>
        <v>1070-Current Investments</v>
      </c>
      <c r="B13" s="23">
        <f>'Trial Balance'!D14</f>
        <v>0</v>
      </c>
    </row>
    <row r="14" spans="1:2" ht="15" customHeight="1">
      <c r="A14" s="32" t="str">
        <f>'Trial Balance'!A15&amp;"-"&amp;'Trial Balance'!B15</f>
        <v>1100-Customer Accounts Receivable</v>
      </c>
      <c r="B14" s="23">
        <f>'Trial Balance'!D15</f>
        <v>4504532.9</v>
      </c>
    </row>
    <row r="15" spans="1:2" ht="15" customHeight="1">
      <c r="A15" s="32" t="str">
        <f>'Trial Balance'!A16&amp;"-"&amp;'Trial Balance'!B16</f>
        <v>1102-Accounts Receivable - Services</v>
      </c>
      <c r="B15" s="23">
        <f>'Trial Balance'!D16</f>
        <v>-79695.63</v>
      </c>
    </row>
    <row r="16" spans="1:2" ht="15" customHeight="1">
      <c r="A16" s="32" t="str">
        <f>'Trial Balance'!A17&amp;"-"&amp;'Trial Balance'!B17</f>
        <v>1104-Accounts Receivable - Recoverable Work</v>
      </c>
      <c r="B16" s="23">
        <f>'Trial Balance'!D17</f>
        <v>209919.21</v>
      </c>
    </row>
    <row r="17" spans="1:2" ht="15" customHeight="1">
      <c r="A17" s="32" t="str">
        <f>'Trial Balance'!A18&amp;"-"&amp;'Trial Balance'!B18</f>
        <v>1105-Accounts Receivable - Merchandise, Jobbing, etc.</v>
      </c>
      <c r="B17" s="23">
        <f>'Trial Balance'!D18</f>
        <v>4556.66</v>
      </c>
    </row>
    <row r="18" spans="1:2" ht="15" customHeight="1">
      <c r="A18" s="32" t="str">
        <f>'Trial Balance'!A19&amp;"-"&amp;'Trial Balance'!B19</f>
        <v>1110-Other Accounts Receivable</v>
      </c>
      <c r="B18" s="23">
        <f>'Trial Balance'!D19</f>
        <v>216933.77</v>
      </c>
    </row>
    <row r="19" spans="1:2" ht="15" customHeight="1">
      <c r="A19" s="32" t="str">
        <f>'Trial Balance'!A20&amp;"-"&amp;'Trial Balance'!B20</f>
        <v>1120-Accrued Utility Revenues</v>
      </c>
      <c r="B19" s="23">
        <f>'Trial Balance'!D20</f>
        <v>4415240.78</v>
      </c>
    </row>
    <row r="20" spans="1:2" ht="15" customHeight="1">
      <c r="A20" s="32" t="str">
        <f>'Trial Balance'!A21&amp;"-"&amp;'Trial Balance'!B21</f>
        <v>1130-Accumulated Provision for Uncollectable Accounts -- Credit</v>
      </c>
      <c r="B20" s="23">
        <f>'Trial Balance'!D21</f>
        <v>-78000.38</v>
      </c>
    </row>
    <row r="21" spans="1:2" ht="15" customHeight="1">
      <c r="A21" s="32" t="str">
        <f>'Trial Balance'!A22&amp;"-"&amp;'Trial Balance'!B22</f>
        <v>1140-Interest and Dividends Receivable</v>
      </c>
      <c r="B21" s="23">
        <f>'Trial Balance'!D22</f>
        <v>13160.18</v>
      </c>
    </row>
    <row r="22" spans="1:2" ht="15" customHeight="1">
      <c r="A22" s="32" t="str">
        <f>'Trial Balance'!A23&amp;"-"&amp;'Trial Balance'!B23</f>
        <v>1150-Rents Receivable</v>
      </c>
      <c r="B22" s="23">
        <f>'Trial Balance'!D23</f>
        <v>0</v>
      </c>
    </row>
    <row r="23" spans="1:2" ht="15" customHeight="1">
      <c r="A23" s="32" t="str">
        <f>'Trial Balance'!A24&amp;"-"&amp;'Trial Balance'!B24</f>
        <v>1170-Notes Receivable</v>
      </c>
      <c r="B23" s="23">
        <f>'Trial Balance'!D24</f>
        <v>0</v>
      </c>
    </row>
    <row r="24" spans="1:2" ht="15" customHeight="1">
      <c r="A24" s="32" t="str">
        <f>'Trial Balance'!A25&amp;"-"&amp;'Trial Balance'!B25</f>
        <v>1180-Prepayments</v>
      </c>
      <c r="B24" s="23">
        <f>'Trial Balance'!D25</f>
        <v>131723.73</v>
      </c>
    </row>
    <row r="25" spans="1:2" ht="15" customHeight="1">
      <c r="A25" s="32" t="str">
        <f>'Trial Balance'!A26&amp;"-"&amp;'Trial Balance'!B26</f>
        <v>1190-Miscellaneous Current and Accrued Assets</v>
      </c>
      <c r="B25" s="23">
        <f>'Trial Balance'!D26</f>
        <v>0</v>
      </c>
    </row>
    <row r="26" spans="1:2" ht="15" customHeight="1">
      <c r="A26" s="32" t="str">
        <f>'Trial Balance'!A27&amp;"-"&amp;'Trial Balance'!B27</f>
        <v>1200-Accounts Receivable from Associated Companies</v>
      </c>
      <c r="B26" s="23">
        <f>'Trial Balance'!D27</f>
        <v>537919.21</v>
      </c>
    </row>
    <row r="27" spans="1:2" ht="15" customHeight="1" thickBot="1">
      <c r="A27" s="32" t="str">
        <f>'Trial Balance'!A28&amp;"-"&amp;'Trial Balance'!B28</f>
        <v>1210-Notes  Receivable from Associated Companies</v>
      </c>
      <c r="B27" s="23">
        <f>'Trial Balance'!D28</f>
        <v>1332950</v>
      </c>
    </row>
    <row r="28" spans="1:2" ht="15" customHeight="1" thickBot="1">
      <c r="A28" s="34" t="s">
        <v>149</v>
      </c>
      <c r="B28" s="31">
        <f>SUM(B7:B27)</f>
        <v>21046688.130000003</v>
      </c>
    </row>
    <row r="29" spans="1:2" ht="8.25" customHeight="1">
      <c r="A29" s="435"/>
      <c r="B29" s="435"/>
    </row>
    <row r="30" spans="1:2" ht="15" customHeight="1">
      <c r="A30" s="432" t="s">
        <v>150</v>
      </c>
      <c r="B30" s="432"/>
    </row>
    <row r="31" spans="1:2" ht="15" customHeight="1">
      <c r="A31" s="32" t="str">
        <f>'Trial Balance'!A30&amp;"-"&amp;'Trial Balance'!B30</f>
        <v>1305-Fuel Stock</v>
      </c>
      <c r="B31" s="23">
        <f>'Trial Balance'!D30</f>
        <v>0</v>
      </c>
    </row>
    <row r="32" spans="1:2" ht="15" customHeight="1">
      <c r="A32" s="32" t="str">
        <f>'Trial Balance'!A31&amp;"-"&amp;'Trial Balance'!B31</f>
        <v>1330-Plant Materials and Operating Supplies</v>
      </c>
      <c r="B32" s="23">
        <f>'Trial Balance'!D31</f>
        <v>784548.81</v>
      </c>
    </row>
    <row r="33" spans="1:2" ht="15" customHeight="1">
      <c r="A33" s="32" t="str">
        <f>'Trial Balance'!A32&amp;"-"&amp;'Trial Balance'!B32</f>
        <v>1340-Merchandise</v>
      </c>
      <c r="B33" s="23">
        <f>'Trial Balance'!D32</f>
        <v>0</v>
      </c>
    </row>
    <row r="34" spans="1:2" ht="15" customHeight="1" thickBot="1">
      <c r="A34" s="32" t="str">
        <f>'Trial Balance'!A33&amp;"-"&amp;'Trial Balance'!B33</f>
        <v>1350-Other Material and Supplies</v>
      </c>
      <c r="B34" s="23">
        <f>'Trial Balance'!D33</f>
        <v>0</v>
      </c>
    </row>
    <row r="35" spans="1:2" ht="15" customHeight="1" thickBot="1">
      <c r="A35" s="35" t="s">
        <v>102</v>
      </c>
      <c r="B35" s="31">
        <f>SUM(B31:B34)</f>
        <v>784548.81</v>
      </c>
    </row>
    <row r="36" spans="1:2" ht="15" customHeight="1">
      <c r="A36" s="28"/>
      <c r="B36" s="12"/>
    </row>
    <row r="37" spans="1:2" ht="15" customHeight="1">
      <c r="A37" s="432" t="s">
        <v>103</v>
      </c>
      <c r="B37" s="432"/>
    </row>
    <row r="38" spans="1:2" ht="15" customHeight="1">
      <c r="A38" s="32" t="str">
        <f>'Trial Balance'!A35&amp;"-"&amp;'Trial Balance'!B35</f>
        <v>1405-Long Term Investments in Non-Associated Companies</v>
      </c>
      <c r="B38" s="23">
        <f>'Trial Balance'!D35</f>
        <v>0</v>
      </c>
    </row>
    <row r="39" spans="1:2" ht="15" customHeight="1">
      <c r="A39" s="32" t="str">
        <f>'Trial Balance'!A36&amp;"-"&amp;'Trial Balance'!B36</f>
        <v>1408-Long Term Receivable - Street Lighting Transfer</v>
      </c>
      <c r="B39" s="23">
        <f>'Trial Balance'!D36</f>
        <v>0</v>
      </c>
    </row>
    <row r="40" spans="1:2" ht="15" customHeight="1">
      <c r="A40" s="32" t="str">
        <f>'Trial Balance'!A37&amp;"-"&amp;'Trial Balance'!B37</f>
        <v>1410-Other Special or Collateral Funds</v>
      </c>
      <c r="B40" s="23">
        <f>'Trial Balance'!D37</f>
        <v>0</v>
      </c>
    </row>
    <row r="41" spans="1:2" ht="15" customHeight="1">
      <c r="A41" s="32" t="str">
        <f>'Trial Balance'!A38&amp;"-"&amp;'Trial Balance'!B38</f>
        <v>1415-Sinking Funds</v>
      </c>
      <c r="B41" s="23">
        <f>'Trial Balance'!D38</f>
        <v>0</v>
      </c>
    </row>
    <row r="42" spans="1:2" ht="15" customHeight="1">
      <c r="A42" s="32" t="str">
        <f>'Trial Balance'!A39&amp;"-"&amp;'Trial Balance'!B39</f>
        <v>1425-Unamortized Debt Expense</v>
      </c>
      <c r="B42" s="23">
        <f>'Trial Balance'!D39</f>
        <v>0</v>
      </c>
    </row>
    <row r="43" spans="1:2" ht="15" customHeight="1">
      <c r="A43" s="32" t="str">
        <f>'Trial Balance'!A40&amp;"-"&amp;'Trial Balance'!B40</f>
        <v>1445-Unamortized Discount on Long-Term Debt--Debit</v>
      </c>
      <c r="B43" s="23">
        <f>'Trial Balance'!D40</f>
        <v>0</v>
      </c>
    </row>
    <row r="44" spans="1:2" ht="15" customHeight="1">
      <c r="A44" s="32" t="str">
        <f>'Trial Balance'!A41&amp;"-"&amp;'Trial Balance'!B41</f>
        <v>1455-Unamortized Deferred Foreign Currency Translation Gains and Losses</v>
      </c>
      <c r="B44" s="23">
        <f>'Trial Balance'!D41</f>
        <v>0</v>
      </c>
    </row>
    <row r="45" spans="1:2" ht="15" customHeight="1">
      <c r="A45" s="32" t="str">
        <f>'Trial Balance'!A42&amp;"-"&amp;'Trial Balance'!B42</f>
        <v>1460-Other Non-Current Assets</v>
      </c>
      <c r="B45" s="23">
        <f>'Trial Balance'!D42</f>
        <v>0</v>
      </c>
    </row>
    <row r="46" spans="1:2" ht="15" customHeight="1">
      <c r="A46" s="32" t="str">
        <f>'Trial Balance'!A43&amp;"-"&amp;'Trial Balance'!B43</f>
        <v>1465-O.M.E.R.S. Past Service Costs</v>
      </c>
      <c r="B46" s="23">
        <f>'Trial Balance'!D43</f>
        <v>0</v>
      </c>
    </row>
    <row r="47" spans="1:2" ht="15" customHeight="1">
      <c r="A47" s="32" t="str">
        <f>'Trial Balance'!A44&amp;"-"&amp;'Trial Balance'!B44</f>
        <v>1470-Past Service Costs - Employee Future Benefits</v>
      </c>
      <c r="B47" s="23">
        <f>'Trial Balance'!D44</f>
        <v>0</v>
      </c>
    </row>
    <row r="48" spans="1:2" ht="15" customHeight="1">
      <c r="A48" s="32" t="str">
        <f>'Trial Balance'!A45&amp;"-"&amp;'Trial Balance'!B45</f>
        <v>1475-Past Service Costs -Other Pension Plans</v>
      </c>
      <c r="B48" s="23">
        <f>'Trial Balance'!D45</f>
        <v>0</v>
      </c>
    </row>
    <row r="49" spans="1:2" ht="15" customHeight="1">
      <c r="A49" s="32" t="str">
        <f>'Trial Balance'!A46&amp;"-"&amp;'Trial Balance'!B46</f>
        <v>1480-Portfolio Investments - Associated Companies</v>
      </c>
      <c r="B49" s="23">
        <f>'Trial Balance'!D46</f>
        <v>0</v>
      </c>
    </row>
    <row r="50" spans="1:2" ht="15" customHeight="1">
      <c r="A50" s="32" t="str">
        <f>'Trial Balance'!A47&amp;"-"&amp;'Trial Balance'!B47</f>
        <v>1485-Investment In Subsidiary Companies - Significant Influence</v>
      </c>
      <c r="B50" s="23">
        <f>'Trial Balance'!D47</f>
        <v>0</v>
      </c>
    </row>
    <row r="51" spans="1:2" ht="15" customHeight="1" thickBot="1">
      <c r="A51" s="32" t="str">
        <f>'Trial Balance'!A48&amp;"-"&amp;'Trial Balance'!B48</f>
        <v>1490-Investment in Subsidiary Companies</v>
      </c>
      <c r="B51" s="23">
        <f>'Trial Balance'!D48</f>
        <v>0</v>
      </c>
    </row>
    <row r="52" spans="1:2" ht="15" customHeight="1" thickBot="1">
      <c r="A52" s="35" t="s">
        <v>104</v>
      </c>
      <c r="B52" s="31">
        <f>SUM(B38:B51)</f>
        <v>0</v>
      </c>
    </row>
    <row r="53" spans="1:2" ht="15" customHeight="1">
      <c r="A53" s="28"/>
      <c r="B53" s="12"/>
    </row>
    <row r="54" spans="1:2" ht="15" customHeight="1">
      <c r="A54" s="432" t="s">
        <v>874</v>
      </c>
      <c r="B54" s="432"/>
    </row>
    <row r="55" spans="1:2" ht="15" customHeight="1">
      <c r="A55" s="32" t="str">
        <f>'Trial Balance'!A392&amp;"-"&amp;'Trial Balance'!B392</f>
        <v>1606-Intangible Plant - Organization</v>
      </c>
      <c r="B55" s="23">
        <f>+'Trial Balance'!D392</f>
        <v>6361.01</v>
      </c>
    </row>
    <row r="56" spans="1:2" ht="15" customHeight="1" thickBot="1">
      <c r="A56" s="32" t="str">
        <f>'Trial Balance'!A393&amp;"-"&amp;'Trial Balance'!B393</f>
        <v>1610-Intangible Plant - Misc. Intangible Plant</v>
      </c>
      <c r="B56" s="23">
        <f>'Trial Balance'!D47</f>
        <v>0</v>
      </c>
    </row>
    <row r="57" spans="1:2" ht="15" customHeight="1" thickBot="1">
      <c r="A57" s="35" t="s">
        <v>875</v>
      </c>
      <c r="B57" s="31">
        <f>SUM(B55:B56)</f>
        <v>6361.01</v>
      </c>
    </row>
    <row r="58" spans="1:2" ht="15" customHeight="1">
      <c r="A58" s="28"/>
      <c r="B58" s="12"/>
    </row>
    <row r="59" spans="1:2" ht="15" customHeight="1">
      <c r="A59" s="432" t="s">
        <v>105</v>
      </c>
      <c r="B59" s="432"/>
    </row>
    <row r="60" spans="1:2" ht="15" customHeight="1">
      <c r="A60" s="32" t="str">
        <f>'Trial Balance'!A50&amp;"-"&amp;'Trial Balance'!B50</f>
        <v>1505-Unrecovered Plant and Regulatory Study Costs</v>
      </c>
      <c r="B60" s="23">
        <f>'Trial Balance'!D50</f>
        <v>0</v>
      </c>
    </row>
    <row r="61" spans="1:2" ht="15" customHeight="1">
      <c r="A61" s="32" t="str">
        <f>'Trial Balance'!A51&amp;"-"&amp;'Trial Balance'!B51</f>
        <v>1508-Other Regulatory Assets</v>
      </c>
      <c r="B61" s="23">
        <f>'Trial Balance'!D51</f>
        <v>268798.24</v>
      </c>
    </row>
    <row r="62" spans="1:2" ht="15" customHeight="1">
      <c r="A62" s="32" t="str">
        <f>'Trial Balance'!A52&amp;"-"&amp;'Trial Balance'!B52</f>
        <v>1510-Preliminary Survey and Investigation Charges</v>
      </c>
      <c r="B62" s="23">
        <f>'Trial Balance'!D52</f>
        <v>0</v>
      </c>
    </row>
    <row r="63" spans="1:2" ht="15" customHeight="1">
      <c r="A63" s="32" t="str">
        <f>'Trial Balance'!A53&amp;"-"&amp;'Trial Balance'!B53</f>
        <v>1515-Emission Allowance Inventory</v>
      </c>
      <c r="B63" s="23">
        <f>'Trial Balance'!D53</f>
        <v>0</v>
      </c>
    </row>
    <row r="64" spans="1:2" ht="15" customHeight="1">
      <c r="A64" s="32" t="str">
        <f>'Trial Balance'!A54&amp;"-"&amp;'Trial Balance'!B54</f>
        <v>1516-Emission Allowance Withheld</v>
      </c>
      <c r="B64" s="23">
        <f>'Trial Balance'!D54</f>
        <v>0</v>
      </c>
    </row>
    <row r="65" spans="1:2" ht="15" customHeight="1">
      <c r="A65" s="32" t="str">
        <f>'Trial Balance'!A55&amp;"-"&amp;'Trial Balance'!B55</f>
        <v>1518-RCVA - Retail</v>
      </c>
      <c r="B65" s="23">
        <f>'Trial Balance'!D55</f>
        <v>-1437.51</v>
      </c>
    </row>
    <row r="66" spans="1:2" ht="15" customHeight="1">
      <c r="A66" s="32" t="str">
        <f>'Trial Balance'!A56&amp;"-"&amp;'Trial Balance'!B56</f>
        <v>1525-Miscellaneous Deferred Debits</v>
      </c>
      <c r="B66" s="23">
        <f>'Trial Balance'!D56</f>
        <v>1672.4</v>
      </c>
    </row>
    <row r="67" spans="1:2" ht="15" customHeight="1">
      <c r="A67" s="32" t="str">
        <f>'Trial Balance'!A57&amp;"-"&amp;'Trial Balance'!B57</f>
        <v>1530-Deferred Losses from Disposition of Utility Plant</v>
      </c>
      <c r="B67" s="23">
        <f>'Trial Balance'!D57</f>
        <v>0</v>
      </c>
    </row>
    <row r="68" spans="1:2" ht="15" customHeight="1">
      <c r="A68" s="32" t="str">
        <f>'Trial Balance'!A58&amp;"-"&amp;'Trial Balance'!B58</f>
        <v>1540-Deferred Losses from Disposition of Utility Plant</v>
      </c>
      <c r="B68" s="23">
        <f>'Trial Balance'!D58</f>
        <v>0</v>
      </c>
    </row>
    <row r="69" spans="1:2" ht="15" customHeight="1">
      <c r="A69" s="32" t="str">
        <f>'Trial Balance'!A59&amp;"-"&amp;'Trial Balance'!B59</f>
        <v>1545-Development Charge Deposits/ Receivables</v>
      </c>
      <c r="B69" s="23">
        <f>'Trial Balance'!D59</f>
        <v>0</v>
      </c>
    </row>
    <row r="70" spans="1:2" ht="15" customHeight="1">
      <c r="A70" s="32" t="str">
        <f>'Trial Balance'!A60&amp;"-"&amp;'Trial Balance'!B60</f>
        <v>1548-RCVA - Service Transaction Request (STR)</v>
      </c>
      <c r="B70" s="23">
        <f>'Trial Balance'!D60</f>
        <v>43858.3</v>
      </c>
    </row>
    <row r="71" spans="1:2" ht="15" customHeight="1">
      <c r="A71" s="32" t="str">
        <f>'Trial Balance'!A61&amp;"-"&amp;'Trial Balance'!B61</f>
        <v>1550-LV Charges - Variance</v>
      </c>
      <c r="B71" s="23">
        <f>'Trial Balance'!D61</f>
        <v>14233.45</v>
      </c>
    </row>
    <row r="72" spans="1:2" ht="15" customHeight="1">
      <c r="A72" s="32" t="str">
        <f>'Trial Balance'!A62&amp;"-"&amp;'Trial Balance'!B62</f>
        <v>1555-Smart Meters Recovery</v>
      </c>
      <c r="B72" s="23">
        <f>'Trial Balance'!D62</f>
        <v>-64163.37</v>
      </c>
    </row>
    <row r="73" spans="1:2" ht="15" customHeight="1">
      <c r="A73" s="32" t="str">
        <f>'Trial Balance'!A63&amp;"-"&amp;'Trial Balance'!B63</f>
        <v>1556-Smart Meters OM &amp; A</v>
      </c>
      <c r="B73" s="23">
        <f>'Trial Balance'!D63</f>
        <v>6670.51</v>
      </c>
    </row>
    <row r="74" spans="1:2" ht="15" customHeight="1">
      <c r="A74" s="32" t="str">
        <f>'Trial Balance'!A64&amp;"-"&amp;'Trial Balance'!B64</f>
        <v>1562-Deferred PILs</v>
      </c>
      <c r="B74" s="23">
        <f>'Trial Balance'!D64</f>
        <v>-288892</v>
      </c>
    </row>
    <row r="75" spans="1:2" ht="15" customHeight="1">
      <c r="A75" s="32" t="str">
        <f>'Trial Balance'!A65&amp;"-"&amp;'Trial Balance'!B65</f>
        <v>1563-Deferred PILs - Contra</v>
      </c>
      <c r="B75" s="23">
        <f>'Trial Balance'!D65</f>
        <v>0</v>
      </c>
    </row>
    <row r="76" spans="1:2" ht="15" customHeight="1">
      <c r="A76" s="32" t="str">
        <f>'Trial Balance'!A66&amp;"-"&amp;'Trial Balance'!B66</f>
        <v>1565-C &amp; DM Costs</v>
      </c>
      <c r="B76" s="23">
        <f>'Trial Balance'!D66</f>
        <v>-742998.11</v>
      </c>
    </row>
    <row r="77" spans="1:2" ht="15" customHeight="1">
      <c r="A77" s="32" t="str">
        <f>'Trial Balance'!A67&amp;"-"&amp;'Trial Balance'!B67</f>
        <v>1566-C &amp; DM Costs Contra</v>
      </c>
      <c r="B77" s="23">
        <f>'Trial Balance'!D67</f>
        <v>742998.11</v>
      </c>
    </row>
    <row r="78" spans="1:2" ht="15" customHeight="1">
      <c r="A78" s="32" t="str">
        <f>'Trial Balance'!A68&amp;"-"&amp;'Trial Balance'!B68</f>
        <v>1570-Qualifying Transition Costs</v>
      </c>
      <c r="B78" s="23">
        <f>'Trial Balance'!D68</f>
        <v>0</v>
      </c>
    </row>
    <row r="79" spans="1:2" ht="15" customHeight="1">
      <c r="A79" s="32" t="str">
        <f>'Trial Balance'!A69&amp;"-"&amp;'Trial Balance'!B69</f>
        <v>1571-Pre Market CofP Variance</v>
      </c>
      <c r="B79" s="23">
        <f>'Trial Balance'!D69</f>
        <v>945.88</v>
      </c>
    </row>
    <row r="80" spans="1:2" ht="15" customHeight="1">
      <c r="A80" s="32" t="str">
        <f>'Trial Balance'!A70&amp;"-"&amp;'Trial Balance'!B70</f>
        <v>1572-Extraordinary Event Losses</v>
      </c>
      <c r="B80" s="23">
        <f>'Trial Balance'!D70</f>
        <v>0</v>
      </c>
    </row>
    <row r="81" spans="1:2" ht="15" customHeight="1">
      <c r="A81" s="32" t="str">
        <f>'Trial Balance'!A71&amp;"-"&amp;'Trial Balance'!B71</f>
        <v>1574-Deferred Rate Impact Amounts</v>
      </c>
      <c r="B81" s="23">
        <f>'Trial Balance'!D71</f>
        <v>0</v>
      </c>
    </row>
    <row r="82" spans="1:2" ht="15" customHeight="1">
      <c r="A82" s="32" t="str">
        <f>'Trial Balance'!A72&amp;"-"&amp;'Trial Balance'!B72</f>
        <v>1580-RSVA - Wholesale Market Services</v>
      </c>
      <c r="B82" s="23">
        <f>'Trial Balance'!D72</f>
        <v>-207717.43</v>
      </c>
    </row>
    <row r="83" spans="1:2" ht="15" customHeight="1">
      <c r="A83" s="32" t="str">
        <f>'Trial Balance'!A73&amp;"-"&amp;'Trial Balance'!B73</f>
        <v>1582-RSVA - One-Time</v>
      </c>
      <c r="B83" s="23">
        <f>'Trial Balance'!D73</f>
        <v>31695.16</v>
      </c>
    </row>
    <row r="84" spans="1:2" ht="15" customHeight="1">
      <c r="A84" s="32" t="str">
        <f>'Trial Balance'!A74&amp;"-"&amp;'Trial Balance'!B74</f>
        <v>1584-RSVA - Network Charges</v>
      </c>
      <c r="B84" s="23">
        <f>'Trial Balance'!D74</f>
        <v>-28716.79</v>
      </c>
    </row>
    <row r="85" spans="1:2" ht="15" customHeight="1">
      <c r="A85" s="32" t="str">
        <f>'Trial Balance'!A75&amp;"-"&amp;'Trial Balance'!B75</f>
        <v>1586-RSVA - Connection Charges</v>
      </c>
      <c r="B85" s="23">
        <f>'Trial Balance'!D75</f>
        <v>-95162.72</v>
      </c>
    </row>
    <row r="86" spans="1:2" ht="15" customHeight="1">
      <c r="A86" s="32" t="str">
        <f>'Trial Balance'!A76&amp;"-"&amp;'Trial Balance'!B76</f>
        <v>1588-RSVA - Commodity (Power)</v>
      </c>
      <c r="B86" s="23">
        <f>'Trial Balance'!D76</f>
        <v>2726907.77</v>
      </c>
    </row>
    <row r="87" spans="1:2" ht="15" customHeight="1">
      <c r="A87" s="32" t="str">
        <f>'Trial Balance'!A77&amp;"-"&amp;'Trial Balance'!B77</f>
        <v>1590-Recovery of Regulatory Assets (25% of 2002 bal.)</v>
      </c>
      <c r="B87" s="23">
        <f>'Trial Balance'!D77</f>
        <v>962617.15</v>
      </c>
    </row>
    <row r="88" spans="1:2" ht="15" customHeight="1" thickBot="1">
      <c r="A88" s="32" t="str">
        <f>'Trial Balance'!A394&amp;"-"&amp;'Trial Balance'!B394</f>
        <v>1595-Recovery of Regulatory Asset Balances</v>
      </c>
      <c r="B88" s="23">
        <f>+'Trial Balance'!D394</f>
        <v>0</v>
      </c>
    </row>
    <row r="89" spans="1:2" ht="15" customHeight="1" thickBot="1">
      <c r="A89" s="35" t="s">
        <v>154</v>
      </c>
      <c r="B89" s="31">
        <f>SUM(B60:B88)</f>
        <v>3371309.04</v>
      </c>
    </row>
    <row r="90" spans="1:2" ht="15" customHeight="1">
      <c r="A90" s="28"/>
      <c r="B90" s="12"/>
    </row>
    <row r="91" spans="1:2" ht="15" customHeight="1">
      <c r="A91" s="432" t="s">
        <v>155</v>
      </c>
      <c r="B91" s="432"/>
    </row>
    <row r="92" spans="1:2" ht="15" customHeight="1">
      <c r="A92" s="32" t="str">
        <f>'Trial Balance'!A80&amp;"-"&amp;'Trial Balance'!B80</f>
        <v>1805-Land</v>
      </c>
      <c r="B92" s="23">
        <f>'Trial Balance'!D80</f>
        <v>311178.69</v>
      </c>
    </row>
    <row r="93" spans="1:2" ht="15" customHeight="1">
      <c r="A93" s="32" t="str">
        <f>'Trial Balance'!A81&amp;"-"&amp;'Trial Balance'!B81</f>
        <v>1806-Land Rights</v>
      </c>
      <c r="B93" s="23">
        <f>'Trial Balance'!D81</f>
        <v>0</v>
      </c>
    </row>
    <row r="94" spans="1:2" ht="15" customHeight="1">
      <c r="A94" s="32" t="str">
        <f>'Trial Balance'!A82&amp;"-"&amp;'Trial Balance'!B82</f>
        <v>1808-Buildings and Fixtures</v>
      </c>
      <c r="B94" s="23">
        <f>'Trial Balance'!D82</f>
        <v>767945.81</v>
      </c>
    </row>
    <row r="95" spans="1:2" ht="15" customHeight="1">
      <c r="A95" s="32" t="str">
        <f>'Trial Balance'!A83&amp;"-"&amp;'Trial Balance'!B83</f>
        <v>1810-Leasehold Improvements</v>
      </c>
      <c r="B95" s="23">
        <f>'Trial Balance'!D83</f>
        <v>0</v>
      </c>
    </row>
    <row r="96" spans="1:2" ht="15" customHeight="1">
      <c r="A96" s="32" t="str">
        <f>'Trial Balance'!A84&amp;"-"&amp;'Trial Balance'!B84</f>
        <v>1815-Transformer Station Equipment -  &gt; 50 kV</v>
      </c>
      <c r="B96" s="23">
        <f>'Trial Balance'!D84</f>
        <v>0</v>
      </c>
    </row>
    <row r="97" spans="1:2" ht="15" customHeight="1">
      <c r="A97" s="32" t="str">
        <f>'Trial Balance'!A85&amp;"-"&amp;'Trial Balance'!B85</f>
        <v>1820-Distribution Station Equipment - &lt; 50 kV</v>
      </c>
      <c r="B97" s="23">
        <f>'Trial Balance'!D85</f>
        <v>7671375.09</v>
      </c>
    </row>
    <row r="98" spans="1:2" ht="15" customHeight="1">
      <c r="A98" s="32" t="str">
        <f>'Trial Balance'!A86&amp;"-"&amp;'Trial Balance'!B86</f>
        <v>1825-Storage Battery Equipment</v>
      </c>
      <c r="B98" s="23">
        <f>'Trial Balance'!D86</f>
        <v>0</v>
      </c>
    </row>
    <row r="99" spans="1:2" ht="15" customHeight="1">
      <c r="A99" s="32" t="str">
        <f>'Trial Balance'!A87&amp;"-"&amp;'Trial Balance'!B87</f>
        <v>1830-Poles, Towers and Fixtures</v>
      </c>
      <c r="B99" s="23">
        <f>'Trial Balance'!D87</f>
        <v>14290708.61</v>
      </c>
    </row>
    <row r="100" spans="1:2" ht="15" customHeight="1">
      <c r="A100" s="32" t="str">
        <f>'Trial Balance'!A88&amp;"-"&amp;'Trial Balance'!B88</f>
        <v>1835-Overhead Conductors and Devices</v>
      </c>
      <c r="B100" s="23">
        <f>'Trial Balance'!D88</f>
        <v>11328699.99</v>
      </c>
    </row>
    <row r="101" spans="1:2" ht="15" customHeight="1">
      <c r="A101" s="32" t="str">
        <f>'Trial Balance'!A89&amp;"-"&amp;'Trial Balance'!B89</f>
        <v>1840-Underground Conduit</v>
      </c>
      <c r="B101" s="23">
        <f>'Trial Balance'!D89</f>
        <v>292033.18</v>
      </c>
    </row>
    <row r="102" spans="1:2" ht="15" customHeight="1">
      <c r="A102" s="32" t="str">
        <f>'Trial Balance'!A90&amp;"-"&amp;'Trial Balance'!B90</f>
        <v>1845-Underground Conductors and Devices</v>
      </c>
      <c r="B102" s="23">
        <f>'Trial Balance'!D90</f>
        <v>5565882.98</v>
      </c>
    </row>
    <row r="103" spans="1:2" ht="15" customHeight="1">
      <c r="A103" s="32" t="str">
        <f>'Trial Balance'!A91&amp;"-"&amp;'Trial Balance'!B91</f>
        <v>1850-Line Transformers</v>
      </c>
      <c r="B103" s="23">
        <f>'Trial Balance'!D91</f>
        <v>12482404</v>
      </c>
    </row>
    <row r="104" spans="1:2" ht="15" customHeight="1">
      <c r="A104" s="32" t="str">
        <f>'Trial Balance'!A92&amp;"-"&amp;'Trial Balance'!B92</f>
        <v>1855-Services</v>
      </c>
      <c r="B104" s="23">
        <f>'Trial Balance'!D92</f>
        <v>8437243.85</v>
      </c>
    </row>
    <row r="105" spans="1:2" ht="15" customHeight="1">
      <c r="A105" s="32" t="str">
        <f>'Trial Balance'!A93&amp;"-"&amp;'Trial Balance'!B93</f>
        <v>1860-Meters</v>
      </c>
      <c r="B105" s="23">
        <f>'Trial Balance'!D93</f>
        <v>3427133.0799999996</v>
      </c>
    </row>
    <row r="106" spans="1:2" ht="15" customHeight="1" thickBot="1">
      <c r="A106" s="32" t="str">
        <f>'Trial Balance'!A94&amp;"-"&amp;'Trial Balance'!B94</f>
        <v>1865-Other Installations on Customer's Premises</v>
      </c>
      <c r="B106" s="23">
        <f>'Trial Balance'!D94</f>
        <v>0</v>
      </c>
    </row>
    <row r="107" spans="1:2" ht="15" customHeight="1" thickBot="1">
      <c r="A107" s="36" t="s">
        <v>79</v>
      </c>
      <c r="B107" s="31">
        <f>SUM(B92:B106)</f>
        <v>64574605.279999994</v>
      </c>
    </row>
    <row r="108" spans="1:2" ht="15" customHeight="1">
      <c r="A108" s="27"/>
      <c r="B108" s="12"/>
    </row>
    <row r="109" spans="1:2" ht="15" customHeight="1">
      <c r="A109" s="432" t="s">
        <v>80</v>
      </c>
      <c r="B109" s="432"/>
    </row>
    <row r="110" spans="1:2" ht="15" customHeight="1">
      <c r="A110" s="32" t="str">
        <f>'Trial Balance'!A95&amp;"-"&amp;'Trial Balance'!B95</f>
        <v>1905-Land</v>
      </c>
      <c r="B110" s="23">
        <f>'Trial Balance'!D95</f>
        <v>86550.51</v>
      </c>
    </row>
    <row r="111" spans="1:2" ht="15" customHeight="1">
      <c r="A111" s="32" t="str">
        <f>'Trial Balance'!A96&amp;"-"&amp;'Trial Balance'!B96</f>
        <v>1906-Land Rights</v>
      </c>
      <c r="B111" s="23">
        <f>'Trial Balance'!D96</f>
        <v>0</v>
      </c>
    </row>
    <row r="112" spans="1:2" ht="15" customHeight="1">
      <c r="A112" s="32" t="str">
        <f>'Trial Balance'!A97&amp;"-"&amp;'Trial Balance'!B97</f>
        <v>1908-Buildings and Fixtures</v>
      </c>
      <c r="B112" s="23">
        <f>'Trial Balance'!D97</f>
        <v>1564994.12</v>
      </c>
    </row>
    <row r="113" spans="1:2" ht="15" customHeight="1">
      <c r="A113" s="32" t="str">
        <f>'Trial Balance'!A98&amp;"-"&amp;'Trial Balance'!B98</f>
        <v>1910-Leasehold Improvements</v>
      </c>
      <c r="B113" s="23">
        <f>'Trial Balance'!D98</f>
        <v>0</v>
      </c>
    </row>
    <row r="114" spans="1:2" ht="15" customHeight="1">
      <c r="A114" s="32" t="str">
        <f>'Trial Balance'!A99&amp;"-"&amp;'Trial Balance'!B99</f>
        <v>1915-Office Furniture and Equipment</v>
      </c>
      <c r="B114" s="23">
        <f>'Trial Balance'!D99</f>
        <v>277235.01999999996</v>
      </c>
    </row>
    <row r="115" spans="1:2" ht="15" customHeight="1">
      <c r="A115" s="32" t="str">
        <f>'Trial Balance'!A100&amp;"-"&amp;'Trial Balance'!B100</f>
        <v>1920-Computer Equipment - Hardware</v>
      </c>
      <c r="B115" s="23">
        <f>'Trial Balance'!D100</f>
        <v>509168.57999999996</v>
      </c>
    </row>
    <row r="116" spans="1:2" ht="15" customHeight="1">
      <c r="A116" s="32" t="str">
        <f>'Trial Balance'!A101&amp;"-"&amp;'Trial Balance'!B101</f>
        <v>1925-Computer Software</v>
      </c>
      <c r="B116" s="23">
        <f>'Trial Balance'!D101</f>
        <v>807891.51</v>
      </c>
    </row>
    <row r="117" spans="1:2" ht="15" customHeight="1">
      <c r="A117" s="32" t="str">
        <f>'Trial Balance'!A102&amp;"-"&amp;'Trial Balance'!B102</f>
        <v>1930-Transportation Equipment</v>
      </c>
      <c r="B117" s="23">
        <f>'Trial Balance'!D102</f>
        <v>1762436.8399999999</v>
      </c>
    </row>
    <row r="118" spans="1:2" ht="15" customHeight="1">
      <c r="A118" s="32" t="str">
        <f>'Trial Balance'!A103&amp;"-"&amp;'Trial Balance'!B103</f>
        <v>1935-Stores Equipment</v>
      </c>
      <c r="B118" s="23">
        <f>'Trial Balance'!D103</f>
        <v>75195.87</v>
      </c>
    </row>
    <row r="119" spans="1:2" ht="15" customHeight="1">
      <c r="A119" s="32" t="str">
        <f>'Trial Balance'!A104&amp;"-"&amp;'Trial Balance'!B104</f>
        <v>1940-Tools, Shop and Garage Equipment</v>
      </c>
      <c r="B119" s="23">
        <f>'Trial Balance'!D104</f>
        <v>984180.5</v>
      </c>
    </row>
    <row r="120" spans="1:2" ht="15" customHeight="1">
      <c r="A120" s="32" t="str">
        <f>'Trial Balance'!A105&amp;"-"&amp;'Trial Balance'!B105</f>
        <v>1945-Measurement and Testing Equipment</v>
      </c>
      <c r="B120" s="23">
        <f>'Trial Balance'!D105</f>
        <v>0</v>
      </c>
    </row>
    <row r="121" spans="1:2" ht="15" customHeight="1">
      <c r="A121" s="32" t="str">
        <f>'Trial Balance'!A106&amp;"-"&amp;'Trial Balance'!B106</f>
        <v>1950-Power Operated Equipment</v>
      </c>
      <c r="B121" s="23">
        <f>'Trial Balance'!D106</f>
        <v>0</v>
      </c>
    </row>
    <row r="122" spans="1:2" ht="15" customHeight="1">
      <c r="A122" s="32" t="str">
        <f>'Trial Balance'!A107&amp;"-"&amp;'Trial Balance'!B107</f>
        <v>1955-Communication Equipment</v>
      </c>
      <c r="B122" s="23">
        <f>'Trial Balance'!D107</f>
        <v>84242.26000000001</v>
      </c>
    </row>
    <row r="123" spans="1:2" ht="15" customHeight="1">
      <c r="A123" s="32" t="str">
        <f>'Trial Balance'!A108&amp;"-"&amp;'Trial Balance'!B108</f>
        <v>1960-Miscellaneous Equipment</v>
      </c>
      <c r="B123" s="23">
        <f>'Trial Balance'!D108</f>
        <v>12091.68</v>
      </c>
    </row>
    <row r="124" spans="1:2" ht="15" customHeight="1">
      <c r="A124" s="32" t="str">
        <f>'Trial Balance'!A109&amp;"-"&amp;'Trial Balance'!B109</f>
        <v>1970-Load Management Controls - Customer Premises </v>
      </c>
      <c r="B124" s="23">
        <f>'Trial Balance'!D109</f>
        <v>403930.62</v>
      </c>
    </row>
    <row r="125" spans="1:2" ht="15" customHeight="1">
      <c r="A125" s="32" t="str">
        <f>'Trial Balance'!A110&amp;"-"&amp;'Trial Balance'!B110</f>
        <v>1975-Load Management Controls - Utility Premises</v>
      </c>
      <c r="B125" s="23">
        <f>'Trial Balance'!D110</f>
        <v>165151.45</v>
      </c>
    </row>
    <row r="126" spans="1:2" ht="15" customHeight="1">
      <c r="A126" s="32" t="str">
        <f>'Trial Balance'!A111&amp;"-"&amp;'Trial Balance'!B111</f>
        <v>1980-System Supervisory Equipment</v>
      </c>
      <c r="B126" s="23">
        <f>'Trial Balance'!D111</f>
        <v>1125295.3399999999</v>
      </c>
    </row>
    <row r="127" spans="1:2" ht="15" customHeight="1">
      <c r="A127" s="32" t="str">
        <f>'Trial Balance'!A112&amp;"-"&amp;'Trial Balance'!B112</f>
        <v>1985-Sentinel Lighting Rentals</v>
      </c>
      <c r="B127" s="23">
        <f>'Trial Balance'!D112</f>
        <v>0</v>
      </c>
    </row>
    <row r="128" spans="1:2" ht="15" customHeight="1">
      <c r="A128" s="32" t="str">
        <f>'Trial Balance'!A113&amp;"-"&amp;'Trial Balance'!B113</f>
        <v>1990-Other Tangible Property</v>
      </c>
      <c r="B128" s="23">
        <f>'Trial Balance'!D113</f>
        <v>59186.01</v>
      </c>
    </row>
    <row r="129" spans="1:2" ht="15" customHeight="1" thickBot="1">
      <c r="A129" s="32" t="str">
        <f>'Trial Balance'!A114&amp;"-"&amp;'Trial Balance'!B114</f>
        <v>1995-Contributions and Grants</v>
      </c>
      <c r="B129" s="23">
        <f>'Trial Balance'!D114</f>
        <v>-2808889.76</v>
      </c>
    </row>
    <row r="130" spans="1:2" ht="15" customHeight="1" thickBot="1">
      <c r="A130" s="36" t="s">
        <v>144</v>
      </c>
      <c r="B130" s="31">
        <f>SUM(B110:B129)</f>
        <v>5108660.55</v>
      </c>
    </row>
    <row r="131" spans="1:2" ht="15" customHeight="1">
      <c r="A131" s="27"/>
      <c r="B131" s="12"/>
    </row>
    <row r="132" spans="1:2" ht="15" customHeight="1">
      <c r="A132" s="432" t="s">
        <v>145</v>
      </c>
      <c r="B132" s="432"/>
    </row>
    <row r="133" spans="1:2" ht="15" customHeight="1">
      <c r="A133" s="32" t="str">
        <f>'Trial Balance'!A116&amp;"-"&amp;'Trial Balance'!B116</f>
        <v>2005-Property Under Capital Leases</v>
      </c>
      <c r="B133" s="23">
        <f>'Trial Balance'!D116</f>
        <v>0</v>
      </c>
    </row>
    <row r="134" spans="1:2" ht="15" customHeight="1">
      <c r="A134" s="32" t="str">
        <f>'Trial Balance'!A117&amp;"-"&amp;'Trial Balance'!B117</f>
        <v>2010-Electric Plant Purchased or Sold</v>
      </c>
      <c r="B134" s="23">
        <f>'Trial Balance'!D117</f>
        <v>0</v>
      </c>
    </row>
    <row r="135" spans="1:2" ht="15" customHeight="1">
      <c r="A135" s="32" t="str">
        <f>'Trial Balance'!A118&amp;"-"&amp;'Trial Balance'!B118</f>
        <v>2020-Experimental Electric Plant Unclassified</v>
      </c>
      <c r="B135" s="23">
        <f>'Trial Balance'!D118</f>
        <v>0</v>
      </c>
    </row>
    <row r="136" spans="1:2" ht="15" customHeight="1">
      <c r="A136" s="32" t="str">
        <f>'Trial Balance'!A119&amp;"-"&amp;'Trial Balance'!B119</f>
        <v>2030-Electric Plant and Equipment Leased to Others</v>
      </c>
      <c r="B136" s="23">
        <f>'Trial Balance'!D119</f>
        <v>0</v>
      </c>
    </row>
    <row r="137" spans="1:2" ht="15" customHeight="1">
      <c r="A137" s="32" t="str">
        <f>'Trial Balance'!A120&amp;"-"&amp;'Trial Balance'!B120</f>
        <v>2040-Electric Plant Held for Future Use</v>
      </c>
      <c r="B137" s="23">
        <f>'Trial Balance'!D120</f>
        <v>0</v>
      </c>
    </row>
    <row r="138" spans="1:2" ht="15" customHeight="1">
      <c r="A138" s="32" t="str">
        <f>'Trial Balance'!A121&amp;"-"&amp;'Trial Balance'!B121</f>
        <v>2050-Completed Construction Not Classified--Electric</v>
      </c>
      <c r="B138" s="23">
        <f>'Trial Balance'!D121</f>
        <v>0</v>
      </c>
    </row>
    <row r="139" spans="1:2" ht="15" customHeight="1">
      <c r="A139" s="32" t="str">
        <f>'Trial Balance'!A122&amp;"-"&amp;'Trial Balance'!B122</f>
        <v>2055-Construction Work in Progress--Electric</v>
      </c>
      <c r="B139" s="23">
        <f>'Trial Balance'!D122</f>
        <v>0</v>
      </c>
    </row>
    <row r="140" spans="1:2" ht="15" customHeight="1">
      <c r="A140" s="32" t="str">
        <f>'Trial Balance'!A123&amp;"-"&amp;'Trial Balance'!B123</f>
        <v>2060-Electric Plant Acquisition Adjustment</v>
      </c>
      <c r="B140" s="23">
        <f>'Trial Balance'!D123</f>
        <v>0</v>
      </c>
    </row>
    <row r="141" spans="1:2" ht="15" customHeight="1">
      <c r="A141" s="32" t="str">
        <f>'Trial Balance'!A124&amp;"-"&amp;'Trial Balance'!B124</f>
        <v>2065-Other Electric Plant Adjustment</v>
      </c>
      <c r="B141" s="23">
        <f>'Trial Balance'!D124</f>
        <v>0</v>
      </c>
    </row>
    <row r="142" spans="1:2" ht="15" customHeight="1">
      <c r="A142" s="32" t="str">
        <f>'Trial Balance'!A125&amp;"-"&amp;'Trial Balance'!B125</f>
        <v>2070-Other Utility Plant</v>
      </c>
      <c r="B142" s="23">
        <f>'Trial Balance'!D125</f>
        <v>0</v>
      </c>
    </row>
    <row r="143" spans="1:2" ht="15" customHeight="1" thickBot="1">
      <c r="A143" s="32" t="str">
        <f>'Trial Balance'!A126&amp;"-"&amp;'Trial Balance'!B126</f>
        <v>2075-Non-Utility Property Owned or Under Capital Lease</v>
      </c>
      <c r="B143" s="23">
        <f>'Trial Balance'!D126</f>
        <v>0</v>
      </c>
    </row>
    <row r="144" spans="1:2" ht="15" customHeight="1" thickBot="1">
      <c r="A144" s="36" t="s">
        <v>146</v>
      </c>
      <c r="B144" s="31">
        <f>SUM(B133:B143)</f>
        <v>0</v>
      </c>
    </row>
    <row r="145" spans="1:2" ht="15" customHeight="1">
      <c r="A145" s="27"/>
      <c r="B145" s="12"/>
    </row>
    <row r="146" spans="1:2" ht="15" customHeight="1">
      <c r="A146" s="432" t="s">
        <v>147</v>
      </c>
      <c r="B146" s="432"/>
    </row>
    <row r="147" spans="1:2" ht="15" customHeight="1">
      <c r="A147" s="32" t="str">
        <f>'Trial Balance'!A128&amp;"-"&amp;'Trial Balance'!B128</f>
        <v>2105-Accumulated Amortization of Electric Utility Plant - Property, Plant and Equipment</v>
      </c>
      <c r="B147" s="23">
        <f>'Trial Balance'!D128</f>
        <v>-39505917.46</v>
      </c>
    </row>
    <row r="148" spans="1:2" ht="15" customHeight="1">
      <c r="A148" s="32" t="str">
        <f>'Trial Balance'!A129&amp;"-"&amp;'Trial Balance'!B129</f>
        <v>2120-Accumulated Amortization of Electric Utility Plant - Intangibles</v>
      </c>
      <c r="B148" s="23">
        <f>'Trial Balance'!D129</f>
        <v>0</v>
      </c>
    </row>
    <row r="149" spans="1:2" ht="15" customHeight="1">
      <c r="A149" s="32" t="str">
        <f>'Trial Balance'!A130&amp;"-"&amp;'Trial Balance'!B130</f>
        <v>2140-Accumulated Amortization of Electric Plant Acquisition Adjustment</v>
      </c>
      <c r="B149" s="23">
        <f>'Trial Balance'!D130</f>
        <v>0</v>
      </c>
    </row>
    <row r="150" spans="1:2" ht="15" customHeight="1">
      <c r="A150" s="32" t="str">
        <f>'Trial Balance'!A131&amp;"-"&amp;'Trial Balance'!B131</f>
        <v>2160-Accumulated Amortization of Other Utility Plant</v>
      </c>
      <c r="B150" s="23">
        <f>'Trial Balance'!D131</f>
        <v>0</v>
      </c>
    </row>
    <row r="151" spans="1:2" ht="15" customHeight="1" thickBot="1">
      <c r="A151" s="32" t="str">
        <f>'Trial Balance'!A132&amp;"-"&amp;'Trial Balance'!B132</f>
        <v>2180-Accumulated Amortization of Non-Utility Property</v>
      </c>
      <c r="B151" s="23">
        <f>'Trial Balance'!D132</f>
        <v>0</v>
      </c>
    </row>
    <row r="152" spans="1:2" ht="15" customHeight="1" thickBot="1">
      <c r="A152" s="229" t="s">
        <v>151</v>
      </c>
      <c r="B152" s="228">
        <f>SUM(B147:B151)</f>
        <v>-39505917.46</v>
      </c>
    </row>
    <row r="153" spans="1:2" ht="15" customHeight="1" thickBot="1">
      <c r="A153" s="223"/>
      <c r="B153" s="12"/>
    </row>
    <row r="154" spans="1:2" ht="15" customHeight="1" thickBot="1">
      <c r="A154" s="224" t="s">
        <v>272</v>
      </c>
      <c r="B154" s="225">
        <f>B28+B35+B52+B57+B89+B107+B130+B144+B152</f>
        <v>55386255.35999999</v>
      </c>
    </row>
    <row r="155" spans="1:2" ht="15" customHeight="1">
      <c r="A155" s="28"/>
      <c r="B155" s="12"/>
    </row>
    <row r="156" spans="1:2" ht="15" customHeight="1">
      <c r="A156" s="432" t="s">
        <v>152</v>
      </c>
      <c r="B156" s="432"/>
    </row>
    <row r="157" spans="1:2" ht="15" customHeight="1">
      <c r="A157" s="32" t="str">
        <f>'Trial Balance'!A134&amp;"-"&amp;'Trial Balance'!B134</f>
        <v>2205-Accounts Payable</v>
      </c>
      <c r="B157" s="23">
        <f>-'Trial Balance'!D134</f>
        <v>5436700.13</v>
      </c>
    </row>
    <row r="158" spans="1:2" ht="15" customHeight="1">
      <c r="A158" s="32" t="str">
        <f>'Trial Balance'!A135&amp;"-"&amp;'Trial Balance'!B135</f>
        <v>2208-Customer Credit Balances</v>
      </c>
      <c r="B158" s="23">
        <f>-'Trial Balance'!D135</f>
        <v>694196.88</v>
      </c>
    </row>
    <row r="159" spans="1:2" ht="15" customHeight="1">
      <c r="A159" s="32" t="str">
        <f>'Trial Balance'!A136&amp;"-"&amp;'Trial Balance'!B136</f>
        <v>2210-Current Portion of Customer Deposits </v>
      </c>
      <c r="B159" s="23">
        <f>-'Trial Balance'!D136</f>
        <v>174673</v>
      </c>
    </row>
    <row r="160" spans="1:2" ht="15" customHeight="1">
      <c r="A160" s="32" t="str">
        <f>'Trial Balance'!A137&amp;"-"&amp;'Trial Balance'!B137</f>
        <v>2215-Dividends Declared</v>
      </c>
      <c r="B160" s="23">
        <f>-'Trial Balance'!D137</f>
        <v>0</v>
      </c>
    </row>
    <row r="161" spans="1:2" ht="15" customHeight="1">
      <c r="A161" s="32" t="str">
        <f>'Trial Balance'!A138&amp;"-"&amp;'Trial Balance'!B138</f>
        <v>2220-Miscellaneous Current and Accrued Liabilities</v>
      </c>
      <c r="B161" s="23">
        <f>-'Trial Balance'!D138</f>
        <v>341724.71</v>
      </c>
    </row>
    <row r="162" spans="1:2" ht="15" customHeight="1">
      <c r="A162" s="32" t="str">
        <f>'Trial Balance'!A139&amp;"-"&amp;'Trial Balance'!B139</f>
        <v>2225-Notes and Loans Payable</v>
      </c>
      <c r="B162" s="23">
        <f>-'Trial Balance'!D139</f>
        <v>0</v>
      </c>
    </row>
    <row r="163" spans="1:2" ht="15" customHeight="1">
      <c r="A163" s="32" t="str">
        <f>'Trial Balance'!A140&amp;"-"&amp;'Trial Balance'!B140</f>
        <v>2240-Accounts Payable to Associated Companies</v>
      </c>
      <c r="B163" s="23">
        <f>-'Trial Balance'!D140</f>
        <v>52035.09</v>
      </c>
    </row>
    <row r="164" spans="1:2" ht="15" customHeight="1">
      <c r="A164" s="32" t="str">
        <f>'Trial Balance'!A141&amp;"-"&amp;'Trial Balance'!B141</f>
        <v>2242-Notes Payable to Associated Companies</v>
      </c>
      <c r="B164" s="23">
        <f>-'Trial Balance'!D141</f>
        <v>0</v>
      </c>
    </row>
    <row r="165" spans="1:2" ht="15" customHeight="1">
      <c r="A165" s="32" t="str">
        <f>'Trial Balance'!A142&amp;"-"&amp;'Trial Balance'!B142</f>
        <v>2250-Competition Transition Charges Payable</v>
      </c>
      <c r="B165" s="23">
        <f>-'Trial Balance'!D142</f>
        <v>0</v>
      </c>
    </row>
    <row r="166" spans="1:2" ht="15" customHeight="1">
      <c r="A166" s="32" t="str">
        <f>'Trial Balance'!A143&amp;"-"&amp;'Trial Balance'!B143</f>
        <v>2252-Transmission Charges Payable</v>
      </c>
      <c r="B166" s="23">
        <f>-'Trial Balance'!D143</f>
        <v>0</v>
      </c>
    </row>
    <row r="167" spans="1:2" ht="15" customHeight="1">
      <c r="A167" s="32" t="str">
        <f>'Trial Balance'!A144&amp;"-"&amp;'Trial Balance'!B144</f>
        <v>2254-Electric Safety Authority Fees Payable</v>
      </c>
      <c r="B167" s="23">
        <f>-'Trial Balance'!D144</f>
        <v>0</v>
      </c>
    </row>
    <row r="168" spans="1:2" ht="15" customHeight="1">
      <c r="A168" s="32" t="str">
        <f>'Trial Balance'!A145&amp;"-"&amp;'Trial Balance'!B145</f>
        <v>2256-Independent Market Operator Fees and Penalties Payable</v>
      </c>
      <c r="B168" s="23">
        <f>-'Trial Balance'!D145</f>
        <v>0</v>
      </c>
    </row>
    <row r="169" spans="1:2" ht="15" customHeight="1">
      <c r="A169" s="32" t="str">
        <f>'Trial Balance'!A146&amp;"-"&amp;'Trial Balance'!B146</f>
        <v>2260-Current Portion of Long Term Debt</v>
      </c>
      <c r="B169" s="23">
        <f>-'Trial Balance'!D146</f>
        <v>0</v>
      </c>
    </row>
    <row r="170" spans="1:2" ht="15" customHeight="1">
      <c r="A170" s="32" t="str">
        <f>'Trial Balance'!A147&amp;"-"&amp;'Trial Balance'!B147</f>
        <v>2262-Ontario Hydro Debt - Current Portion</v>
      </c>
      <c r="B170" s="23">
        <f>-'Trial Balance'!D147</f>
        <v>0</v>
      </c>
    </row>
    <row r="171" spans="1:2" ht="15" customHeight="1">
      <c r="A171" s="32" t="str">
        <f>'Trial Balance'!A148&amp;"-"&amp;'Trial Balance'!B148</f>
        <v>2264-Pensions and Employee Benefits - Current Portion</v>
      </c>
      <c r="B171" s="23">
        <f>-'Trial Balance'!D148</f>
        <v>40460</v>
      </c>
    </row>
    <row r="172" spans="1:2" ht="15" customHeight="1">
      <c r="A172" s="32" t="str">
        <f>'Trial Balance'!A149&amp;"-"&amp;'Trial Balance'!B149</f>
        <v>2268-Accrued Interest on Long Term Debt</v>
      </c>
      <c r="B172" s="23">
        <f>-'Trial Balance'!D149</f>
        <v>0.15</v>
      </c>
    </row>
    <row r="173" spans="1:2" ht="15" customHeight="1">
      <c r="A173" s="32" t="str">
        <f>'Trial Balance'!A150&amp;"-"&amp;'Trial Balance'!B150</f>
        <v>2270-Matured Long Term Debt</v>
      </c>
      <c r="B173" s="23">
        <f>-'Trial Balance'!D150</f>
        <v>0</v>
      </c>
    </row>
    <row r="174" spans="1:2" ht="15" customHeight="1">
      <c r="A174" s="32" t="str">
        <f>'Trial Balance'!A151&amp;"-"&amp;'Trial Balance'!B151</f>
        <v>2272-Matured Interest on Long Term Debt</v>
      </c>
      <c r="B174" s="23">
        <f>-'Trial Balance'!D151</f>
        <v>0</v>
      </c>
    </row>
    <row r="175" spans="1:2" ht="15" customHeight="1">
      <c r="A175" s="32" t="str">
        <f>'Trial Balance'!A152&amp;"-"&amp;'Trial Balance'!B152</f>
        <v>2285-Obligations Under Capital Leases--Current</v>
      </c>
      <c r="B175" s="23">
        <f>-'Trial Balance'!D152</f>
        <v>0</v>
      </c>
    </row>
    <row r="176" spans="1:2" ht="15" customHeight="1">
      <c r="A176" s="32" t="str">
        <f>'Trial Balance'!A153&amp;"-"&amp;'Trial Balance'!B153</f>
        <v>2290-Commodity Taxes</v>
      </c>
      <c r="B176" s="23">
        <f>-'Trial Balance'!D153</f>
        <v>137106.96</v>
      </c>
    </row>
    <row r="177" spans="1:2" ht="15" customHeight="1">
      <c r="A177" s="32" t="str">
        <f>'Trial Balance'!A154&amp;"-"&amp;'Trial Balance'!B154</f>
        <v>2292-Payroll Deductions / Expenses Payable</v>
      </c>
      <c r="B177" s="23">
        <f>-'Trial Balance'!D154</f>
        <v>525826.85</v>
      </c>
    </row>
    <row r="178" spans="1:2" ht="15" customHeight="1">
      <c r="A178" s="32" t="str">
        <f>'Trial Balance'!A155&amp;"-"&amp;'Trial Balance'!B155</f>
        <v>2294-Accrual for Taxes, "Payments in Lieu" of Taxes, Etc.</v>
      </c>
      <c r="B178" s="23">
        <f>-'Trial Balance'!D155</f>
        <v>-290000.45</v>
      </c>
    </row>
    <row r="179" spans="1:2" ht="15" customHeight="1" thickBot="1">
      <c r="A179" s="32" t="str">
        <f>'Trial Balance'!A156&amp;"-"&amp;'Trial Balance'!B156</f>
        <v>2296-Future Income Taxes - Current</v>
      </c>
      <c r="B179" s="23">
        <f>-'Trial Balance'!D156</f>
        <v>0</v>
      </c>
    </row>
    <row r="180" spans="1:2" ht="15" customHeight="1" thickBot="1">
      <c r="A180" s="36" t="s">
        <v>540</v>
      </c>
      <c r="B180" s="31">
        <f>SUM(B157:B179)</f>
        <v>7112723.319999999</v>
      </c>
    </row>
    <row r="181" spans="1:2" ht="15" customHeight="1">
      <c r="A181" s="27"/>
      <c r="B181" s="12"/>
    </row>
    <row r="182" spans="1:2" ht="15" customHeight="1">
      <c r="A182" s="432" t="s">
        <v>541</v>
      </c>
      <c r="B182" s="432"/>
    </row>
    <row r="183" spans="1:2" ht="15" customHeight="1">
      <c r="A183" s="32" t="str">
        <f>'Trial Balance'!A158&amp;"-"&amp;'Trial Balance'!B158</f>
        <v>2305-Accumulated Provision for Injuries and Damages</v>
      </c>
      <c r="B183" s="23">
        <f>-'Trial Balance'!D158</f>
        <v>0</v>
      </c>
    </row>
    <row r="184" spans="1:2" ht="15" customHeight="1">
      <c r="A184" s="32" t="str">
        <f>'Trial Balance'!A159&amp;"-"&amp;'Trial Balance'!B159</f>
        <v>2306-Employee Future Benefits</v>
      </c>
      <c r="B184" s="23">
        <f>-'Trial Balance'!D159</f>
        <v>3837645</v>
      </c>
    </row>
    <row r="185" spans="1:2" ht="15" customHeight="1">
      <c r="A185" s="32" t="str">
        <f>'Trial Balance'!A160&amp;"-"&amp;'Trial Balance'!B160</f>
        <v>2308-Other Pensions - Past Service Liability</v>
      </c>
      <c r="B185" s="23">
        <f>-'Trial Balance'!D160</f>
        <v>0</v>
      </c>
    </row>
    <row r="186" spans="1:2" ht="15" customHeight="1">
      <c r="A186" s="32" t="str">
        <f>'Trial Balance'!A161&amp;"-"&amp;'Trial Balance'!B161</f>
        <v>2310-Vested Sick Leave Liability</v>
      </c>
      <c r="B186" s="23">
        <f>-'Trial Balance'!D161</f>
        <v>0</v>
      </c>
    </row>
    <row r="187" spans="1:2" ht="15" customHeight="1">
      <c r="A187" s="32" t="str">
        <f>'Trial Balance'!A162&amp;"-"&amp;'Trial Balance'!B162</f>
        <v>2315-Accumulated Provision for Rate Refunds</v>
      </c>
      <c r="B187" s="23">
        <f>-'Trial Balance'!D162</f>
        <v>0</v>
      </c>
    </row>
    <row r="188" spans="1:2" ht="15" customHeight="1">
      <c r="A188" s="32" t="str">
        <f>'Trial Balance'!A163&amp;"-"&amp;'Trial Balance'!B163</f>
        <v>2320-Other Miscellaneous Non-Current Liabilities</v>
      </c>
      <c r="B188" s="23">
        <f>-'Trial Balance'!D163</f>
        <v>0</v>
      </c>
    </row>
    <row r="189" spans="1:2" ht="15" customHeight="1">
      <c r="A189" s="32" t="str">
        <f>'Trial Balance'!A164&amp;"-"&amp;'Trial Balance'!B164</f>
        <v>2325-Obligations Under Capital Lease--Non-Current</v>
      </c>
      <c r="B189" s="23">
        <f>-'Trial Balance'!D164</f>
        <v>0</v>
      </c>
    </row>
    <row r="190" spans="1:2" ht="15" customHeight="1">
      <c r="A190" s="32" t="str">
        <f>'Trial Balance'!A165&amp;"-"&amp;'Trial Balance'!B165</f>
        <v>2330-Devolpment Charge Fund</v>
      </c>
      <c r="B190" s="23">
        <f>-'Trial Balance'!D165</f>
        <v>0</v>
      </c>
    </row>
    <row r="191" spans="1:2" ht="15" customHeight="1">
      <c r="A191" s="32" t="str">
        <f>'Trial Balance'!A166&amp;"-"&amp;'Trial Balance'!B166</f>
        <v>2335-Long Term Customer Deposits</v>
      </c>
      <c r="B191" s="23">
        <f>-'Trial Balance'!D166</f>
        <v>930221.84</v>
      </c>
    </row>
    <row r="192" spans="1:2" ht="15" customHeight="1">
      <c r="A192" s="32" t="str">
        <f>'Trial Balance'!A167&amp;"-"&amp;'Trial Balance'!B167</f>
        <v>2340-Collateral Funds Liability</v>
      </c>
      <c r="B192" s="23">
        <f>-'Trial Balance'!D167</f>
        <v>0</v>
      </c>
    </row>
    <row r="193" spans="1:2" ht="15" customHeight="1">
      <c r="A193" s="32" t="str">
        <f>'Trial Balance'!A168&amp;"-"&amp;'Trial Balance'!B168</f>
        <v>2345-Unamortized Premium on Long Term Debt</v>
      </c>
      <c r="B193" s="23">
        <f>-'Trial Balance'!D168</f>
        <v>0</v>
      </c>
    </row>
    <row r="194" spans="1:2" ht="15" customHeight="1">
      <c r="A194" s="32" t="str">
        <f>'Trial Balance'!A169&amp;"-"&amp;'Trial Balance'!B169</f>
        <v>2348-O.M.E.R.S. - Past Service Liability - Long Term Portion</v>
      </c>
      <c r="B194" s="23">
        <f>-'Trial Balance'!D169</f>
        <v>0</v>
      </c>
    </row>
    <row r="195" spans="1:2" ht="15" customHeight="1">
      <c r="A195" s="32" t="str">
        <f>'Trial Balance'!A170&amp;"-"&amp;'Trial Balance'!B170</f>
        <v>2350-Future Income Tax - Non-Current</v>
      </c>
      <c r="B195" s="23">
        <f>-'Trial Balance'!D170</f>
        <v>0</v>
      </c>
    </row>
    <row r="196" spans="1:2" ht="15" customHeight="1">
      <c r="A196" s="32" t="str">
        <f>'Trial Balance'!A172&amp;"-"&amp;'Trial Balance'!B172</f>
        <v>2405-Other Regulatory Liabilities</v>
      </c>
      <c r="B196" s="23">
        <f>-'Trial Balance'!D172</f>
        <v>7850</v>
      </c>
    </row>
    <row r="197" spans="1:2" ht="15" customHeight="1">
      <c r="A197" s="32" t="str">
        <f>'Trial Balance'!A173&amp;"-"&amp;'Trial Balance'!B173</f>
        <v>2410-Deferred Gains From Disposition of Utility Plant</v>
      </c>
      <c r="B197" s="23">
        <f>-'Trial Balance'!D173</f>
        <v>0</v>
      </c>
    </row>
    <row r="198" spans="1:2" ht="15" customHeight="1">
      <c r="A198" s="32" t="str">
        <f>'Trial Balance'!A174&amp;"-"&amp;'Trial Balance'!B174</f>
        <v>2415-Unamortized Gain on Reacquired Debt</v>
      </c>
      <c r="B198" s="23">
        <f>-'Trial Balance'!D174</f>
        <v>0</v>
      </c>
    </row>
    <row r="199" spans="1:2" ht="15" customHeight="1">
      <c r="A199" s="32" t="str">
        <f>'Trial Balance'!A175&amp;"-"&amp;'Trial Balance'!B175</f>
        <v>2425-Other Deferred Credits</v>
      </c>
      <c r="B199" s="23">
        <f>-'Trial Balance'!D175</f>
        <v>0</v>
      </c>
    </row>
    <row r="200" spans="1:2" ht="15" customHeight="1" thickBot="1">
      <c r="A200" s="32" t="str">
        <f>'Trial Balance'!A176&amp;"-"&amp;'Trial Balance'!B176</f>
        <v>2435-Accrued Rate-Payer Benefit</v>
      </c>
      <c r="B200" s="23">
        <f>-'Trial Balance'!D176</f>
        <v>0</v>
      </c>
    </row>
    <row r="201" spans="1:2" ht="15" customHeight="1" thickBot="1">
      <c r="A201" s="36" t="s">
        <v>156</v>
      </c>
      <c r="B201" s="31">
        <f>SUM(B183:B200)</f>
        <v>4775716.84</v>
      </c>
    </row>
    <row r="202" spans="1:2" ht="15" customHeight="1">
      <c r="A202" s="27"/>
      <c r="B202" s="12"/>
    </row>
    <row r="203" spans="1:2" ht="15" customHeight="1">
      <c r="A203" s="432" t="s">
        <v>157</v>
      </c>
      <c r="B203" s="432"/>
    </row>
    <row r="204" spans="1:2" ht="15" customHeight="1">
      <c r="A204" s="32" t="str">
        <f>'Trial Balance'!A178&amp;"-"&amp;'Trial Balance'!B178</f>
        <v>2505-Debentures Outstanding - Long Term Portion</v>
      </c>
      <c r="B204" s="23">
        <f>-'Trial Balance'!D178</f>
        <v>0</v>
      </c>
    </row>
    <row r="205" spans="1:2" ht="15" customHeight="1">
      <c r="A205" s="32" t="str">
        <f>'Trial Balance'!A179&amp;"-"&amp;'Trial Balance'!B179</f>
        <v>2510-Debenture Advances</v>
      </c>
      <c r="B205" s="23">
        <f>-'Trial Balance'!D179</f>
        <v>0</v>
      </c>
    </row>
    <row r="206" spans="1:2" ht="15" customHeight="1">
      <c r="A206" s="32" t="str">
        <f>'Trial Balance'!A180&amp;"-"&amp;'Trial Balance'!B180</f>
        <v>2515-Required Bonds</v>
      </c>
      <c r="B206" s="23">
        <f>-'Trial Balance'!D180</f>
        <v>0</v>
      </c>
    </row>
    <row r="207" spans="1:2" ht="15" customHeight="1">
      <c r="A207" s="32" t="str">
        <f>'Trial Balance'!A181&amp;"-"&amp;'Trial Balance'!B181</f>
        <v>2520-Other Long Term Debt</v>
      </c>
      <c r="B207" s="23">
        <f>-'Trial Balance'!D181</f>
        <v>0</v>
      </c>
    </row>
    <row r="208" spans="1:2" ht="15" customHeight="1">
      <c r="A208" s="32" t="str">
        <f>'Trial Balance'!A182&amp;"-"&amp;'Trial Balance'!B182</f>
        <v>2525-Term Bank Loans - Long Term Portion</v>
      </c>
      <c r="B208" s="23">
        <f>-'Trial Balance'!D182</f>
        <v>0</v>
      </c>
    </row>
    <row r="209" spans="1:2" ht="15" customHeight="1">
      <c r="A209" s="32" t="str">
        <f>'Trial Balance'!A183&amp;"-"&amp;'Trial Balance'!B183</f>
        <v>2530-Ontario Hydro Debt Outstanding - Long Term Portion</v>
      </c>
      <c r="B209" s="23">
        <f>-'Trial Balance'!D183</f>
        <v>0</v>
      </c>
    </row>
    <row r="210" spans="1:2" ht="15" customHeight="1" thickBot="1">
      <c r="A210" s="32" t="str">
        <f>'Trial Balance'!A184&amp;"-"&amp;'Trial Balance'!B184</f>
        <v>2550-Advances from Associated Companies</v>
      </c>
      <c r="B210" s="23">
        <f>-'Trial Balance'!D184</f>
        <v>19511601</v>
      </c>
    </row>
    <row r="211" spans="1:2" ht="15" customHeight="1" thickBot="1">
      <c r="A211" s="36" t="s">
        <v>158</v>
      </c>
      <c r="B211" s="31">
        <f>SUM(B204:B210)</f>
        <v>19511601</v>
      </c>
    </row>
    <row r="212" spans="1:2" ht="15" customHeight="1">
      <c r="A212" s="27"/>
      <c r="B212" s="12"/>
    </row>
    <row r="213" spans="1:2" ht="15" customHeight="1">
      <c r="A213" s="432" t="s">
        <v>159</v>
      </c>
      <c r="B213" s="432"/>
    </row>
    <row r="214" spans="1:2" ht="15" customHeight="1">
      <c r="A214" s="32" t="str">
        <f>'Trial Balance'!A186&amp;"-"&amp;'Trial Balance'!B186</f>
        <v>3005-Common Shares Issued</v>
      </c>
      <c r="B214" s="23">
        <f>-'Trial Balance'!D186</f>
        <v>19511601</v>
      </c>
    </row>
    <row r="215" spans="1:2" ht="15" customHeight="1">
      <c r="A215" s="32" t="str">
        <f>'Trial Balance'!A187&amp;"-"&amp;'Trial Balance'!B187</f>
        <v>3008-Preference Shares Issued</v>
      </c>
      <c r="B215" s="23">
        <f>-'Trial Balance'!D187</f>
        <v>0</v>
      </c>
    </row>
    <row r="216" spans="1:2" ht="15" customHeight="1">
      <c r="A216" s="32" t="str">
        <f>'Trial Balance'!A188&amp;"-"&amp;'Trial Balance'!B188</f>
        <v>3010-Contributed Surplus</v>
      </c>
      <c r="B216" s="23">
        <f>-'Trial Balance'!D188</f>
        <v>0</v>
      </c>
    </row>
    <row r="217" spans="1:2" ht="15" customHeight="1">
      <c r="A217" s="32" t="str">
        <f>'Trial Balance'!A189&amp;"-"&amp;'Trial Balance'!B189</f>
        <v>3020-Donations Received</v>
      </c>
      <c r="B217" s="23">
        <f>-'Trial Balance'!D189</f>
        <v>0</v>
      </c>
    </row>
    <row r="218" spans="1:2" ht="15" customHeight="1">
      <c r="A218" s="32" t="str">
        <f>'Trial Balance'!A190&amp;"-"&amp;'Trial Balance'!B190</f>
        <v>3022-Devolpment Charges Transferred to Equity</v>
      </c>
      <c r="B218" s="23">
        <f>-'Trial Balance'!D190</f>
        <v>0</v>
      </c>
    </row>
    <row r="219" spans="1:2" ht="15" customHeight="1">
      <c r="A219" s="32" t="str">
        <f>'Trial Balance'!A191&amp;"-"&amp;'Trial Balance'!B191</f>
        <v>3026-Capital Stock Held in Treasury</v>
      </c>
      <c r="B219" s="23">
        <f>-'Trial Balance'!D191</f>
        <v>0</v>
      </c>
    </row>
    <row r="220" spans="1:2" ht="15" customHeight="1">
      <c r="A220" s="32" t="str">
        <f>'Trial Balance'!A192&amp;"-"&amp;'Trial Balance'!B192</f>
        <v>3030-Miscellaneous Paid-In Capital</v>
      </c>
      <c r="B220" s="23">
        <f>-'Trial Balance'!D192</f>
        <v>0</v>
      </c>
    </row>
    <row r="221" spans="1:2" ht="15" customHeight="1">
      <c r="A221" s="32" t="str">
        <f>'Trial Balance'!A193&amp;"-"&amp;'Trial Balance'!B193</f>
        <v>3035-Installments Received on Capital Stock</v>
      </c>
      <c r="B221" s="23">
        <f>-'Trial Balance'!D193</f>
        <v>0</v>
      </c>
    </row>
    <row r="222" spans="1:2" ht="15" customHeight="1">
      <c r="A222" s="32" t="str">
        <f>'Trial Balance'!A194&amp;"-"&amp;'Trial Balance'!B194</f>
        <v>3040-Appropriated Retained Earnings</v>
      </c>
      <c r="B222" s="23">
        <f>-'Trial Balance'!D194</f>
        <v>0</v>
      </c>
    </row>
    <row r="223" spans="1:2" ht="15" customHeight="1">
      <c r="A223" s="32" t="str">
        <f>'Trial Balance'!A195&amp;"-"&amp;'Trial Balance'!B195</f>
        <v>3045-Unappropriated Retained Earnings</v>
      </c>
      <c r="B223" s="23">
        <f>-'Trial Balance'!D195</f>
        <v>5125490.74</v>
      </c>
    </row>
    <row r="224" spans="1:3" ht="15" customHeight="1">
      <c r="A224" s="32" t="s">
        <v>563</v>
      </c>
      <c r="B224" s="320">
        <f>-'2006 Income Statement'!B214</f>
        <v>-650877.5399999908</v>
      </c>
      <c r="C224" s="21" t="s">
        <v>544</v>
      </c>
    </row>
    <row r="225" spans="1:2" ht="15" customHeight="1">
      <c r="A225" s="32" t="str">
        <f>'Trial Balance'!A197&amp;"-"&amp;'Trial Balance'!B197</f>
        <v>3047-Appropriations of Retained Earnings - Current Period</v>
      </c>
      <c r="B225" s="23">
        <f>-'Trial Balance'!D197</f>
        <v>0</v>
      </c>
    </row>
    <row r="226" spans="1:2" ht="15" customHeight="1">
      <c r="A226" s="32" t="str">
        <f>'Trial Balance'!A198&amp;"-"&amp;'Trial Balance'!B198</f>
        <v>3048-Dividends Payable-Preference Shares</v>
      </c>
      <c r="B226" s="23">
        <f>-'Trial Balance'!D198</f>
        <v>0</v>
      </c>
    </row>
    <row r="227" spans="1:2" ht="15" customHeight="1">
      <c r="A227" s="32" t="str">
        <f>'Trial Balance'!A199&amp;"-"&amp;'Trial Balance'!B199</f>
        <v>3049-Dividends Payable-Common Shares</v>
      </c>
      <c r="B227" s="23">
        <f>-'Trial Balance'!D199</f>
        <v>0</v>
      </c>
    </row>
    <row r="228" spans="1:2" ht="15" customHeight="1">
      <c r="A228" s="32" t="str">
        <f>'Trial Balance'!A200&amp;"-"&amp;'Trial Balance'!B200</f>
        <v>3055-Adjustment to Retained Earnings                 </v>
      </c>
      <c r="B228" s="23">
        <f>-'Trial Balance'!D200</f>
        <v>0</v>
      </c>
    </row>
    <row r="229" spans="1:2" ht="15" customHeight="1" thickBot="1">
      <c r="A229" s="32" t="str">
        <f>'Trial Balance'!A201&amp;"-"&amp;'Trial Balance'!B201</f>
        <v>3065-Unappropriated Undistributed Subsidiary Earnings</v>
      </c>
      <c r="B229" s="23">
        <f>-'Trial Balance'!D201</f>
        <v>0</v>
      </c>
    </row>
    <row r="230" spans="1:2" ht="15" customHeight="1" thickBot="1">
      <c r="A230" s="34" t="s">
        <v>564</v>
      </c>
      <c r="B230" s="31">
        <f>SUM(B214:B229)</f>
        <v>23986214.20000001</v>
      </c>
    </row>
    <row r="231" spans="1:2" s="13" customFormat="1" ht="15" customHeight="1">
      <c r="A231" s="28"/>
      <c r="B231" s="12"/>
    </row>
    <row r="232" spans="1:2" s="13" customFormat="1" ht="15" customHeight="1">
      <c r="A232" s="226" t="s">
        <v>282</v>
      </c>
      <c r="B232" s="227">
        <f>B180+B201+B211+B230</f>
        <v>55386255.360000014</v>
      </c>
    </row>
    <row r="233" spans="1:2" s="13" customFormat="1" ht="15" customHeight="1" thickBot="1">
      <c r="A233" s="28"/>
      <c r="B233" s="12"/>
    </row>
    <row r="234" spans="1:2" ht="15" customHeight="1" thickBot="1">
      <c r="A234" s="37" t="s">
        <v>281</v>
      </c>
      <c r="B234" s="254">
        <f>B154-B232</f>
        <v>0</v>
      </c>
    </row>
    <row r="235" spans="1:2" ht="15">
      <c r="A235" s="29"/>
      <c r="B235" s="341"/>
    </row>
    <row r="236" spans="1:2" ht="15">
      <c r="A236" s="29"/>
      <c r="B236" s="316"/>
    </row>
    <row r="237" spans="1:2" ht="15">
      <c r="A237" s="29"/>
      <c r="B237" s="10"/>
    </row>
    <row r="238" spans="1:2" ht="15">
      <c r="A238" s="29"/>
      <c r="B238" s="10"/>
    </row>
    <row r="239" spans="1:2" ht="15">
      <c r="A239" s="29"/>
      <c r="B239" s="10"/>
    </row>
    <row r="240" spans="1:2" ht="15">
      <c r="A240" s="29"/>
      <c r="B240" s="10"/>
    </row>
    <row r="241" spans="1:2" ht="15">
      <c r="A241" s="29"/>
      <c r="B241" s="10"/>
    </row>
    <row r="242" spans="1:2" ht="15">
      <c r="A242" s="29"/>
      <c r="B242" s="10"/>
    </row>
    <row r="243" spans="1:2" ht="15">
      <c r="A243" s="29"/>
      <c r="B243" s="10"/>
    </row>
    <row r="244" spans="1:2" ht="15">
      <c r="A244" s="29"/>
      <c r="B244" s="10"/>
    </row>
    <row r="245" spans="1:2" ht="15">
      <c r="A245" s="29"/>
      <c r="B245" s="10"/>
    </row>
    <row r="246" spans="1:2" ht="15">
      <c r="A246" s="29"/>
      <c r="B246" s="10"/>
    </row>
    <row r="247" spans="1:2" ht="15">
      <c r="A247" s="29"/>
      <c r="B247" s="10"/>
    </row>
    <row r="248" spans="1:2" ht="15">
      <c r="A248" s="29"/>
      <c r="B248" s="10"/>
    </row>
    <row r="249" spans="1:2" ht="15">
      <c r="A249" s="29"/>
      <c r="B249" s="10"/>
    </row>
    <row r="250" spans="1:2" ht="15">
      <c r="A250" s="29"/>
      <c r="B250" s="10"/>
    </row>
    <row r="251" spans="1:2" ht="15">
      <c r="A251" s="29"/>
      <c r="B251" s="10"/>
    </row>
    <row r="252" spans="1:2" ht="15">
      <c r="A252" s="29"/>
      <c r="B252" s="10"/>
    </row>
    <row r="253" spans="1:2" ht="15">
      <c r="A253" s="29"/>
      <c r="B253" s="10"/>
    </row>
    <row r="254" spans="1:2" ht="15">
      <c r="A254" s="29"/>
      <c r="B254" s="10"/>
    </row>
    <row r="255" spans="1:2" ht="15">
      <c r="A255" s="29"/>
      <c r="B255" s="10"/>
    </row>
    <row r="256" spans="1:2" ht="15">
      <c r="A256" s="29"/>
      <c r="B256" s="10"/>
    </row>
    <row r="257" spans="1:2" ht="15">
      <c r="A257" s="29"/>
      <c r="B257" s="10"/>
    </row>
    <row r="258" spans="1:2" ht="15">
      <c r="A258" s="29"/>
      <c r="B258" s="10"/>
    </row>
    <row r="259" spans="1:2" ht="15">
      <c r="A259" s="29"/>
      <c r="B259" s="10"/>
    </row>
    <row r="260" spans="1:2" ht="15">
      <c r="A260" s="29"/>
      <c r="B260" s="10"/>
    </row>
    <row r="261" spans="1:2" ht="15">
      <c r="A261" s="29"/>
      <c r="B261" s="10"/>
    </row>
    <row r="262" spans="1:2" ht="15">
      <c r="A262" s="29"/>
      <c r="B262" s="10"/>
    </row>
    <row r="263" spans="1:2" ht="15">
      <c r="A263" s="29"/>
      <c r="B263" s="10"/>
    </row>
    <row r="264" spans="1:2" ht="15">
      <c r="A264" s="29"/>
      <c r="B264" s="10"/>
    </row>
    <row r="265" spans="1:2" ht="15">
      <c r="A265" s="29"/>
      <c r="B265" s="10"/>
    </row>
    <row r="266" spans="1:2" ht="15">
      <c r="A266" s="29"/>
      <c r="B266" s="10"/>
    </row>
    <row r="267" spans="1:2" ht="15">
      <c r="A267" s="29"/>
      <c r="B267" s="10"/>
    </row>
    <row r="268" spans="1:2" ht="15">
      <c r="A268" s="29"/>
      <c r="B268" s="10"/>
    </row>
    <row r="269" spans="1:2" ht="15">
      <c r="A269" s="29"/>
      <c r="B269" s="10"/>
    </row>
    <row r="270" spans="1:2" ht="15">
      <c r="A270" s="29"/>
      <c r="B270" s="10"/>
    </row>
    <row r="271" spans="1:2" ht="15">
      <c r="A271" s="29"/>
      <c r="B271" s="10"/>
    </row>
    <row r="272" spans="1:2" ht="15">
      <c r="A272" s="29"/>
      <c r="B272" s="10"/>
    </row>
    <row r="273" spans="1:2" ht="15">
      <c r="A273" s="29"/>
      <c r="B273" s="10"/>
    </row>
    <row r="274" spans="1:2" ht="15">
      <c r="A274" s="29"/>
      <c r="B274" s="10"/>
    </row>
    <row r="275" spans="1:2" ht="15">
      <c r="A275" s="29"/>
      <c r="B275" s="10"/>
    </row>
    <row r="276" spans="1:2" ht="15">
      <c r="A276" s="29"/>
      <c r="B276" s="10"/>
    </row>
    <row r="277" spans="1:2" ht="15">
      <c r="A277" s="29"/>
      <c r="B277" s="10"/>
    </row>
    <row r="278" spans="1:2" ht="15">
      <c r="A278" s="29"/>
      <c r="B278" s="10"/>
    </row>
    <row r="279" spans="1:2" ht="15">
      <c r="A279" s="29"/>
      <c r="B279" s="10"/>
    </row>
    <row r="280" spans="1:2" ht="15">
      <c r="A280" s="29"/>
      <c r="B280" s="10"/>
    </row>
    <row r="281" spans="1:2" ht="15">
      <c r="A281" s="29"/>
      <c r="B281" s="10"/>
    </row>
    <row r="282" spans="1:2" ht="15">
      <c r="A282" s="29"/>
      <c r="B282" s="10"/>
    </row>
    <row r="283" spans="1:2" ht="15">
      <c r="A283" s="29"/>
      <c r="B283" s="10"/>
    </row>
    <row r="284" spans="1:2" ht="15">
      <c r="A284" s="29"/>
      <c r="B284" s="10"/>
    </row>
    <row r="285" spans="1:2" ht="15">
      <c r="A285" s="29"/>
      <c r="B285" s="10"/>
    </row>
    <row r="286" spans="1:2" ht="15">
      <c r="A286" s="29"/>
      <c r="B286" s="10"/>
    </row>
    <row r="287" spans="1:2" ht="15">
      <c r="A287" s="29"/>
      <c r="B287" s="10"/>
    </row>
    <row r="288" spans="1:2" ht="15">
      <c r="A288" s="29"/>
      <c r="B288" s="10"/>
    </row>
    <row r="289" spans="1:2" ht="15">
      <c r="A289" s="29"/>
      <c r="B289" s="10"/>
    </row>
    <row r="290" spans="1:2" ht="15">
      <c r="A290" s="29"/>
      <c r="B290" s="10"/>
    </row>
    <row r="291" spans="1:2" ht="15">
      <c r="A291" s="29"/>
      <c r="B291" s="10"/>
    </row>
    <row r="292" spans="1:2" ht="15">
      <c r="A292" s="29"/>
      <c r="B292" s="10"/>
    </row>
    <row r="293" spans="1:2" ht="15">
      <c r="A293" s="29"/>
      <c r="B293" s="10"/>
    </row>
    <row r="294" spans="1:2" ht="15">
      <c r="A294" s="29"/>
      <c r="B294" s="10"/>
    </row>
    <row r="295" spans="1:2" ht="15">
      <c r="A295" s="29"/>
      <c r="B295" s="10"/>
    </row>
    <row r="296" spans="1:2" ht="15">
      <c r="A296" s="29"/>
      <c r="B296" s="10"/>
    </row>
    <row r="297" spans="1:2" ht="15">
      <c r="A297" s="29"/>
      <c r="B297" s="10"/>
    </row>
    <row r="298" spans="1:2" ht="15">
      <c r="A298" s="29"/>
      <c r="B298" s="10"/>
    </row>
    <row r="299" spans="1:2" ht="15">
      <c r="A299" s="29"/>
      <c r="B299" s="10"/>
    </row>
    <row r="300" spans="1:2" ht="15">
      <c r="A300" s="29"/>
      <c r="B300" s="10"/>
    </row>
    <row r="301" spans="1:2" ht="15">
      <c r="A301" s="29"/>
      <c r="B301" s="10"/>
    </row>
    <row r="302" spans="1:2" ht="15">
      <c r="A302" s="29"/>
      <c r="B302" s="10"/>
    </row>
    <row r="303" spans="1:2" ht="15">
      <c r="A303" s="29"/>
      <c r="B303" s="10"/>
    </row>
    <row r="304" spans="1:2" ht="15">
      <c r="A304" s="29"/>
      <c r="B304" s="10"/>
    </row>
    <row r="305" spans="1:2" ht="15">
      <c r="A305" s="29"/>
      <c r="B305" s="10"/>
    </row>
    <row r="306" spans="1:2" ht="15">
      <c r="A306" s="29"/>
      <c r="B306" s="10"/>
    </row>
    <row r="307" spans="1:2" ht="15">
      <c r="A307" s="29"/>
      <c r="B307" s="10"/>
    </row>
    <row r="308" spans="1:2" ht="15">
      <c r="A308" s="29"/>
      <c r="B308" s="10"/>
    </row>
    <row r="309" spans="1:2" ht="15">
      <c r="A309" s="29"/>
      <c r="B309" s="10"/>
    </row>
    <row r="310" spans="1:2" ht="15">
      <c r="A310" s="29"/>
      <c r="B310" s="10"/>
    </row>
    <row r="311" spans="1:2" ht="15">
      <c r="A311" s="29"/>
      <c r="B311" s="10"/>
    </row>
    <row r="312" spans="1:2" ht="15">
      <c r="A312" s="29"/>
      <c r="B312" s="10"/>
    </row>
    <row r="313" spans="1:2" ht="15">
      <c r="A313" s="29"/>
      <c r="B313" s="10"/>
    </row>
    <row r="314" spans="1:2" ht="15">
      <c r="A314" s="29"/>
      <c r="B314" s="10"/>
    </row>
    <row r="315" spans="1:2" ht="15">
      <c r="A315" s="29"/>
      <c r="B315" s="10"/>
    </row>
    <row r="316" spans="1:2" ht="15">
      <c r="A316" s="29"/>
      <c r="B316" s="10"/>
    </row>
    <row r="317" spans="1:2" ht="15">
      <c r="A317" s="29"/>
      <c r="B317" s="10"/>
    </row>
    <row r="318" spans="1:2" ht="15">
      <c r="A318" s="29"/>
      <c r="B318" s="10"/>
    </row>
    <row r="319" spans="1:2" ht="15">
      <c r="A319" s="29"/>
      <c r="B319" s="10"/>
    </row>
    <row r="320" spans="1:2" ht="15">
      <c r="A320" s="29"/>
      <c r="B320" s="10"/>
    </row>
    <row r="321" spans="1:2" ht="15">
      <c r="A321" s="29"/>
      <c r="B321" s="10"/>
    </row>
    <row r="322" spans="1:2" ht="15">
      <c r="A322" s="29"/>
      <c r="B322" s="10"/>
    </row>
    <row r="323" spans="1:2" ht="15">
      <c r="A323" s="29"/>
      <c r="B323" s="10"/>
    </row>
    <row r="324" spans="1:2" ht="15">
      <c r="A324" s="29"/>
      <c r="B324" s="10"/>
    </row>
    <row r="325" spans="1:2" ht="15">
      <c r="A325" s="29"/>
      <c r="B325" s="10"/>
    </row>
    <row r="326" spans="1:2" ht="15">
      <c r="A326" s="29"/>
      <c r="B326" s="10"/>
    </row>
    <row r="327" spans="1:2" ht="15">
      <c r="A327" s="29"/>
      <c r="B327" s="10"/>
    </row>
    <row r="328" spans="1:2" ht="15">
      <c r="A328" s="29"/>
      <c r="B328" s="10"/>
    </row>
    <row r="329" spans="1:2" ht="15">
      <c r="A329" s="29"/>
      <c r="B329" s="10"/>
    </row>
    <row r="330" spans="1:2" ht="15">
      <c r="A330" s="29"/>
      <c r="B330" s="10"/>
    </row>
    <row r="331" spans="1:2" ht="15">
      <c r="A331" s="29"/>
      <c r="B331" s="10"/>
    </row>
    <row r="332" spans="1:2" ht="15">
      <c r="A332" s="29"/>
      <c r="B332" s="10"/>
    </row>
    <row r="333" spans="1:2" ht="15">
      <c r="A333" s="29"/>
      <c r="B333" s="10"/>
    </row>
    <row r="334" spans="1:2" ht="15">
      <c r="A334" s="29"/>
      <c r="B334" s="10"/>
    </row>
    <row r="335" spans="1:2" ht="15">
      <c r="A335" s="29"/>
      <c r="B335" s="10"/>
    </row>
    <row r="336" spans="1:2" ht="15">
      <c r="A336" s="29"/>
      <c r="B336" s="10"/>
    </row>
    <row r="337" spans="1:2" ht="15">
      <c r="A337" s="29"/>
      <c r="B337" s="10"/>
    </row>
    <row r="338" spans="1:2" ht="15">
      <c r="A338" s="29"/>
      <c r="B338" s="10"/>
    </row>
    <row r="339" spans="1:2" ht="15">
      <c r="A339" s="29"/>
      <c r="B339" s="10"/>
    </row>
    <row r="340" spans="1:2" ht="15">
      <c r="A340" s="29"/>
      <c r="B340" s="10"/>
    </row>
    <row r="341" spans="1:2" ht="15">
      <c r="A341" s="29"/>
      <c r="B341" s="10"/>
    </row>
    <row r="342" spans="1:2" ht="15">
      <c r="A342" s="29"/>
      <c r="B342" s="10"/>
    </row>
    <row r="343" spans="1:2" ht="15">
      <c r="A343" s="29"/>
      <c r="B343" s="10"/>
    </row>
    <row r="344" spans="1:2" ht="15">
      <c r="A344" s="29"/>
      <c r="B344" s="10"/>
    </row>
    <row r="345" spans="1:2" ht="15">
      <c r="A345" s="29"/>
      <c r="B345" s="10"/>
    </row>
    <row r="346" spans="1:2" ht="15">
      <c r="A346" s="29"/>
      <c r="B346" s="10"/>
    </row>
    <row r="347" spans="1:2" ht="15">
      <c r="A347" s="29"/>
      <c r="B347" s="10"/>
    </row>
    <row r="348" spans="1:2" ht="15">
      <c r="A348" s="29"/>
      <c r="B348" s="10"/>
    </row>
    <row r="349" spans="1:2" ht="15">
      <c r="A349" s="29"/>
      <c r="B349" s="10"/>
    </row>
    <row r="350" spans="1:2" ht="15">
      <c r="A350" s="29"/>
      <c r="B350" s="10"/>
    </row>
    <row r="351" spans="1:2" ht="15">
      <c r="A351" s="29"/>
      <c r="B351" s="10"/>
    </row>
    <row r="352" spans="1:2" ht="15">
      <c r="A352" s="29"/>
      <c r="B352" s="10"/>
    </row>
    <row r="353" spans="1:2" ht="15">
      <c r="A353" s="29"/>
      <c r="B353" s="10"/>
    </row>
  </sheetData>
  <mergeCells count="18">
    <mergeCell ref="A91:B91"/>
    <mergeCell ref="A109:B109"/>
    <mergeCell ref="A132:B132"/>
    <mergeCell ref="A3:B3"/>
    <mergeCell ref="A4:B4"/>
    <mergeCell ref="A6:B6"/>
    <mergeCell ref="A30:B30"/>
    <mergeCell ref="A29:B29"/>
    <mergeCell ref="A213:B213"/>
    <mergeCell ref="A203:B203"/>
    <mergeCell ref="A146:B146"/>
    <mergeCell ref="A156:B156"/>
    <mergeCell ref="A182:B182"/>
    <mergeCell ref="A1:B1"/>
    <mergeCell ref="A2:B2"/>
    <mergeCell ref="A37:B37"/>
    <mergeCell ref="A59:B59"/>
    <mergeCell ref="A54:B54"/>
  </mergeCells>
  <printOptions/>
  <pageMargins left="0.5511811023622047" right="0.35433070866141736" top="0.984251968503937" bottom="0.984251968503937" header="0.5118110236220472" footer="0.5118110236220472"/>
  <pageSetup fitToHeight="5" horizontalDpi="355" verticalDpi="355" orientation="portrait" scale="78" r:id="rId1"/>
  <headerFooter alignWithMargins="0">
    <oddFooter>&amp;L&amp;A</oddFooter>
  </headerFooter>
  <rowBreaks count="4" manualBreakCount="4">
    <brk id="52" max="255" man="1"/>
    <brk id="108" max="255" man="1"/>
    <brk id="154" max="255" man="1"/>
    <brk id="20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0"/>
  <sheetViews>
    <sheetView workbookViewId="0" topLeftCell="A1">
      <selection activeCell="A1" sqref="A1:B1"/>
    </sheetView>
  </sheetViews>
  <sheetFormatPr defaultColWidth="9.140625" defaultRowHeight="12.75"/>
  <cols>
    <col min="1" max="1" width="72.28125" style="0" customWidth="1"/>
    <col min="2" max="2" width="21.8515625" style="0" customWidth="1"/>
    <col min="5" max="5" width="3.57421875" style="0" customWidth="1"/>
    <col min="6" max="6" width="2.421875" style="0" customWidth="1"/>
    <col min="7" max="7" width="14.57421875" style="0" bestFit="1" customWidth="1"/>
  </cols>
  <sheetData>
    <row r="1" spans="1:2" ht="12.75">
      <c r="A1" s="441" t="str">
        <f>'Trial Balance'!A1:J1</f>
        <v>North Bay Hydro Distribution Ltd.</v>
      </c>
      <c r="B1" s="441"/>
    </row>
    <row r="2" spans="1:2" ht="12.75">
      <c r="A2" s="441" t="str">
        <f>'Trial Balance'!A2:J2</f>
        <v>License Number ED-2003-0024, File Number EB-2009-0270</v>
      </c>
      <c r="B2" s="441"/>
    </row>
    <row r="3" spans="1:2" s="25" customFormat="1" ht="15.75">
      <c r="A3" s="433" t="str">
        <f>Notes!B4</f>
        <v>North Bay Hydro Distribution Ltd.</v>
      </c>
      <c r="B3" s="433"/>
    </row>
    <row r="4" spans="1:2" s="25" customFormat="1" ht="15.75">
      <c r="A4" s="427" t="s">
        <v>179</v>
      </c>
      <c r="B4" s="427"/>
    </row>
    <row r="5" spans="1:2" ht="15" customHeight="1">
      <c r="A5" s="72" t="s">
        <v>545</v>
      </c>
      <c r="B5" s="72" t="s">
        <v>153</v>
      </c>
    </row>
    <row r="6" spans="1:2" ht="15" customHeight="1">
      <c r="A6" s="428" t="s">
        <v>141</v>
      </c>
      <c r="B6" s="428"/>
    </row>
    <row r="7" spans="1:7" ht="15" customHeight="1">
      <c r="A7" s="32" t="str">
        <f>'Trial Balance'!A203&amp;"-"&amp;'Trial Balance'!B203</f>
        <v>4006-Residential Energy Sales</v>
      </c>
      <c r="B7" s="23">
        <f>'Trial Balance'!D203</f>
        <v>-9764967.259135686</v>
      </c>
      <c r="D7" s="14"/>
      <c r="E7" s="15"/>
      <c r="F7" s="16"/>
      <c r="G7" s="18"/>
    </row>
    <row r="8" spans="1:7" ht="15" customHeight="1">
      <c r="A8" s="32" t="str">
        <f>'Trial Balance'!A204&amp;"-"&amp;'Trial Balance'!B204</f>
        <v>4010-Commercial Energy Sales</v>
      </c>
      <c r="B8" s="23">
        <f>'Trial Balance'!D204</f>
        <v>-4748007.624784709</v>
      </c>
      <c r="D8" s="14"/>
      <c r="E8" s="15"/>
      <c r="F8" s="16"/>
      <c r="G8" s="18"/>
    </row>
    <row r="9" spans="1:7" ht="15" customHeight="1">
      <c r="A9" s="32" t="str">
        <f>'Trial Balance'!A205&amp;"-"&amp;'Trial Balance'!B205</f>
        <v>4015-Industrial Energy Sales</v>
      </c>
      <c r="B9" s="23">
        <f>'Trial Balance'!D205</f>
        <v>0</v>
      </c>
      <c r="D9" s="14"/>
      <c r="E9" s="15"/>
      <c r="F9" s="16"/>
      <c r="G9" s="18"/>
    </row>
    <row r="10" spans="1:7" ht="15" customHeight="1">
      <c r="A10" s="32" t="str">
        <f>'Trial Balance'!A206&amp;"-"&amp;'Trial Balance'!B206</f>
        <v>4020-Energy Sales to Large Users</v>
      </c>
      <c r="B10" s="23">
        <f>'Trial Balance'!D206</f>
        <v>0</v>
      </c>
      <c r="D10" s="14"/>
      <c r="E10" s="15"/>
      <c r="F10" s="16"/>
      <c r="G10" s="18"/>
    </row>
    <row r="11" spans="1:7" ht="15" customHeight="1">
      <c r="A11" s="32" t="str">
        <f>'Trial Balance'!A207&amp;"-"&amp;'Trial Balance'!B207</f>
        <v>4025-Street Lighting Energy Sales</v>
      </c>
      <c r="B11" s="23">
        <f>'Trial Balance'!D207</f>
        <v>-210981.23820744696</v>
      </c>
      <c r="D11" s="14"/>
      <c r="E11" s="15"/>
      <c r="F11" s="16"/>
      <c r="G11" s="18"/>
    </row>
    <row r="12" spans="1:7" ht="15" customHeight="1">
      <c r="A12" s="32" t="str">
        <f>'Trial Balance'!A208&amp;"-"&amp;'Trial Balance'!B208</f>
        <v>4030-Sentinel Energy Sales</v>
      </c>
      <c r="B12" s="23">
        <f>'Trial Balance'!D208</f>
        <v>-29312.310330347904</v>
      </c>
      <c r="D12" s="14"/>
      <c r="E12" s="15"/>
      <c r="F12" s="16"/>
      <c r="G12" s="18"/>
    </row>
    <row r="13" spans="1:7" ht="15" customHeight="1">
      <c r="A13" s="32" t="str">
        <f>'Trial Balance'!A209&amp;"-"&amp;'Trial Balance'!B209</f>
        <v>4035-General Energy Sales</v>
      </c>
      <c r="B13" s="23">
        <f>'Trial Balance'!D209</f>
        <v>-10833854.848406652</v>
      </c>
      <c r="D13" s="14"/>
      <c r="E13" s="15"/>
      <c r="F13" s="16"/>
      <c r="G13" s="18"/>
    </row>
    <row r="14" spans="1:7" ht="15" customHeight="1">
      <c r="A14" s="32" t="str">
        <f>'Trial Balance'!A210&amp;"-"&amp;'Trial Balance'!B210</f>
        <v>4040-Other Energy Sales to Public Authorities</v>
      </c>
      <c r="B14" s="23">
        <f>'Trial Balance'!D210</f>
        <v>0</v>
      </c>
      <c r="D14" s="14"/>
      <c r="E14" s="15"/>
      <c r="F14" s="16"/>
      <c r="G14" s="18"/>
    </row>
    <row r="15" spans="1:7" ht="15" customHeight="1">
      <c r="A15" s="32" t="str">
        <f>'Trial Balance'!A211&amp;"-"&amp;'Trial Balance'!B211</f>
        <v>4045-Energy Sales to Railroads and Railways</v>
      </c>
      <c r="B15" s="23">
        <f>'Trial Balance'!D211</f>
        <v>0</v>
      </c>
      <c r="D15" s="14"/>
      <c r="E15" s="15"/>
      <c r="F15" s="16"/>
      <c r="G15" s="18"/>
    </row>
    <row r="16" spans="1:7" ht="15" customHeight="1">
      <c r="A16" s="32" t="str">
        <f>'Trial Balance'!A212&amp;"-"&amp;'Trial Balance'!B212</f>
        <v>4050-Revenue Adjustment</v>
      </c>
      <c r="B16" s="23">
        <f>'Trial Balance'!D212</f>
        <v>0</v>
      </c>
      <c r="D16" s="14"/>
      <c r="E16" s="15"/>
      <c r="F16" s="16"/>
      <c r="G16" s="18"/>
    </row>
    <row r="17" spans="1:7" ht="15" customHeight="1">
      <c r="A17" s="32" t="str">
        <f>'Trial Balance'!A213&amp;"-"&amp;'Trial Balance'!B213</f>
        <v>4055-Energy Sales for Resale</v>
      </c>
      <c r="B17" s="23">
        <f>'Trial Balance'!D213</f>
        <v>-7066310.809135161</v>
      </c>
      <c r="D17" s="14"/>
      <c r="E17" s="17"/>
      <c r="F17" s="16"/>
      <c r="G17" s="18"/>
    </row>
    <row r="18" spans="1:7" ht="15" customHeight="1">
      <c r="A18" s="32" t="str">
        <f>'Trial Balance'!A214&amp;"-"&amp;'Trial Balance'!B214</f>
        <v>4060-Interdepartmental Energy Sales</v>
      </c>
      <c r="B18" s="23">
        <f>'Trial Balance'!D214</f>
        <v>0</v>
      </c>
      <c r="D18" s="14"/>
      <c r="E18" s="15"/>
      <c r="F18" s="16"/>
      <c r="G18" s="18"/>
    </row>
    <row r="19" spans="1:7" ht="15" customHeight="1">
      <c r="A19" s="32" t="str">
        <f>'Trial Balance'!A215&amp;"-"&amp;'Trial Balance'!B215</f>
        <v>4062-WMS</v>
      </c>
      <c r="B19" s="23">
        <f>'Trial Balance'!D215</f>
        <v>-3039478.97</v>
      </c>
      <c r="D19" s="14"/>
      <c r="E19" s="15"/>
      <c r="F19" s="16"/>
      <c r="G19" s="18"/>
    </row>
    <row r="20" spans="1:7" ht="15" customHeight="1">
      <c r="A20" s="32" t="str">
        <f>'Trial Balance'!A216&amp;"-"&amp;'Trial Balance'!B216</f>
        <v>4064-Billed WMS-One Time</v>
      </c>
      <c r="B20" s="23">
        <f>'Trial Balance'!D216</f>
        <v>0</v>
      </c>
      <c r="D20" s="14"/>
      <c r="E20" s="15"/>
      <c r="F20" s="16"/>
      <c r="G20" s="18"/>
    </row>
    <row r="21" spans="1:7" ht="15" customHeight="1">
      <c r="A21" s="32" t="str">
        <f>'Trial Balance'!A217&amp;"-"&amp;'Trial Balance'!B217</f>
        <v>4066-NS</v>
      </c>
      <c r="B21" s="23">
        <f>'Trial Balance'!D217</f>
        <v>-2993203.74</v>
      </c>
      <c r="D21" s="14"/>
      <c r="E21" s="15"/>
      <c r="F21" s="16"/>
      <c r="G21" s="18"/>
    </row>
    <row r="22" spans="1:7" ht="15" customHeight="1">
      <c r="A22" s="32" t="str">
        <f>'Trial Balance'!A218&amp;"-"&amp;'Trial Balance'!B218</f>
        <v>4068-CS</v>
      </c>
      <c r="B22" s="23">
        <f>'Trial Balance'!D218</f>
        <v>-2538540.04</v>
      </c>
      <c r="D22" s="14"/>
      <c r="E22" s="15"/>
      <c r="F22" s="16"/>
      <c r="G22" s="18"/>
    </row>
    <row r="23" spans="1:7" ht="15" customHeight="1" thickBot="1">
      <c r="A23" s="32" t="str">
        <f>'Trial Balance'!A219&amp;"-"&amp;'Trial Balance'!B219</f>
        <v>4075-LV Charges</v>
      </c>
      <c r="B23" s="23">
        <f>'Trial Balance'!D219</f>
        <v>0</v>
      </c>
      <c r="D23" s="14"/>
      <c r="E23" s="15"/>
      <c r="F23" s="16"/>
      <c r="G23" s="18"/>
    </row>
    <row r="24" spans="1:7" ht="15" customHeight="1" thickBot="1">
      <c r="A24" s="38" t="s">
        <v>142</v>
      </c>
      <c r="B24" s="24">
        <f>SUM(B7:B23)</f>
        <v>-41224656.84</v>
      </c>
      <c r="D24" s="14"/>
      <c r="E24" s="17"/>
      <c r="F24" s="16"/>
      <c r="G24" s="18"/>
    </row>
    <row r="25" spans="1:7" s="21" customFormat="1" ht="15" customHeight="1">
      <c r="A25" s="423"/>
      <c r="B25" s="424"/>
      <c r="D25" s="22"/>
      <c r="E25" s="15"/>
      <c r="F25" s="18"/>
      <c r="G25" s="18"/>
    </row>
    <row r="26" spans="1:7" s="21" customFormat="1" ht="15" customHeight="1">
      <c r="A26" s="428" t="s">
        <v>143</v>
      </c>
      <c r="B26" s="428"/>
      <c r="D26" s="22"/>
      <c r="E26" s="15"/>
      <c r="F26" s="18"/>
      <c r="G26" s="18"/>
    </row>
    <row r="27" spans="1:7" ht="15" customHeight="1">
      <c r="A27" s="32" t="str">
        <f>'Trial Balance'!A221&amp;"-"&amp;'Trial Balance'!B221</f>
        <v>4080-Distribution Services Revenue</v>
      </c>
      <c r="B27" s="23">
        <f>'Trial Balance'!D221</f>
        <v>-8570883.32</v>
      </c>
      <c r="D27" s="14"/>
      <c r="E27" s="17"/>
      <c r="F27" s="16"/>
      <c r="G27" s="18"/>
    </row>
    <row r="28" spans="1:7" ht="15" customHeight="1">
      <c r="A28" s="32" t="str">
        <f>'Trial Balance'!A222&amp;"-"&amp;'Trial Balance'!B222</f>
        <v>4082-RS Rev</v>
      </c>
      <c r="B28" s="23">
        <f>'Trial Balance'!D222</f>
        <v>0</v>
      </c>
      <c r="D28" s="14"/>
      <c r="E28" s="17"/>
      <c r="F28" s="16"/>
      <c r="G28" s="18"/>
    </row>
    <row r="29" spans="1:7" ht="15" customHeight="1">
      <c r="A29" s="32" t="str">
        <f>'Trial Balance'!A223&amp;"-"&amp;'Trial Balance'!B223</f>
        <v>4084-Serv Tx Requests</v>
      </c>
      <c r="B29" s="23">
        <f>'Trial Balance'!D223</f>
        <v>0</v>
      </c>
      <c r="D29" s="14"/>
      <c r="E29" s="17"/>
      <c r="F29" s="16"/>
      <c r="G29" s="18"/>
    </row>
    <row r="30" spans="1:7" ht="15" customHeight="1" thickBot="1">
      <c r="A30" s="32" t="str">
        <f>'Trial Balance'!A224&amp;"-"&amp;'Trial Balance'!B224</f>
        <v>4090-Electric Services Incidental to Energy Sales</v>
      </c>
      <c r="B30" s="23">
        <f>'Trial Balance'!D224</f>
        <v>0</v>
      </c>
      <c r="D30" s="14"/>
      <c r="E30" s="17"/>
      <c r="F30" s="16"/>
      <c r="G30" s="18"/>
    </row>
    <row r="31" spans="1:7" ht="15" customHeight="1" thickBot="1">
      <c r="A31" s="38" t="s">
        <v>73</v>
      </c>
      <c r="B31" s="24">
        <f>SUM(B27:B30)</f>
        <v>-8570883.32</v>
      </c>
      <c r="D31" s="14"/>
      <c r="E31" s="15"/>
      <c r="F31" s="16"/>
      <c r="G31" s="18"/>
    </row>
    <row r="32" spans="1:7" s="21" customFormat="1" ht="15" customHeight="1">
      <c r="A32" s="423"/>
      <c r="B32" s="424"/>
      <c r="D32" s="22"/>
      <c r="E32" s="15"/>
      <c r="F32" s="18"/>
      <c r="G32" s="18"/>
    </row>
    <row r="33" spans="1:7" s="21" customFormat="1" ht="15" customHeight="1">
      <c r="A33" s="428" t="s">
        <v>74</v>
      </c>
      <c r="B33" s="428"/>
      <c r="D33" s="22"/>
      <c r="E33" s="15"/>
      <c r="F33" s="18"/>
      <c r="G33" s="18"/>
    </row>
    <row r="34" spans="1:7" ht="15" customHeight="1">
      <c r="A34" s="32" t="str">
        <f>'Trial Balance'!A226&amp;"-"&amp;'Trial Balance'!B226</f>
        <v>4205-Interdepartmental Rents</v>
      </c>
      <c r="B34" s="23">
        <f>'Trial Balance'!D226</f>
        <v>0</v>
      </c>
      <c r="D34" s="14"/>
      <c r="E34" s="17"/>
      <c r="F34" s="16"/>
      <c r="G34" s="18"/>
    </row>
    <row r="35" spans="1:2" ht="15" customHeight="1">
      <c r="A35" s="32" t="str">
        <f>'Trial Balance'!A227&amp;"-"&amp;'Trial Balance'!B227</f>
        <v>4210-Rent from Electric Property</v>
      </c>
      <c r="B35" s="23">
        <f>'Trial Balance'!D227</f>
        <v>-203988.76</v>
      </c>
    </row>
    <row r="36" spans="1:2" ht="15" customHeight="1">
      <c r="A36" s="32" t="str">
        <f>'Trial Balance'!A228&amp;"-"&amp;'Trial Balance'!B228</f>
        <v>4215-Other Utility Operating Income</v>
      </c>
      <c r="B36" s="23">
        <f>'Trial Balance'!D228</f>
        <v>0</v>
      </c>
    </row>
    <row r="37" spans="1:2" ht="15" customHeight="1">
      <c r="A37" s="32" t="str">
        <f>'Trial Balance'!A229&amp;"-"&amp;'Trial Balance'!B229</f>
        <v>4220-Other Electric Revenues</v>
      </c>
      <c r="B37" s="23">
        <f>'Trial Balance'!D229</f>
        <v>0</v>
      </c>
    </row>
    <row r="38" spans="1:2" ht="15" customHeight="1">
      <c r="A38" s="32" t="str">
        <f>'Trial Balance'!A230&amp;"-"&amp;'Trial Balance'!B230</f>
        <v>4225-Late Payment Charges</v>
      </c>
      <c r="B38" s="23">
        <f>'Trial Balance'!D230</f>
        <v>-17719.5</v>
      </c>
    </row>
    <row r="39" spans="1:2" ht="15" customHeight="1">
      <c r="A39" s="32" t="str">
        <f>'Trial Balance'!A231&amp;"-"&amp;'Trial Balance'!B231</f>
        <v>4230-Sales of Water and Water Power</v>
      </c>
      <c r="B39" s="23">
        <f>'Trial Balance'!D231</f>
        <v>0</v>
      </c>
    </row>
    <row r="40" spans="1:2" ht="15" customHeight="1">
      <c r="A40" s="32" t="str">
        <f>'Trial Balance'!A232&amp;"-"&amp;'Trial Balance'!B232</f>
        <v>4235-Miscellaneous Service Revenues</v>
      </c>
      <c r="B40" s="23">
        <f>'Trial Balance'!D232</f>
        <v>-326963.79</v>
      </c>
    </row>
    <row r="41" spans="1:2" ht="15" customHeight="1">
      <c r="A41" s="32" t="str">
        <f>'Trial Balance'!A233&amp;"-"&amp;'Trial Balance'!B233</f>
        <v>4240-Provision for Rate Refunds</v>
      </c>
      <c r="B41" s="23">
        <f>'Trial Balance'!D233</f>
        <v>0</v>
      </c>
    </row>
    <row r="42" spans="1:2" ht="15" customHeight="1" thickBot="1">
      <c r="A42" s="32" t="str">
        <f>'Trial Balance'!A234&amp;"-"&amp;'Trial Balance'!B234</f>
        <v>4245-Government Assistance Directly Credited to Income</v>
      </c>
      <c r="B42" s="23">
        <f>'Trial Balance'!D234</f>
        <v>0</v>
      </c>
    </row>
    <row r="43" spans="1:2" ht="15" customHeight="1" thickBot="1">
      <c r="A43" s="38" t="s">
        <v>86</v>
      </c>
      <c r="B43" s="24">
        <f>SUM(B34:B42)</f>
        <v>-548672.05</v>
      </c>
    </row>
    <row r="44" spans="1:2" s="21" customFormat="1" ht="15" customHeight="1">
      <c r="A44" s="423"/>
      <c r="B44" s="424"/>
    </row>
    <row r="45" spans="1:2" s="21" customFormat="1" ht="15" customHeight="1">
      <c r="A45" s="428" t="s">
        <v>87</v>
      </c>
      <c r="B45" s="428"/>
    </row>
    <row r="46" spans="1:2" ht="15" customHeight="1">
      <c r="A46" s="32" t="str">
        <f>'Trial Balance'!A236&amp;"-"&amp;'Trial Balance'!B236</f>
        <v>4305-Regulatory Debits</v>
      </c>
      <c r="B46" s="23">
        <f>'Trial Balance'!D236</f>
        <v>0</v>
      </c>
    </row>
    <row r="47" spans="1:2" ht="15" customHeight="1">
      <c r="A47" s="32" t="str">
        <f>'Trial Balance'!A237&amp;"-"&amp;'Trial Balance'!B237</f>
        <v>4310-Regulatory Credits</v>
      </c>
      <c r="B47" s="23">
        <f>'Trial Balance'!D237</f>
        <v>0</v>
      </c>
    </row>
    <row r="48" spans="1:2" ht="15" customHeight="1">
      <c r="A48" s="32" t="str">
        <f>'Trial Balance'!A238&amp;"-"&amp;'Trial Balance'!B238</f>
        <v>4315-Revenues from Electric Plant Leased to Others</v>
      </c>
      <c r="B48" s="23">
        <f>'Trial Balance'!D238</f>
        <v>0</v>
      </c>
    </row>
    <row r="49" spans="1:2" ht="15" customHeight="1">
      <c r="A49" s="32" t="str">
        <f>'Trial Balance'!A239&amp;"-"&amp;'Trial Balance'!B239</f>
        <v>4320-Expenses of Electric Plant Leased to Others</v>
      </c>
      <c r="B49" s="23">
        <f>'Trial Balance'!D239</f>
        <v>0</v>
      </c>
    </row>
    <row r="50" spans="1:2" ht="15" customHeight="1">
      <c r="A50" s="32" t="str">
        <f>'Trial Balance'!A240&amp;"-"&amp;'Trial Balance'!B240</f>
        <v>4325-Revenues from Merchandise, Jobbing, Etc.</v>
      </c>
      <c r="B50" s="23">
        <f>'Trial Balance'!D240</f>
        <v>-53587.68</v>
      </c>
    </row>
    <row r="51" spans="1:2" ht="15" customHeight="1">
      <c r="A51" s="32" t="str">
        <f>'Trial Balance'!A241&amp;"-"&amp;'Trial Balance'!B241</f>
        <v>4330-Costs and Expenses of Merchandising, Jobbing, Etc</v>
      </c>
      <c r="B51" s="23">
        <f>'Trial Balance'!D241</f>
        <v>35227.89</v>
      </c>
    </row>
    <row r="52" spans="1:2" ht="15" customHeight="1">
      <c r="A52" s="32" t="str">
        <f>'Trial Balance'!A242&amp;"-"&amp;'Trial Balance'!B242</f>
        <v>4335-Profits and Losses from Financial Instrument Hedges</v>
      </c>
      <c r="B52" s="23">
        <f>'Trial Balance'!D242</f>
        <v>0</v>
      </c>
    </row>
    <row r="53" spans="1:2" ht="15" customHeight="1">
      <c r="A53" s="32" t="str">
        <f>'Trial Balance'!A243&amp;"-"&amp;'Trial Balance'!B243</f>
        <v>4340-Profits and Losses from Financial Instrument Investments</v>
      </c>
      <c r="B53" s="23">
        <f>'Trial Balance'!D243</f>
        <v>0</v>
      </c>
    </row>
    <row r="54" spans="1:2" ht="15" customHeight="1">
      <c r="A54" s="32" t="str">
        <f>'Trial Balance'!A244&amp;"-"&amp;'Trial Balance'!B244</f>
        <v>4345-Gains from Disposition of Future Use Utility Plant</v>
      </c>
      <c r="B54" s="23">
        <f>'Trial Balance'!D244</f>
        <v>0</v>
      </c>
    </row>
    <row r="55" spans="1:2" ht="15" customHeight="1">
      <c r="A55" s="32" t="str">
        <f>'Trial Balance'!A245&amp;"-"&amp;'Trial Balance'!B245</f>
        <v>4350-Losses from Disposition of Future Use Utility Plant</v>
      </c>
      <c r="B55" s="23">
        <f>'Trial Balance'!D245</f>
        <v>0</v>
      </c>
    </row>
    <row r="56" spans="1:2" ht="15" customHeight="1">
      <c r="A56" s="32" t="str">
        <f>'Trial Balance'!A246&amp;"-"&amp;'Trial Balance'!B246</f>
        <v>4355-Gain on Disposition of Utility and Other Property</v>
      </c>
      <c r="B56" s="23">
        <f>'Trial Balance'!D246</f>
        <v>-3500</v>
      </c>
    </row>
    <row r="57" spans="1:2" ht="15" customHeight="1">
      <c r="A57" s="32" t="str">
        <f>'Trial Balance'!A247&amp;"-"&amp;'Trial Balance'!B247</f>
        <v>4360-Loss on Disposition of Utility and Other Property</v>
      </c>
      <c r="B57" s="23">
        <f>'Trial Balance'!D247</f>
        <v>0</v>
      </c>
    </row>
    <row r="58" spans="1:2" ht="15" customHeight="1">
      <c r="A58" s="32" t="str">
        <f>'Trial Balance'!A248&amp;"-"&amp;'Trial Balance'!B248</f>
        <v>4365-Gains from Disposition of Allowances for Emission</v>
      </c>
      <c r="B58" s="23">
        <f>'Trial Balance'!D248</f>
        <v>0</v>
      </c>
    </row>
    <row r="59" spans="1:2" ht="15" customHeight="1">
      <c r="A59" s="32" t="str">
        <f>'Trial Balance'!A249&amp;"-"&amp;'Trial Balance'!B249</f>
        <v>4370-Losses from Disposition of Allowances for Emission</v>
      </c>
      <c r="B59" s="23">
        <f>'Trial Balance'!D249</f>
        <v>0</v>
      </c>
    </row>
    <row r="60" spans="1:2" ht="15" customHeight="1">
      <c r="A60" s="32" t="str">
        <f>'Trial Balance'!A250&amp;"-"&amp;'Trial Balance'!B250</f>
        <v>4375-Revenues from Non-Utility Operations</v>
      </c>
      <c r="B60" s="23">
        <f>'Trial Balance'!D250</f>
        <v>-54454.32</v>
      </c>
    </row>
    <row r="61" spans="1:2" ht="15" customHeight="1">
      <c r="A61" s="32" t="str">
        <f>'Trial Balance'!A251&amp;"-"&amp;'Trial Balance'!B251</f>
        <v>4380-Expenses of Non-Utility Operations</v>
      </c>
      <c r="B61" s="23">
        <f>'Trial Balance'!D251</f>
        <v>0</v>
      </c>
    </row>
    <row r="62" spans="1:2" ht="15" customHeight="1">
      <c r="A62" s="32" t="str">
        <f>'Trial Balance'!A252&amp;"-"&amp;'Trial Balance'!B252</f>
        <v>4385-Non-Utility Rental Income</v>
      </c>
      <c r="B62" s="23">
        <f>'Trial Balance'!D252</f>
        <v>122.31</v>
      </c>
    </row>
    <row r="63" spans="1:2" ht="15" customHeight="1">
      <c r="A63" s="32" t="str">
        <f>'Trial Balance'!A253&amp;"-"&amp;'Trial Balance'!B253</f>
        <v>4390-Miscellaneous Non-Operating Income</v>
      </c>
      <c r="B63" s="23">
        <f>'Trial Balance'!D253</f>
        <v>-6181.76</v>
      </c>
    </row>
    <row r="64" spans="1:2" ht="15" customHeight="1">
      <c r="A64" s="32" t="str">
        <f>'Trial Balance'!A254&amp;"-"&amp;'Trial Balance'!B254</f>
        <v>4395-Rate-Payer Benefit Including Interest</v>
      </c>
      <c r="B64" s="23">
        <f>'Trial Balance'!D254</f>
        <v>0</v>
      </c>
    </row>
    <row r="65" spans="1:2" ht="15" customHeight="1" thickBot="1">
      <c r="A65" s="32" t="str">
        <f>'Trial Balance'!A255&amp;"-"&amp;'Trial Balance'!B255</f>
        <v>4398-Foreign Exchange Gains and Losses, Including Amortization</v>
      </c>
      <c r="B65" s="23">
        <f>'Trial Balance'!D255</f>
        <v>0</v>
      </c>
    </row>
    <row r="66" spans="1:2" ht="15" customHeight="1" thickBot="1">
      <c r="A66" s="38" t="s">
        <v>82</v>
      </c>
      <c r="B66" s="24">
        <f>SUM(B46:B65)</f>
        <v>-82373.56</v>
      </c>
    </row>
    <row r="67" spans="1:2" s="21" customFormat="1" ht="15" customHeight="1">
      <c r="A67" s="423"/>
      <c r="B67" s="424"/>
    </row>
    <row r="68" spans="1:2" s="21" customFormat="1" ht="15" customHeight="1">
      <c r="A68" s="428" t="s">
        <v>83</v>
      </c>
      <c r="B68" s="428"/>
    </row>
    <row r="69" spans="1:2" s="21" customFormat="1" ht="15" customHeight="1">
      <c r="A69" s="32" t="str">
        <f>'Trial Balance'!A257&amp;"-"&amp;'Trial Balance'!B257</f>
        <v>4405-Interest and Dividend Income</v>
      </c>
      <c r="B69" s="23">
        <f>'Trial Balance'!D257</f>
        <v>-374609.85</v>
      </c>
    </row>
    <row r="70" spans="1:2" ht="15" customHeight="1" thickBot="1">
      <c r="A70" s="32" t="str">
        <f>'Trial Balance'!A258&amp;"-"&amp;'Trial Balance'!B258</f>
        <v>4415-Equity in Earnings of Subsidiary Companies</v>
      </c>
      <c r="B70" s="23">
        <f>'Trial Balance'!D258</f>
        <v>0</v>
      </c>
    </row>
    <row r="71" spans="1:2" ht="15" customHeight="1" thickBot="1">
      <c r="A71" s="38" t="s">
        <v>84</v>
      </c>
      <c r="B71" s="24">
        <f>SUM(B69:B70)</f>
        <v>-374609.85</v>
      </c>
    </row>
    <row r="72" spans="1:2" s="21" customFormat="1" ht="15" customHeight="1">
      <c r="A72" s="423"/>
      <c r="B72" s="424"/>
    </row>
    <row r="73" spans="1:2" s="21" customFormat="1" ht="15" customHeight="1">
      <c r="A73" s="428" t="s">
        <v>85</v>
      </c>
      <c r="B73" s="428"/>
    </row>
    <row r="74" spans="1:2" ht="15" customHeight="1">
      <c r="A74" s="32" t="str">
        <f>'Trial Balance'!A260&amp;"-"&amp;'Trial Balance'!B260</f>
        <v>4705-Power Purchased</v>
      </c>
      <c r="B74" s="23">
        <f>'Trial Balance'!D260</f>
        <v>32653434.09</v>
      </c>
    </row>
    <row r="75" spans="1:2" ht="15" customHeight="1">
      <c r="A75" s="32" t="str">
        <f>'Trial Balance'!A261&amp;"-"&amp;'Trial Balance'!B261</f>
        <v>4708-WMS</v>
      </c>
      <c r="B75" s="23">
        <f>'Trial Balance'!D261</f>
        <v>2448886.67</v>
      </c>
    </row>
    <row r="76" spans="1:2" ht="15" customHeight="1">
      <c r="A76" s="32" t="str">
        <f>'Trial Balance'!A262&amp;"-"&amp;'Trial Balance'!B262</f>
        <v>4710-Cost of Power Adjustments</v>
      </c>
      <c r="B76" s="23">
        <f>'Trial Balance'!D262</f>
        <v>0</v>
      </c>
    </row>
    <row r="77" spans="1:2" ht="15" customHeight="1">
      <c r="A77" s="32" t="str">
        <f>'Trial Balance'!A263&amp;"-"&amp;'Trial Balance'!B263</f>
        <v>4712-0</v>
      </c>
      <c r="B77" s="23">
        <f>'Trial Balance'!D263</f>
        <v>0</v>
      </c>
    </row>
    <row r="78" spans="1:2" ht="15" customHeight="1">
      <c r="A78" s="32" t="str">
        <f>'Trial Balance'!A264&amp;"-"&amp;'Trial Balance'!B264</f>
        <v>4714-NW</v>
      </c>
      <c r="B78" s="23">
        <f>'Trial Balance'!D264</f>
        <v>2993203.74</v>
      </c>
    </row>
    <row r="79" spans="1:2" ht="15" customHeight="1">
      <c r="A79" s="32" t="str">
        <f>'Trial Balance'!A265&amp;"-"&amp;'Trial Balance'!B265</f>
        <v>4715-System Control and Load Dispatching</v>
      </c>
      <c r="B79" s="23">
        <f>'Trial Balance'!D265</f>
        <v>0</v>
      </c>
    </row>
    <row r="80" spans="1:2" ht="15" customHeight="1">
      <c r="A80" s="32" t="str">
        <f>'Trial Balance'!A266&amp;"-"&amp;'Trial Balance'!B266</f>
        <v>4716-NCN</v>
      </c>
      <c r="B80" s="23">
        <f>'Trial Balance'!D266</f>
        <v>2538540.04</v>
      </c>
    </row>
    <row r="81" spans="1:2" ht="15" customHeight="1">
      <c r="A81" s="32" t="str">
        <f>'Trial Balance'!A267&amp;"-"&amp;'Trial Balance'!B267</f>
        <v>4720-Other Expenses</v>
      </c>
      <c r="B81" s="23">
        <f>'Trial Balance'!D267</f>
        <v>0</v>
      </c>
    </row>
    <row r="82" spans="1:2" ht="15" customHeight="1">
      <c r="A82" s="32" t="str">
        <f>'Trial Balance'!A268&amp;"-"&amp;'Trial Balance'!B268</f>
        <v>4725-Competition Transition Expense</v>
      </c>
      <c r="B82" s="23">
        <f>'Trial Balance'!D268</f>
        <v>0</v>
      </c>
    </row>
    <row r="83" spans="1:2" ht="15" customHeight="1">
      <c r="A83" s="32" t="str">
        <f>'Trial Balance'!A269&amp;"-"&amp;'Trial Balance'!B269</f>
        <v>4730-Rural Rate Assistance Expense</v>
      </c>
      <c r="B83" s="23">
        <f>'Trial Balance'!D269</f>
        <v>590592.3</v>
      </c>
    </row>
    <row r="84" spans="1:2" ht="15" customHeight="1" thickBot="1">
      <c r="A84" s="32" t="str">
        <f>'Trial Balance'!A270&amp;"-"&amp;'Trial Balance'!B270</f>
        <v>4750-LV Charges</v>
      </c>
      <c r="B84" s="23">
        <f>'Trial Balance'!D270</f>
        <v>0</v>
      </c>
    </row>
    <row r="85" spans="1:2" ht="15" customHeight="1" thickBot="1">
      <c r="A85" s="38" t="s">
        <v>554</v>
      </c>
      <c r="B85" s="24">
        <f>SUM(B74:B84)</f>
        <v>41224656.839999996</v>
      </c>
    </row>
    <row r="86" spans="1:2" s="21" customFormat="1" ht="15" customHeight="1">
      <c r="A86" s="423"/>
      <c r="B86" s="424"/>
    </row>
    <row r="87" spans="1:2" s="21" customFormat="1" ht="15" customHeight="1">
      <c r="A87" s="428" t="s">
        <v>555</v>
      </c>
      <c r="B87" s="428"/>
    </row>
    <row r="88" spans="1:2" ht="15" customHeight="1">
      <c r="A88" s="32" t="str">
        <f>'Trial Balance'!A272&amp;"-"&amp;'Trial Balance'!B272</f>
        <v>5005-Operation Supervision and Engineering</v>
      </c>
      <c r="B88" s="23">
        <f>'Trial Balance'!D272</f>
        <v>414835.12</v>
      </c>
    </row>
    <row r="89" spans="1:2" ht="15" customHeight="1">
      <c r="A89" s="32" t="str">
        <f>'Trial Balance'!A273&amp;"-"&amp;'Trial Balance'!B273</f>
        <v>5010-Load Dispatching</v>
      </c>
      <c r="B89" s="23">
        <f>'Trial Balance'!D273</f>
        <v>110319.53</v>
      </c>
    </row>
    <row r="90" spans="1:2" ht="15" customHeight="1">
      <c r="A90" s="32" t="str">
        <f>'Trial Balance'!A274&amp;"-"&amp;'Trial Balance'!B274</f>
        <v>5012-Station Buildings and Fixtures Expense</v>
      </c>
      <c r="B90" s="23">
        <f>'Trial Balance'!D274</f>
        <v>23677.79</v>
      </c>
    </row>
    <row r="91" spans="1:2" ht="15" customHeight="1">
      <c r="A91" s="32" t="str">
        <f>'Trial Balance'!A275&amp;"-"&amp;'Trial Balance'!B275</f>
        <v>5014-Transformer Station Equipment - Operation Labour</v>
      </c>
      <c r="B91" s="23">
        <f>'Trial Balance'!D275</f>
        <v>0</v>
      </c>
    </row>
    <row r="92" spans="1:2" ht="15" customHeight="1">
      <c r="A92" s="32" t="str">
        <f>'Trial Balance'!A276&amp;"-"&amp;'Trial Balance'!B276</f>
        <v>5015-Transformer Station Equipment - Operation Supplies and Expenses</v>
      </c>
      <c r="B92" s="23">
        <f>'Trial Balance'!D276</f>
        <v>0</v>
      </c>
    </row>
    <row r="93" spans="1:2" ht="15" customHeight="1">
      <c r="A93" s="32" t="str">
        <f>'Trial Balance'!A277&amp;"-"&amp;'Trial Balance'!B277</f>
        <v>5016-Distribution Station Equipment - Operation Labour</v>
      </c>
      <c r="B93" s="23">
        <f>'Trial Balance'!D277</f>
        <v>0</v>
      </c>
    </row>
    <row r="94" spans="1:2" ht="15" customHeight="1">
      <c r="A94" s="32" t="str">
        <f>'Trial Balance'!A278&amp;"-"&amp;'Trial Balance'!B278</f>
        <v>5017-Distribution Station Equipment - Operation Supplies and Expenses</v>
      </c>
      <c r="B94" s="23">
        <f>'Trial Balance'!D278</f>
        <v>0</v>
      </c>
    </row>
    <row r="95" spans="1:2" ht="15" customHeight="1">
      <c r="A95" s="32" t="str">
        <f>'Trial Balance'!A279&amp;"-"&amp;'Trial Balance'!B279</f>
        <v>5020-Overhead Distribution Lines and Feeders - Operation Labour</v>
      </c>
      <c r="B95" s="23">
        <f>'Trial Balance'!D279</f>
        <v>558.78</v>
      </c>
    </row>
    <row r="96" spans="1:2" ht="15" customHeight="1">
      <c r="A96" s="32" t="str">
        <f>'Trial Balance'!A280&amp;"-"&amp;'Trial Balance'!B280</f>
        <v>5025-Overhead Distribution Lines and Feeders - Operation Supplies and Expenses</v>
      </c>
      <c r="B96" s="23">
        <f>'Trial Balance'!D280</f>
        <v>1355</v>
      </c>
    </row>
    <row r="97" spans="1:2" ht="15" customHeight="1">
      <c r="A97" s="32" t="str">
        <f>'Trial Balance'!A281&amp;"-"&amp;'Trial Balance'!B281</f>
        <v>5030-Overhead Subtransmission Feeders - Operation</v>
      </c>
      <c r="B97" s="23">
        <f>'Trial Balance'!D281</f>
        <v>1392.48</v>
      </c>
    </row>
    <row r="98" spans="1:2" ht="15" customHeight="1">
      <c r="A98" s="32" t="str">
        <f>'Trial Balance'!A282&amp;"-"&amp;'Trial Balance'!B282</f>
        <v>5035-Overhead Distribution Transformers - Operation</v>
      </c>
      <c r="B98" s="23">
        <f>'Trial Balance'!D282</f>
        <v>1677.72</v>
      </c>
    </row>
    <row r="99" spans="1:2" ht="15" customHeight="1">
      <c r="A99" s="32" t="str">
        <f>'Trial Balance'!A283&amp;"-"&amp;'Trial Balance'!B283</f>
        <v>5040-Underground Distribution Lines and Feeders - Operation Labour</v>
      </c>
      <c r="B99" s="23">
        <f>'Trial Balance'!D283</f>
        <v>43006</v>
      </c>
    </row>
    <row r="100" spans="1:2" ht="15" customHeight="1">
      <c r="A100" s="32" t="str">
        <f>'Trial Balance'!A284&amp;"-"&amp;'Trial Balance'!B284</f>
        <v>5045-Underground Distribution Lines and Feeders - Operation Supplies and Expenses</v>
      </c>
      <c r="B100" s="23">
        <f>'Trial Balance'!D284</f>
        <v>9134.9</v>
      </c>
    </row>
    <row r="101" spans="1:2" ht="15" customHeight="1">
      <c r="A101" s="32" t="str">
        <f>'Trial Balance'!A285&amp;"-"&amp;'Trial Balance'!B285</f>
        <v>5050-Underground Subtransmission Feeders - Operation</v>
      </c>
      <c r="B101" s="23">
        <f>'Trial Balance'!D285</f>
        <v>0</v>
      </c>
    </row>
    <row r="102" spans="1:2" ht="15" customHeight="1">
      <c r="A102" s="32" t="str">
        <f>'Trial Balance'!A286&amp;"-"&amp;'Trial Balance'!B286</f>
        <v>5055-Underground Distribution Transformers - Operation</v>
      </c>
      <c r="B102" s="23">
        <f>'Trial Balance'!D286</f>
        <v>0</v>
      </c>
    </row>
    <row r="103" spans="1:2" ht="15" customHeight="1">
      <c r="A103" s="32" t="str">
        <f>'Trial Balance'!A287&amp;"-"&amp;'Trial Balance'!B287</f>
        <v>5060-Street Lighting and Signal System Expense</v>
      </c>
      <c r="B103" s="23">
        <f>'Trial Balance'!D287</f>
        <v>0</v>
      </c>
    </row>
    <row r="104" spans="1:2" ht="15" customHeight="1">
      <c r="A104" s="32" t="str">
        <f>'Trial Balance'!A288&amp;"-"&amp;'Trial Balance'!B288</f>
        <v>5065-Meter Expense</v>
      </c>
      <c r="B104" s="23">
        <f>'Trial Balance'!D288</f>
        <v>146621.49</v>
      </c>
    </row>
    <row r="105" spans="1:2" ht="15" customHeight="1">
      <c r="A105" s="32" t="str">
        <f>'Trial Balance'!A289&amp;"-"&amp;'Trial Balance'!B289</f>
        <v>5070-Customer Premises - Operation Labour</v>
      </c>
      <c r="B105" s="23">
        <f>'Trial Balance'!D289</f>
        <v>101.01</v>
      </c>
    </row>
    <row r="106" spans="1:2" ht="15" customHeight="1">
      <c r="A106" s="32" t="str">
        <f>'Trial Balance'!A290&amp;"-"&amp;'Trial Balance'!B290</f>
        <v>5075-Customer Premises - Materials and Expenses</v>
      </c>
      <c r="B106" s="23">
        <f>'Trial Balance'!D290</f>
        <v>0</v>
      </c>
    </row>
    <row r="107" spans="1:2" ht="15" customHeight="1">
      <c r="A107" s="32" t="str">
        <f>'Trial Balance'!A291&amp;"-"&amp;'Trial Balance'!B291</f>
        <v>5085-Miscellaneous Distribution Expense</v>
      </c>
      <c r="B107" s="23">
        <f>'Trial Balance'!D291</f>
        <v>367587.05</v>
      </c>
    </row>
    <row r="108" spans="1:2" ht="15" customHeight="1">
      <c r="A108" s="32" t="str">
        <f>'Trial Balance'!A292&amp;"-"&amp;'Trial Balance'!B292</f>
        <v>5090-Underground Distribution Lines and Feeders - Rental Paid</v>
      </c>
      <c r="B108" s="23">
        <f>'Trial Balance'!D292</f>
        <v>0</v>
      </c>
    </row>
    <row r="109" spans="1:2" ht="15" customHeight="1">
      <c r="A109" s="32" t="str">
        <f>'Trial Balance'!A293&amp;"-"&amp;'Trial Balance'!B293</f>
        <v>5095-Overhead Distribution Lines and Feeders - Rental Paid</v>
      </c>
      <c r="B109" s="23">
        <f>'Trial Balance'!D293</f>
        <v>39690.65</v>
      </c>
    </row>
    <row r="110" spans="1:2" ht="15" customHeight="1" thickBot="1">
      <c r="A110" s="32" t="str">
        <f>'Trial Balance'!A294&amp;"-"&amp;'Trial Balance'!B294</f>
        <v>5096-Other Rent</v>
      </c>
      <c r="B110" s="23">
        <f>'Trial Balance'!D294</f>
        <v>237</v>
      </c>
    </row>
    <row r="111" spans="1:2" ht="15" customHeight="1" thickBot="1">
      <c r="A111" s="38" t="s">
        <v>558</v>
      </c>
      <c r="B111" s="24">
        <f>SUM(B88:B110)</f>
        <v>1160194.52</v>
      </c>
    </row>
    <row r="112" spans="1:2" s="21" customFormat="1" ht="15" customHeight="1">
      <c r="A112" s="423"/>
      <c r="B112" s="424"/>
    </row>
    <row r="113" spans="1:2" s="21" customFormat="1" ht="15" customHeight="1">
      <c r="A113" s="428" t="s">
        <v>559</v>
      </c>
      <c r="B113" s="428"/>
    </row>
    <row r="114" spans="1:2" ht="15" customHeight="1">
      <c r="A114" s="32" t="str">
        <f>'Trial Balance'!A296&amp;"-"&amp;'Trial Balance'!B296</f>
        <v>5105-Maintenance Supervision and Engineering</v>
      </c>
      <c r="B114" s="23">
        <f>'Trial Balance'!D296</f>
        <v>0</v>
      </c>
    </row>
    <row r="115" spans="1:2" ht="15" customHeight="1">
      <c r="A115" s="32" t="str">
        <f>'Trial Balance'!A297&amp;"-"&amp;'Trial Balance'!B297</f>
        <v>5110-Maintenance of Structures</v>
      </c>
      <c r="B115" s="23">
        <f>'Trial Balance'!D297</f>
        <v>14659.57</v>
      </c>
    </row>
    <row r="116" spans="1:2" ht="15" customHeight="1">
      <c r="A116" s="32" t="str">
        <f>'Trial Balance'!A298&amp;"-"&amp;'Trial Balance'!B298</f>
        <v>5112-Maintenance of Transformer Station Equipment</v>
      </c>
      <c r="B116" s="23">
        <f>'Trial Balance'!D298</f>
        <v>0</v>
      </c>
    </row>
    <row r="117" spans="1:2" ht="15" customHeight="1">
      <c r="A117" s="32" t="str">
        <f>'Trial Balance'!A299&amp;"-"&amp;'Trial Balance'!B299</f>
        <v>5114-Maintenance of Distribution Station Equipment</v>
      </c>
      <c r="B117" s="23">
        <f>'Trial Balance'!D299</f>
        <v>68550.56</v>
      </c>
    </row>
    <row r="118" spans="1:2" ht="15" customHeight="1">
      <c r="A118" s="32" t="str">
        <f>'Trial Balance'!A300&amp;"-"&amp;'Trial Balance'!B300</f>
        <v>5120-Maintenance of Poles, Towers and Fixtures</v>
      </c>
      <c r="B118" s="23">
        <f>'Trial Balance'!D300</f>
        <v>219306.14</v>
      </c>
    </row>
    <row r="119" spans="1:2" ht="15" customHeight="1">
      <c r="A119" s="32" t="str">
        <f>'Trial Balance'!A301&amp;"-"&amp;'Trial Balance'!B301</f>
        <v>5125-Maintenance of Overhead Conductors and Devices</v>
      </c>
      <c r="B119" s="23">
        <f>'Trial Balance'!D301</f>
        <v>199021.58</v>
      </c>
    </row>
    <row r="120" spans="1:2" ht="15" customHeight="1">
      <c r="A120" s="32" t="str">
        <f>'Trial Balance'!A302&amp;"-"&amp;'Trial Balance'!B302</f>
        <v>5130-Maintenance of Overhead Services</v>
      </c>
      <c r="B120" s="23">
        <f>'Trial Balance'!D302</f>
        <v>312458.09</v>
      </c>
    </row>
    <row r="121" spans="1:2" ht="15" customHeight="1">
      <c r="A121" s="32" t="str">
        <f>'Trial Balance'!A303&amp;"-"&amp;'Trial Balance'!B303</f>
        <v>5135-Overhead Distribution Lines and Feeders - Right of Way</v>
      </c>
      <c r="B121" s="23">
        <f>'Trial Balance'!D303</f>
        <v>313857.43</v>
      </c>
    </row>
    <row r="122" spans="1:2" ht="15" customHeight="1">
      <c r="A122" s="32" t="str">
        <f>'Trial Balance'!A304&amp;"-"&amp;'Trial Balance'!B304</f>
        <v>5145-Maintenance of Underground Conduit</v>
      </c>
      <c r="B122" s="23">
        <f>'Trial Balance'!D304</f>
        <v>7218.2</v>
      </c>
    </row>
    <row r="123" spans="1:2" ht="15" customHeight="1">
      <c r="A123" s="32" t="str">
        <f>'Trial Balance'!A305&amp;"-"&amp;'Trial Balance'!B305</f>
        <v>5150-Maintenance of Underground Conductors and Devices</v>
      </c>
      <c r="B123" s="23">
        <f>'Trial Balance'!D305</f>
        <v>68460.46</v>
      </c>
    </row>
    <row r="124" spans="1:2" ht="15" customHeight="1">
      <c r="A124" s="32" t="str">
        <f>'Trial Balance'!A306&amp;"-"&amp;'Trial Balance'!B306</f>
        <v>5155-Maintenance of Underground Services</v>
      </c>
      <c r="B124" s="23">
        <f>'Trial Balance'!D306</f>
        <v>121186.3</v>
      </c>
    </row>
    <row r="125" spans="1:2" ht="15" customHeight="1">
      <c r="A125" s="32" t="str">
        <f>'Trial Balance'!A307&amp;"-"&amp;'Trial Balance'!B307</f>
        <v>5160-Maintenance of Line Transformers</v>
      </c>
      <c r="B125" s="23">
        <f>'Trial Balance'!D307</f>
        <v>111755.52</v>
      </c>
    </row>
    <row r="126" spans="1:2" ht="15" customHeight="1">
      <c r="A126" s="32" t="str">
        <f>'Trial Balance'!A308&amp;"-"&amp;'Trial Balance'!B308</f>
        <v>5165-Maintenance of Street Lighting and Signal Systems</v>
      </c>
      <c r="B126" s="23">
        <f>'Trial Balance'!D308</f>
        <v>0</v>
      </c>
    </row>
    <row r="127" spans="1:2" ht="15" customHeight="1">
      <c r="A127" s="32" t="str">
        <f>'Trial Balance'!A309&amp;"-"&amp;'Trial Balance'!B309</f>
        <v>5170-Sentinel Lights - Labour</v>
      </c>
      <c r="B127" s="23">
        <f>'Trial Balance'!D309</f>
        <v>0</v>
      </c>
    </row>
    <row r="128" spans="1:2" ht="15" customHeight="1">
      <c r="A128" s="32" t="str">
        <f>'Trial Balance'!A310&amp;"-"&amp;'Trial Balance'!B310</f>
        <v>5172-Sentinel Lights - Materials and Expenses</v>
      </c>
      <c r="B128" s="23">
        <f>'Trial Balance'!D310</f>
        <v>0</v>
      </c>
    </row>
    <row r="129" spans="1:2" ht="15" customHeight="1">
      <c r="A129" s="32" t="str">
        <f>'Trial Balance'!A311&amp;"-"&amp;'Trial Balance'!B311</f>
        <v>5175-Maintenance of Meters</v>
      </c>
      <c r="B129" s="23">
        <f>'Trial Balance'!D311</f>
        <v>10357.33</v>
      </c>
    </row>
    <row r="130" spans="1:2" ht="15" customHeight="1">
      <c r="A130" s="32" t="str">
        <f>'Trial Balance'!A312&amp;"-"&amp;'Trial Balance'!B312</f>
        <v>5178-Customer Installations Expenses - Leased Property</v>
      </c>
      <c r="B130" s="23">
        <f>'Trial Balance'!D312</f>
        <v>0</v>
      </c>
    </row>
    <row r="131" spans="1:2" ht="15" customHeight="1" thickBot="1">
      <c r="A131" s="32" t="str">
        <f>'Trial Balance'!A313&amp;"-"&amp;'Trial Balance'!B313</f>
        <v>5195-Maintenance of Other Installations on Customer Premises</v>
      </c>
      <c r="B131" s="23">
        <f>'Trial Balance'!D313</f>
        <v>0</v>
      </c>
    </row>
    <row r="132" spans="1:2" ht="15" customHeight="1" thickBot="1">
      <c r="A132" s="38" t="s">
        <v>88</v>
      </c>
      <c r="B132" s="24">
        <f>SUM(B114:B131)</f>
        <v>1446831.18</v>
      </c>
    </row>
    <row r="133" spans="1:2" s="21" customFormat="1" ht="15" customHeight="1">
      <c r="A133" s="423"/>
      <c r="B133" s="424"/>
    </row>
    <row r="134" spans="1:2" s="21" customFormat="1" ht="15" customHeight="1">
      <c r="A134" s="425" t="s">
        <v>89</v>
      </c>
      <c r="B134" s="426"/>
    </row>
    <row r="135" spans="1:2" ht="15" customHeight="1">
      <c r="A135" s="32" t="str">
        <f>'Trial Balance'!A319&amp;"-"&amp;'Trial Balance'!B319</f>
        <v>5305-Supervision</v>
      </c>
      <c r="B135" s="23">
        <f>'Trial Balance'!D319</f>
        <v>0</v>
      </c>
    </row>
    <row r="136" spans="1:2" ht="15" customHeight="1">
      <c r="A136" s="32" t="str">
        <f>'Trial Balance'!A320&amp;"-"&amp;'Trial Balance'!B320</f>
        <v>5310-Meter Reading Expense</v>
      </c>
      <c r="B136" s="23">
        <f>'Trial Balance'!D320</f>
        <v>263105.7</v>
      </c>
    </row>
    <row r="137" spans="1:2" ht="15" customHeight="1">
      <c r="A137" s="32" t="str">
        <f>'Trial Balance'!A321&amp;"-"&amp;'Trial Balance'!B321</f>
        <v>5315-Customer Billing</v>
      </c>
      <c r="B137" s="23">
        <f>'Trial Balance'!D321</f>
        <v>452715.21</v>
      </c>
    </row>
    <row r="138" spans="1:2" ht="15" customHeight="1">
      <c r="A138" s="32" t="str">
        <f>'Trial Balance'!A322&amp;"-"&amp;'Trial Balance'!B322</f>
        <v>5320-Collecting</v>
      </c>
      <c r="B138" s="23">
        <f>'Trial Balance'!D322</f>
        <v>194192.58</v>
      </c>
    </row>
    <row r="139" spans="1:2" ht="15" customHeight="1">
      <c r="A139" s="32" t="str">
        <f>'Trial Balance'!A323&amp;"-"&amp;'Trial Balance'!B323</f>
        <v>5325-Collecting - Cash Over and Short</v>
      </c>
      <c r="B139" s="23">
        <f>'Trial Balance'!D323</f>
        <v>577.74</v>
      </c>
    </row>
    <row r="140" spans="1:2" ht="15" customHeight="1">
      <c r="A140" s="32" t="str">
        <f>'Trial Balance'!A324&amp;"-"&amp;'Trial Balance'!B324</f>
        <v>5330-Collection Charges</v>
      </c>
      <c r="B140" s="23">
        <f>'Trial Balance'!D324</f>
        <v>0</v>
      </c>
    </row>
    <row r="141" spans="1:2" ht="15" customHeight="1">
      <c r="A141" s="32" t="str">
        <f>'Trial Balance'!A325&amp;"-"&amp;'Trial Balance'!B325</f>
        <v>5335-Bad Debt Expense</v>
      </c>
      <c r="B141" s="23">
        <f>'Trial Balance'!D325</f>
        <v>286156.87</v>
      </c>
    </row>
    <row r="142" spans="1:2" ht="15" customHeight="1" thickBot="1">
      <c r="A142" s="32" t="str">
        <f>'Trial Balance'!A326&amp;"-"&amp;'Trial Balance'!B326</f>
        <v>5340-Miscellaneous Customer Accounts Expenses</v>
      </c>
      <c r="B142" s="23">
        <f>'Trial Balance'!D326</f>
        <v>10563.39</v>
      </c>
    </row>
    <row r="143" spans="1:2" ht="15" customHeight="1" thickBot="1">
      <c r="A143" s="38" t="s">
        <v>98</v>
      </c>
      <c r="B143" s="24">
        <f>SUM(B135:B142)</f>
        <v>1207311.49</v>
      </c>
    </row>
    <row r="144" spans="1:2" s="21" customFormat="1" ht="15" customHeight="1">
      <c r="A144" s="423"/>
      <c r="B144" s="424"/>
    </row>
    <row r="145" spans="1:2" s="21" customFormat="1" ht="15" customHeight="1">
      <c r="A145" s="425" t="s">
        <v>99</v>
      </c>
      <c r="B145" s="426"/>
    </row>
    <row r="146" spans="1:2" ht="15" customHeight="1">
      <c r="A146" s="32" t="str">
        <f>'Trial Balance'!A328&amp;"-"&amp;'Trial Balance'!B328</f>
        <v>5405-Supervision</v>
      </c>
      <c r="B146" s="23">
        <f>'Trial Balance'!D328</f>
        <v>0</v>
      </c>
    </row>
    <row r="147" spans="1:2" ht="15" customHeight="1">
      <c r="A147" s="32" t="str">
        <f>'Trial Balance'!A329&amp;"-"&amp;'Trial Balance'!B329</f>
        <v>5410-Community Relations - Sundry</v>
      </c>
      <c r="B147" s="23">
        <f>'Trial Balance'!D329</f>
        <v>1282.08</v>
      </c>
    </row>
    <row r="148" spans="1:2" ht="15" customHeight="1">
      <c r="A148" s="32" t="str">
        <f>'Trial Balance'!A330&amp;"-"&amp;'Trial Balance'!B330</f>
        <v>5415-Energy Conservation</v>
      </c>
      <c r="B148" s="23">
        <f>'Trial Balance'!D330</f>
        <v>302283.88</v>
      </c>
    </row>
    <row r="149" spans="1:2" ht="15" customHeight="1">
      <c r="A149" s="32" t="str">
        <f>'Trial Balance'!A331&amp;"-"&amp;'Trial Balance'!B331</f>
        <v>5420-Community Safety Program</v>
      </c>
      <c r="B149" s="23">
        <f>'Trial Balance'!D331</f>
        <v>2996.51</v>
      </c>
    </row>
    <row r="150" spans="1:2" ht="15" customHeight="1" thickBot="1">
      <c r="A150" s="32" t="str">
        <f>'Trial Balance'!A332&amp;"-"&amp;'Trial Balance'!B332</f>
        <v>5425-Miscellaneous Customer Service and Informational Expenses</v>
      </c>
      <c r="B150" s="23">
        <f>'Trial Balance'!D332</f>
        <v>8799.08</v>
      </c>
    </row>
    <row r="151" spans="1:2" ht="15" customHeight="1" thickBot="1">
      <c r="A151" s="38" t="s">
        <v>100</v>
      </c>
      <c r="B151" s="24">
        <f>SUM(B146:B150)</f>
        <v>315361.55000000005</v>
      </c>
    </row>
    <row r="152" spans="1:2" s="21" customFormat="1" ht="15" customHeight="1">
      <c r="A152" s="423"/>
      <c r="B152" s="424"/>
    </row>
    <row r="153" spans="1:2" s="21" customFormat="1" ht="15" customHeight="1">
      <c r="A153" s="425" t="s">
        <v>101</v>
      </c>
      <c r="B153" s="426"/>
    </row>
    <row r="154" spans="1:2" ht="15" customHeight="1">
      <c r="A154" s="32" t="str">
        <f>'Trial Balance'!A339&amp;"-"&amp;'Trial Balance'!B339</f>
        <v>5605-Executive Salaries and Expenses</v>
      </c>
      <c r="B154" s="23">
        <f>'Trial Balance'!D339</f>
        <v>0</v>
      </c>
    </row>
    <row r="155" spans="1:2" ht="15" customHeight="1">
      <c r="A155" s="32" t="str">
        <f>'Trial Balance'!A340&amp;"-"&amp;'Trial Balance'!B340</f>
        <v>5610-Management Salaries and Expenses</v>
      </c>
      <c r="B155" s="23">
        <f>'Trial Balance'!D340</f>
        <v>452401.64</v>
      </c>
    </row>
    <row r="156" spans="1:2" ht="15" customHeight="1">
      <c r="A156" s="32" t="str">
        <f>'Trial Balance'!A341&amp;"-"&amp;'Trial Balance'!B341</f>
        <v>5615-General Administrative Salaries and Expenses</v>
      </c>
      <c r="B156" s="23">
        <f>'Trial Balance'!D341</f>
        <v>357818.51</v>
      </c>
    </row>
    <row r="157" spans="1:2" ht="15" customHeight="1">
      <c r="A157" s="32" t="str">
        <f>'Trial Balance'!A342&amp;"-"&amp;'Trial Balance'!B342</f>
        <v>5620-Office Supplies and Expenses</v>
      </c>
      <c r="B157" s="23">
        <f>'Trial Balance'!D342</f>
        <v>819.96</v>
      </c>
    </row>
    <row r="158" spans="1:2" ht="15" customHeight="1">
      <c r="A158" s="32" t="str">
        <f>'Trial Balance'!A343&amp;"-"&amp;'Trial Balance'!B343</f>
        <v>5625-Administrative Expense Transferred-Credit</v>
      </c>
      <c r="B158" s="23">
        <f>'Trial Balance'!D343</f>
        <v>0</v>
      </c>
    </row>
    <row r="159" spans="1:2" ht="15" customHeight="1">
      <c r="A159" s="32" t="str">
        <f>'Trial Balance'!A344&amp;"-"&amp;'Trial Balance'!B344</f>
        <v>5630-Outside Services Employed</v>
      </c>
      <c r="B159" s="23">
        <f>'Trial Balance'!D344</f>
        <v>270942.91</v>
      </c>
    </row>
    <row r="160" spans="1:2" ht="15" customHeight="1">
      <c r="A160" s="32" t="str">
        <f>'Trial Balance'!A345&amp;"-"&amp;'Trial Balance'!B345</f>
        <v>5635-Property Insurance</v>
      </c>
      <c r="B160" s="23">
        <f>'Trial Balance'!D345</f>
        <v>130078.4</v>
      </c>
    </row>
    <row r="161" spans="1:2" ht="15" customHeight="1">
      <c r="A161" s="32" t="str">
        <f>'Trial Balance'!A346&amp;"-"&amp;'Trial Balance'!B346</f>
        <v>5640-Injuries and Damages</v>
      </c>
      <c r="B161" s="23">
        <f>'Trial Balance'!D346</f>
        <v>0</v>
      </c>
    </row>
    <row r="162" spans="1:2" ht="15" customHeight="1">
      <c r="A162" s="32" t="str">
        <f>'Trial Balance'!A347&amp;"-"&amp;'Trial Balance'!B347</f>
        <v>5645-Employee Pensions and Benefits</v>
      </c>
      <c r="B162" s="23">
        <f>'Trial Balance'!D347</f>
        <v>412216.57</v>
      </c>
    </row>
    <row r="163" spans="1:2" ht="15" customHeight="1">
      <c r="A163" s="32" t="str">
        <f>'Trial Balance'!A348&amp;"-"&amp;'Trial Balance'!B348</f>
        <v>5650-Franchise Requirements</v>
      </c>
      <c r="B163" s="23">
        <f>'Trial Balance'!D348</f>
        <v>0</v>
      </c>
    </row>
    <row r="164" spans="1:2" ht="15" customHeight="1">
      <c r="A164" s="32" t="str">
        <f>'Trial Balance'!A349&amp;"-"&amp;'Trial Balance'!B349</f>
        <v>5655-Regulatory Expenses</v>
      </c>
      <c r="B164" s="23">
        <f>'Trial Balance'!D349</f>
        <v>92310.07</v>
      </c>
    </row>
    <row r="165" spans="1:2" ht="15" customHeight="1">
      <c r="A165" s="32" t="str">
        <f>'Trial Balance'!A350&amp;"-"&amp;'Trial Balance'!B350</f>
        <v>5660-General Advertising Expenses</v>
      </c>
      <c r="B165" s="23">
        <f>'Trial Balance'!D350</f>
        <v>3799</v>
      </c>
    </row>
    <row r="166" spans="1:2" ht="15" customHeight="1">
      <c r="A166" s="32" t="str">
        <f>'Trial Balance'!A351&amp;"-"&amp;'Trial Balance'!B351</f>
        <v>5665-Miscellaneous Expenses</v>
      </c>
      <c r="B166" s="23">
        <f>'Trial Balance'!D351</f>
        <v>88732.23</v>
      </c>
    </row>
    <row r="167" spans="1:2" ht="15" customHeight="1">
      <c r="A167" s="32" t="str">
        <f>'Trial Balance'!A352&amp;"-"&amp;'Trial Balance'!B352</f>
        <v>5670-Rent  </v>
      </c>
      <c r="B167" s="23">
        <f>'Trial Balance'!D352</f>
        <v>0</v>
      </c>
    </row>
    <row r="168" spans="1:2" ht="15" customHeight="1">
      <c r="A168" s="32" t="str">
        <f>'Trial Balance'!A353&amp;"-"&amp;'Trial Balance'!B353</f>
        <v>5675-Maintenance of General Plant</v>
      </c>
      <c r="B168" s="23">
        <f>'Trial Balance'!D353</f>
        <v>116715.08</v>
      </c>
    </row>
    <row r="169" spans="1:2" ht="15" customHeight="1">
      <c r="A169" s="32" t="str">
        <f>'Trial Balance'!A354&amp;"-"&amp;'Trial Balance'!B354</f>
        <v>5680-Electrical Safety Authority Fees</v>
      </c>
      <c r="B169" s="23">
        <f>'Trial Balance'!D354</f>
        <v>9872.23</v>
      </c>
    </row>
    <row r="170" spans="1:2" ht="15" customHeight="1">
      <c r="A170" s="32" t="str">
        <f>'Trial Balance'!A355&amp;"-"&amp;'Trial Balance'!B355</f>
        <v>5685-Independent Market Operator Fees and Penalties</v>
      </c>
      <c r="B170" s="23">
        <f>'Trial Balance'!D355</f>
        <v>0</v>
      </c>
    </row>
    <row r="171" spans="1:2" ht="15" customHeight="1" thickBot="1">
      <c r="A171" s="32" t="str">
        <f>'Trial Balance'!A356&amp;"-"&amp;'Trial Balance'!B356</f>
        <v>5695-OM&amp;A Contra Account</v>
      </c>
      <c r="B171" s="23">
        <f>'Trial Balance'!D356</f>
        <v>882.97</v>
      </c>
    </row>
    <row r="172" spans="1:2" ht="15" customHeight="1" thickBot="1">
      <c r="A172" s="38" t="s">
        <v>75</v>
      </c>
      <c r="B172" s="24">
        <f>SUM(B154:B171)</f>
        <v>1936589.57</v>
      </c>
    </row>
    <row r="173" spans="1:2" s="21" customFormat="1" ht="15" customHeight="1">
      <c r="A173" s="423"/>
      <c r="B173" s="424"/>
    </row>
    <row r="174" spans="1:2" s="21" customFormat="1" ht="15" customHeight="1">
      <c r="A174" s="425" t="s">
        <v>76</v>
      </c>
      <c r="B174" s="426"/>
    </row>
    <row r="175" spans="1:2" s="21" customFormat="1" ht="15" customHeight="1">
      <c r="A175" s="32" t="str">
        <f>'Trial Balance'!A358&amp;"-"&amp;'Trial Balance'!B358</f>
        <v>5705-Amortization Expense - Property, Plant and Equipment</v>
      </c>
      <c r="B175" s="23">
        <f>'Trial Balance'!D358</f>
        <v>2283832.25</v>
      </c>
    </row>
    <row r="176" spans="1:2" s="21" customFormat="1" ht="15" customHeight="1">
      <c r="A176" s="32" t="str">
        <f>'Trial Balance'!A359&amp;"-"&amp;'Trial Balance'!B359</f>
        <v>5710-Amortization of Limited Term Electric Plant</v>
      </c>
      <c r="B176" s="23">
        <f>'Trial Balance'!D359</f>
        <v>0</v>
      </c>
    </row>
    <row r="177" spans="1:2" s="21" customFormat="1" ht="15" customHeight="1">
      <c r="A177" s="32" t="str">
        <f>'Trial Balance'!A360&amp;"-"&amp;'Trial Balance'!B360</f>
        <v>5715-Amortization of Intangibles and Other Electric Plant</v>
      </c>
      <c r="B177" s="23">
        <f>'Trial Balance'!D360</f>
        <v>0</v>
      </c>
    </row>
    <row r="178" spans="1:2" s="21" customFormat="1" ht="15" customHeight="1">
      <c r="A178" s="32" t="str">
        <f>'Trial Balance'!A361&amp;"-"&amp;'Trial Balance'!B361</f>
        <v>5720-Amortization of Electric Plant Acquisition Adjustments</v>
      </c>
      <c r="B178" s="23">
        <f>'Trial Balance'!D361</f>
        <v>0</v>
      </c>
    </row>
    <row r="179" spans="1:2" s="21" customFormat="1" ht="15" customHeight="1">
      <c r="A179" s="32" t="str">
        <f>'Trial Balance'!A362&amp;"-"&amp;'Trial Balance'!B362</f>
        <v>5725-Miscellaneous Amortization</v>
      </c>
      <c r="B179" s="23">
        <f>'Trial Balance'!D362</f>
        <v>0</v>
      </c>
    </row>
    <row r="180" spans="1:2" s="21" customFormat="1" ht="15" customHeight="1">
      <c r="A180" s="32" t="str">
        <f>'Trial Balance'!A363&amp;"-"&amp;'Trial Balance'!B363</f>
        <v>5730-Amortization of Unrecovered Plant and Regulatory Study Costs</v>
      </c>
      <c r="B180" s="23">
        <f>'Trial Balance'!D363</f>
        <v>0</v>
      </c>
    </row>
    <row r="181" spans="1:2" s="21" customFormat="1" ht="15" customHeight="1">
      <c r="A181" s="32" t="str">
        <f>'Trial Balance'!A364&amp;"-"&amp;'Trial Balance'!B364</f>
        <v>5735-Amortization of Deferred Development Costs</v>
      </c>
      <c r="B181" s="23">
        <f>'Trial Balance'!D364</f>
        <v>0</v>
      </c>
    </row>
    <row r="182" spans="1:2" ht="15" customHeight="1" thickBot="1">
      <c r="A182" s="32" t="str">
        <f>'Trial Balance'!A365&amp;"-"&amp;'Trial Balance'!B365</f>
        <v>5740-Amortization of Deferred Charges</v>
      </c>
      <c r="B182" s="23">
        <f>'Trial Balance'!D365</f>
        <v>0</v>
      </c>
    </row>
    <row r="183" spans="1:2" ht="15" customHeight="1" thickBot="1">
      <c r="A183" s="38" t="s">
        <v>77</v>
      </c>
      <c r="B183" s="24">
        <f>SUM(B175:B182)</f>
        <v>2283832.25</v>
      </c>
    </row>
    <row r="184" spans="1:2" s="21" customFormat="1" ht="15" customHeight="1">
      <c r="A184" s="423"/>
      <c r="B184" s="424"/>
    </row>
    <row r="185" spans="1:2" s="21" customFormat="1" ht="15" customHeight="1">
      <c r="A185" s="425" t="s">
        <v>78</v>
      </c>
      <c r="B185" s="426"/>
    </row>
    <row r="186" spans="1:2" ht="15" customHeight="1">
      <c r="A186" s="32" t="str">
        <f>'Trial Balance'!A367&amp;"-"&amp;'Trial Balance'!B367</f>
        <v>6005-Interest on Long Term Debt</v>
      </c>
      <c r="B186" s="23">
        <f>'Trial Balance'!D367</f>
        <v>0</v>
      </c>
    </row>
    <row r="187" spans="1:2" ht="15" customHeight="1">
      <c r="A187" s="32" t="str">
        <f>'Trial Balance'!A368&amp;"-"&amp;'Trial Balance'!B368</f>
        <v>6010-Amortization of Debt Discount and Expense</v>
      </c>
      <c r="B187" s="23">
        <f>'Trial Balance'!D368</f>
        <v>0</v>
      </c>
    </row>
    <row r="188" spans="1:2" ht="15" customHeight="1">
      <c r="A188" s="32" t="str">
        <f>'Trial Balance'!A369&amp;"-"&amp;'Trial Balance'!B369</f>
        <v>6015-Amortization of Premium on Debt-Credit</v>
      </c>
      <c r="B188" s="23">
        <f>'Trial Balance'!D369</f>
        <v>0</v>
      </c>
    </row>
    <row r="189" spans="1:2" ht="15" customHeight="1">
      <c r="A189" s="32" t="str">
        <f>'Trial Balance'!A370&amp;"-"&amp;'Trial Balance'!B370</f>
        <v>6020-Amortization of Loss on Reacquired Debt</v>
      </c>
      <c r="B189" s="23">
        <f>'Trial Balance'!D370</f>
        <v>0</v>
      </c>
    </row>
    <row r="190" spans="1:2" ht="15" customHeight="1">
      <c r="A190" s="32" t="str">
        <f>'Trial Balance'!A371&amp;"-"&amp;'Trial Balance'!B371</f>
        <v>6025-Amortization of Gain on Reacquired Debt-Credit</v>
      </c>
      <c r="B190" s="23">
        <f>'Trial Balance'!D371</f>
        <v>0</v>
      </c>
    </row>
    <row r="191" spans="1:2" ht="15" customHeight="1">
      <c r="A191" s="32" t="str">
        <f>'Trial Balance'!A372&amp;"-"&amp;'Trial Balance'!B372</f>
        <v>6030-Interest on Debt to Associated Companies</v>
      </c>
      <c r="B191" s="23">
        <f>'Trial Balance'!D372</f>
        <v>975580.08</v>
      </c>
    </row>
    <row r="192" spans="1:2" ht="15" customHeight="1">
      <c r="A192" s="32" t="str">
        <f>'Trial Balance'!A373&amp;"-"&amp;'Trial Balance'!B373</f>
        <v>6035-Other Interest Expense</v>
      </c>
      <c r="B192" s="23">
        <f>'Trial Balance'!D373</f>
        <v>302850.26</v>
      </c>
    </row>
    <row r="193" spans="1:2" ht="15" customHeight="1">
      <c r="A193" s="32" t="str">
        <f>'Trial Balance'!A374&amp;"-"&amp;'Trial Balance'!B374</f>
        <v>6040-Allowance for Borrowed Funds Used During Construction-Credit</v>
      </c>
      <c r="B193" s="23">
        <f>'Trial Balance'!D374</f>
        <v>0</v>
      </c>
    </row>
    <row r="194" spans="1:2" ht="15" customHeight="1">
      <c r="A194" s="32" t="str">
        <f>'Trial Balance'!A375&amp;"-"&amp;'Trial Balance'!B375</f>
        <v>6042-Allowance for Other Funds Used During Construction</v>
      </c>
      <c r="B194" s="23">
        <f>'Trial Balance'!D375</f>
        <v>0</v>
      </c>
    </row>
    <row r="195" spans="1:2" ht="15" customHeight="1" thickBot="1">
      <c r="A195" s="32" t="str">
        <f>'Trial Balance'!A376&amp;"-"&amp;'Trial Balance'!B376</f>
        <v>6045-Interest Expense on Capital Lease Obligations</v>
      </c>
      <c r="B195" s="23">
        <f>'Trial Balance'!D376</f>
        <v>0</v>
      </c>
    </row>
    <row r="196" spans="1:2" ht="15" customHeight="1" thickBot="1">
      <c r="A196" s="38" t="s">
        <v>556</v>
      </c>
      <c r="B196" s="24">
        <f>SUM(B186:B195)</f>
        <v>1278430.3399999999</v>
      </c>
    </row>
    <row r="197" spans="1:2" s="21" customFormat="1" ht="15" customHeight="1">
      <c r="A197" s="423"/>
      <c r="B197" s="424"/>
    </row>
    <row r="198" spans="1:2" s="21" customFormat="1" ht="15" customHeight="1">
      <c r="A198" s="425" t="s">
        <v>557</v>
      </c>
      <c r="B198" s="426"/>
    </row>
    <row r="199" spans="1:2" ht="15" customHeight="1" thickBot="1">
      <c r="A199" s="32" t="str">
        <f>'Trial Balance'!A378&amp;"-"&amp;'Trial Balance'!B378</f>
        <v>6105-Taxes Other Than Income Taxes</v>
      </c>
      <c r="B199" s="23">
        <f>'Trial Balance'!D378</f>
        <v>78522.42</v>
      </c>
    </row>
    <row r="200" spans="1:2" ht="15" customHeight="1" thickBot="1">
      <c r="A200" s="38" t="s">
        <v>560</v>
      </c>
      <c r="B200" s="24">
        <f>SUM(B199)</f>
        <v>78522.42</v>
      </c>
    </row>
    <row r="201" spans="1:2" s="21" customFormat="1" ht="15" customHeight="1">
      <c r="A201" s="423"/>
      <c r="B201" s="424"/>
    </row>
    <row r="202" spans="1:2" s="21" customFormat="1" ht="15" customHeight="1">
      <c r="A202" s="425" t="s">
        <v>561</v>
      </c>
      <c r="B202" s="426"/>
    </row>
    <row r="203" spans="1:2" ht="15" customHeight="1">
      <c r="A203" s="32" t="str">
        <f>'Trial Balance'!A379&amp;"-"&amp;'Trial Balance'!B379</f>
        <v>6110-Income Taxes</v>
      </c>
      <c r="B203" s="23">
        <f>'Trial Balance'!D379</f>
        <v>520343</v>
      </c>
    </row>
    <row r="204" spans="1:2" ht="15" customHeight="1" thickBot="1">
      <c r="A204" s="32" t="str">
        <f>'Trial Balance'!A380&amp;"-"&amp;'Trial Balance'!B380</f>
        <v>6115-Provision for Future Income Taxes</v>
      </c>
      <c r="B204" s="23">
        <f>'Trial Balance'!D380</f>
        <v>0</v>
      </c>
    </row>
    <row r="205" spans="1:2" ht="15" customHeight="1" thickBot="1">
      <c r="A205" s="38" t="s">
        <v>562</v>
      </c>
      <c r="B205" s="24">
        <f>SUM(B203:B204)</f>
        <v>520343</v>
      </c>
    </row>
    <row r="206" spans="1:2" s="21" customFormat="1" ht="15" customHeight="1">
      <c r="A206" s="423"/>
      <c r="B206" s="424"/>
    </row>
    <row r="207" spans="1:2" s="21" customFormat="1" ht="15" customHeight="1">
      <c r="A207" s="425" t="s">
        <v>542</v>
      </c>
      <c r="B207" s="426"/>
    </row>
    <row r="208" spans="1:2" ht="15" customHeight="1">
      <c r="A208" s="32" t="str">
        <f>'Trial Balance'!A382&amp;"-"&amp;'Trial Balance'!B382</f>
        <v>6205-Donations</v>
      </c>
      <c r="B208" s="23">
        <f>'Trial Balance'!D382</f>
        <v>0</v>
      </c>
    </row>
    <row r="209" spans="1:2" ht="15" customHeight="1">
      <c r="A209" s="32" t="str">
        <f>'Trial Balance'!A383&amp;"-"&amp;'Trial Balance'!B383</f>
        <v>6210-Life Insurance</v>
      </c>
      <c r="B209" s="23">
        <f>'Trial Balance'!D383</f>
        <v>0</v>
      </c>
    </row>
    <row r="210" spans="1:2" ht="15" customHeight="1">
      <c r="A210" s="32" t="str">
        <f>'Trial Balance'!A384&amp;"-"&amp;'Trial Balance'!B384</f>
        <v>6215-Penalties</v>
      </c>
      <c r="B210" s="23">
        <f>'Trial Balance'!D384</f>
        <v>0</v>
      </c>
    </row>
    <row r="211" spans="1:7" ht="15" customHeight="1" thickBot="1">
      <c r="A211" s="32" t="str">
        <f>'Trial Balance'!A385&amp;"-"&amp;'Trial Balance'!B385</f>
        <v>6225-Other Deductions</v>
      </c>
      <c r="B211" s="23">
        <f>'Trial Balance'!D385</f>
        <v>0</v>
      </c>
      <c r="D211" s="13"/>
      <c r="E211" s="13"/>
      <c r="F211" s="13"/>
      <c r="G211" s="13"/>
    </row>
    <row r="212" spans="1:2" ht="15" customHeight="1" thickBot="1">
      <c r="A212" s="38" t="s">
        <v>543</v>
      </c>
      <c r="B212" s="24">
        <f>SUM(B208:B211)</f>
        <v>0</v>
      </c>
    </row>
    <row r="213" spans="1:7" s="13" customFormat="1" ht="15" customHeight="1" thickBot="1">
      <c r="A213" s="423"/>
      <c r="B213" s="424"/>
      <c r="D213"/>
      <c r="E213"/>
      <c r="F213"/>
      <c r="G213"/>
    </row>
    <row r="214" spans="1:2" ht="18.75" customHeight="1" thickBot="1">
      <c r="A214" s="39" t="s">
        <v>817</v>
      </c>
      <c r="B214" s="26">
        <f>(B24+B31+B43+B66+B71+B85+B111+B132+B143+B151+B172+B183+B196+B200+B205+B212)</f>
        <v>650877.5399999908</v>
      </c>
    </row>
    <row r="215" spans="1:2" ht="15">
      <c r="A215" s="11"/>
      <c r="B215" s="11"/>
    </row>
    <row r="216" spans="1:2" ht="15">
      <c r="A216" s="11"/>
      <c r="B216" s="11"/>
    </row>
    <row r="217" spans="1:2" ht="15">
      <c r="A217" s="11"/>
      <c r="B217" s="11"/>
    </row>
    <row r="218" spans="1:2" ht="15">
      <c r="A218" s="11"/>
      <c r="B218" s="11"/>
    </row>
    <row r="219" spans="1:2" ht="15">
      <c r="A219" s="11"/>
      <c r="B219" s="11"/>
    </row>
    <row r="220" spans="1:2" ht="15">
      <c r="A220" s="11"/>
      <c r="B220" s="11"/>
    </row>
    <row r="221" spans="1:2" ht="15">
      <c r="A221" s="11"/>
      <c r="B221" s="11"/>
    </row>
    <row r="222" spans="1:2" ht="15">
      <c r="A222" s="11"/>
      <c r="B222" s="11"/>
    </row>
    <row r="223" spans="1:2" ht="15">
      <c r="A223" s="11"/>
      <c r="B223" s="11"/>
    </row>
    <row r="224" spans="1:2" ht="15">
      <c r="A224" s="11"/>
      <c r="B224" s="11"/>
    </row>
    <row r="225" spans="1:2" ht="15">
      <c r="A225" s="11"/>
      <c r="B225" s="11"/>
    </row>
    <row r="226" spans="1:2" ht="15">
      <c r="A226" s="11"/>
      <c r="B226" s="11"/>
    </row>
    <row r="227" spans="1:2" ht="15">
      <c r="A227" s="11"/>
      <c r="B227" s="11"/>
    </row>
    <row r="228" spans="1:2" ht="15">
      <c r="A228" s="11"/>
      <c r="B228" s="11"/>
    </row>
    <row r="229" spans="1:2" ht="15">
      <c r="A229" s="11"/>
      <c r="B229" s="11"/>
    </row>
    <row r="230" spans="1:2" ht="15">
      <c r="A230" s="11"/>
      <c r="B230" s="11"/>
    </row>
    <row r="231" spans="1:2" ht="15">
      <c r="A231" s="11"/>
      <c r="B231" s="11"/>
    </row>
    <row r="232" spans="1:2" ht="15">
      <c r="A232" s="11"/>
      <c r="B232" s="11"/>
    </row>
    <row r="233" spans="1:2" ht="15">
      <c r="A233" s="11"/>
      <c r="B233" s="11"/>
    </row>
    <row r="234" spans="1:2" ht="15">
      <c r="A234" s="11"/>
      <c r="B234" s="11"/>
    </row>
    <row r="235" spans="1:2" ht="15">
      <c r="A235" s="11"/>
      <c r="B235" s="11"/>
    </row>
    <row r="236" spans="1:2" ht="15">
      <c r="A236" s="11"/>
      <c r="B236" s="11"/>
    </row>
    <row r="237" spans="1:2" ht="15">
      <c r="A237" s="11"/>
      <c r="B237" s="11"/>
    </row>
    <row r="238" spans="1:2" ht="15">
      <c r="A238" s="11"/>
      <c r="B238" s="11"/>
    </row>
    <row r="239" spans="1:2" ht="15">
      <c r="A239" s="11"/>
      <c r="B239" s="11"/>
    </row>
    <row r="240" spans="1:2" ht="15">
      <c r="A240" s="11"/>
      <c r="B240" s="11"/>
    </row>
    <row r="241" spans="1:2" ht="15">
      <c r="A241" s="11"/>
      <c r="B241" s="11"/>
    </row>
    <row r="242" spans="1:2" ht="15">
      <c r="A242" s="11"/>
      <c r="B242" s="11"/>
    </row>
    <row r="243" spans="1:2" ht="15">
      <c r="A243" s="11"/>
      <c r="B243" s="11"/>
    </row>
    <row r="244" spans="1:2" ht="15">
      <c r="A244" s="11"/>
      <c r="B244" s="11"/>
    </row>
    <row r="245" spans="1:2" ht="15">
      <c r="A245" s="11"/>
      <c r="B245" s="11"/>
    </row>
    <row r="246" spans="1:2" ht="15">
      <c r="A246" s="11"/>
      <c r="B246" s="11"/>
    </row>
    <row r="247" spans="1:2" ht="15">
      <c r="A247" s="11"/>
      <c r="B247" s="11"/>
    </row>
    <row r="248" spans="1:2" ht="15">
      <c r="A248" s="11"/>
      <c r="B248" s="11"/>
    </row>
    <row r="249" spans="1:2" ht="15">
      <c r="A249" s="11"/>
      <c r="B249" s="11"/>
    </row>
    <row r="250" spans="1:2" ht="15">
      <c r="A250" s="11"/>
      <c r="B250" s="11"/>
    </row>
    <row r="251" spans="1:2" ht="15">
      <c r="A251" s="11"/>
      <c r="B251" s="11"/>
    </row>
    <row r="252" spans="1:2" ht="15">
      <c r="A252" s="11"/>
      <c r="B252" s="11"/>
    </row>
    <row r="253" spans="1:2" ht="15">
      <c r="A253" s="11"/>
      <c r="B253" s="11"/>
    </row>
    <row r="254" spans="1:2" ht="15">
      <c r="A254" s="11"/>
      <c r="B254" s="11"/>
    </row>
    <row r="255" spans="1:2" ht="15">
      <c r="A255" s="11"/>
      <c r="B255" s="11"/>
    </row>
    <row r="256" spans="1:2" ht="15">
      <c r="A256" s="11"/>
      <c r="B256" s="11"/>
    </row>
    <row r="257" spans="1:2" ht="15">
      <c r="A257" s="11"/>
      <c r="B257" s="11"/>
    </row>
    <row r="258" spans="1:2" ht="15">
      <c r="A258" s="11"/>
      <c r="B258" s="11"/>
    </row>
    <row r="259" spans="1:2" ht="15">
      <c r="A259" s="11"/>
      <c r="B259" s="11"/>
    </row>
    <row r="260" spans="1:2" ht="15">
      <c r="A260" s="11"/>
      <c r="B260" s="11"/>
    </row>
    <row r="261" spans="1:2" ht="15">
      <c r="A261" s="11"/>
      <c r="B261" s="11"/>
    </row>
    <row r="262" spans="1:2" ht="15">
      <c r="A262" s="11"/>
      <c r="B262" s="11"/>
    </row>
    <row r="263" spans="1:2" ht="15">
      <c r="A263" s="11"/>
      <c r="B263" s="11"/>
    </row>
    <row r="264" spans="1:2" ht="15">
      <c r="A264" s="11"/>
      <c r="B264" s="11"/>
    </row>
    <row r="265" spans="1:2" ht="15">
      <c r="A265" s="11"/>
      <c r="B265" s="11"/>
    </row>
    <row r="266" spans="1:2" ht="15">
      <c r="A266" s="11"/>
      <c r="B266" s="11"/>
    </row>
    <row r="267" spans="1:2" ht="15">
      <c r="A267" s="11"/>
      <c r="B267" s="11"/>
    </row>
    <row r="268" spans="1:2" ht="15">
      <c r="A268" s="11"/>
      <c r="B268" s="11"/>
    </row>
    <row r="269" spans="1:2" ht="15">
      <c r="A269" s="11"/>
      <c r="B269" s="11"/>
    </row>
    <row r="270" spans="1:2" ht="15">
      <c r="A270" s="11"/>
      <c r="B270" s="11"/>
    </row>
    <row r="271" spans="1:2" ht="15">
      <c r="A271" s="11"/>
      <c r="B271" s="11"/>
    </row>
    <row r="272" spans="1:2" ht="15">
      <c r="A272" s="11"/>
      <c r="B272" s="11"/>
    </row>
    <row r="273" spans="1:2" ht="15">
      <c r="A273" s="11"/>
      <c r="B273" s="11"/>
    </row>
    <row r="274" spans="1:2" ht="15">
      <c r="A274" s="11"/>
      <c r="B274" s="11"/>
    </row>
    <row r="275" spans="1:2" ht="15">
      <c r="A275" s="11"/>
      <c r="B275" s="11"/>
    </row>
    <row r="276" spans="1:2" ht="15">
      <c r="A276" s="11"/>
      <c r="B276" s="11"/>
    </row>
    <row r="277" spans="1:2" ht="15">
      <c r="A277" s="11"/>
      <c r="B277" s="11"/>
    </row>
    <row r="278" spans="1:2" ht="15">
      <c r="A278" s="11"/>
      <c r="B278" s="11"/>
    </row>
    <row r="279" spans="1:2" ht="15">
      <c r="A279" s="11"/>
      <c r="B279" s="11"/>
    </row>
    <row r="280" spans="1:2" ht="15">
      <c r="A280" s="11"/>
      <c r="B280" s="11"/>
    </row>
    <row r="281" spans="1:2" ht="15">
      <c r="A281" s="11"/>
      <c r="B281" s="11"/>
    </row>
    <row r="282" spans="1:2" ht="15">
      <c r="A282" s="11"/>
      <c r="B282" s="11"/>
    </row>
    <row r="283" spans="1:2" ht="15">
      <c r="A283" s="11"/>
      <c r="B283" s="11"/>
    </row>
    <row r="284" spans="1:2" ht="15">
      <c r="A284" s="11"/>
      <c r="B284" s="11"/>
    </row>
    <row r="285" spans="1:2" ht="15">
      <c r="A285" s="11"/>
      <c r="B285" s="11"/>
    </row>
    <row r="286" spans="1:2" ht="15">
      <c r="A286" s="11"/>
      <c r="B286" s="11"/>
    </row>
    <row r="287" spans="1:2" ht="15">
      <c r="A287" s="11"/>
      <c r="B287" s="11"/>
    </row>
    <row r="288" spans="1:2" ht="15">
      <c r="A288" s="11"/>
      <c r="B288" s="11"/>
    </row>
    <row r="289" spans="1:2" ht="15">
      <c r="A289" s="11"/>
      <c r="B289" s="11"/>
    </row>
    <row r="290" spans="1:2" ht="15">
      <c r="A290" s="11"/>
      <c r="B290" s="11"/>
    </row>
    <row r="291" spans="1:2" ht="15">
      <c r="A291" s="11"/>
      <c r="B291" s="11"/>
    </row>
    <row r="292" spans="1:2" ht="15">
      <c r="A292" s="11"/>
      <c r="B292" s="11"/>
    </row>
    <row r="293" spans="1:2" ht="15">
      <c r="A293" s="11"/>
      <c r="B293" s="11"/>
    </row>
    <row r="294" spans="1:2" ht="15">
      <c r="A294" s="11"/>
      <c r="B294" s="11"/>
    </row>
    <row r="295" spans="1:2" ht="15">
      <c r="A295" s="11"/>
      <c r="B295" s="11"/>
    </row>
    <row r="296" spans="1:2" ht="15">
      <c r="A296" s="11"/>
      <c r="B296" s="11"/>
    </row>
    <row r="297" spans="1:2" ht="15">
      <c r="A297" s="11"/>
      <c r="B297" s="11"/>
    </row>
    <row r="298" spans="1:2" ht="15">
      <c r="A298" s="11"/>
      <c r="B298" s="11"/>
    </row>
    <row r="299" spans="1:2" ht="15">
      <c r="A299" s="11"/>
      <c r="B299" s="11"/>
    </row>
    <row r="300" spans="1:2" ht="15">
      <c r="A300" s="11"/>
      <c r="B300" s="11"/>
    </row>
    <row r="301" spans="1:2" ht="15">
      <c r="A301" s="11"/>
      <c r="B301" s="11"/>
    </row>
    <row r="302" spans="1:2" ht="15">
      <c r="A302" s="11"/>
      <c r="B302" s="11"/>
    </row>
    <row r="303" spans="1:2" ht="15">
      <c r="A303" s="11"/>
      <c r="B303" s="11"/>
    </row>
    <row r="304" spans="1:2" ht="15">
      <c r="A304" s="11"/>
      <c r="B304" s="11"/>
    </row>
    <row r="305" spans="1:2" ht="15">
      <c r="A305" s="11"/>
      <c r="B305" s="11"/>
    </row>
    <row r="306" spans="1:2" ht="15">
      <c r="A306" s="11"/>
      <c r="B306" s="11"/>
    </row>
    <row r="307" spans="1:2" ht="15">
      <c r="A307" s="11"/>
      <c r="B307" s="11"/>
    </row>
    <row r="308" spans="1:2" ht="15">
      <c r="A308" s="11"/>
      <c r="B308" s="11"/>
    </row>
    <row r="309" spans="1:2" ht="15">
      <c r="A309" s="11"/>
      <c r="B309" s="11"/>
    </row>
    <row r="310" spans="1:2" ht="15">
      <c r="A310" s="11"/>
      <c r="B310" s="11"/>
    </row>
    <row r="311" spans="1:2" ht="15">
      <c r="A311" s="11"/>
      <c r="B311" s="11"/>
    </row>
    <row r="312" spans="1:2" ht="15">
      <c r="A312" s="11"/>
      <c r="B312" s="11"/>
    </row>
    <row r="313" spans="1:2" ht="15">
      <c r="A313" s="11"/>
      <c r="B313" s="11"/>
    </row>
    <row r="314" spans="1:2" ht="15">
      <c r="A314" s="11"/>
      <c r="B314" s="11"/>
    </row>
    <row r="315" spans="1:2" ht="15">
      <c r="A315" s="11"/>
      <c r="B315" s="11"/>
    </row>
    <row r="316" spans="1:2" ht="15">
      <c r="A316" s="11"/>
      <c r="B316" s="11"/>
    </row>
    <row r="317" spans="1:2" ht="15">
      <c r="A317" s="11"/>
      <c r="B317" s="11"/>
    </row>
    <row r="318" spans="1:2" ht="15">
      <c r="A318" s="11"/>
      <c r="B318" s="11"/>
    </row>
    <row r="319" spans="1:2" ht="15">
      <c r="A319" s="11"/>
      <c r="B319" s="11"/>
    </row>
    <row r="320" spans="1:2" ht="15">
      <c r="A320" s="11"/>
      <c r="B320" s="11"/>
    </row>
    <row r="321" spans="1:2" ht="15">
      <c r="A321" s="11"/>
      <c r="B321" s="11"/>
    </row>
    <row r="322" spans="1:2" ht="15">
      <c r="A322" s="11"/>
      <c r="B322" s="11"/>
    </row>
    <row r="323" spans="1:2" ht="15">
      <c r="A323" s="11"/>
      <c r="B323" s="11"/>
    </row>
    <row r="324" spans="1:2" ht="15">
      <c r="A324" s="11"/>
      <c r="B324" s="11"/>
    </row>
    <row r="325" spans="1:2" ht="15">
      <c r="A325" s="11"/>
      <c r="B325" s="11"/>
    </row>
    <row r="326" spans="1:2" ht="15">
      <c r="A326" s="11"/>
      <c r="B326" s="11"/>
    </row>
    <row r="327" spans="1:2" ht="15">
      <c r="A327" s="11"/>
      <c r="B327" s="11"/>
    </row>
    <row r="328" spans="1:2" ht="15">
      <c r="A328" s="11"/>
      <c r="B328" s="11"/>
    </row>
    <row r="329" spans="1:2" ht="15">
      <c r="A329" s="11"/>
      <c r="B329" s="11"/>
    </row>
    <row r="330" spans="1:2" ht="15">
      <c r="A330" s="11"/>
      <c r="B330" s="11"/>
    </row>
  </sheetData>
  <mergeCells count="36">
    <mergeCell ref="A152:B152"/>
    <mergeCell ref="A133:B133"/>
    <mergeCell ref="A45:B45"/>
    <mergeCell ref="A68:B68"/>
    <mergeCell ref="A73:B73"/>
    <mergeCell ref="A87:B87"/>
    <mergeCell ref="A198:B198"/>
    <mergeCell ref="A67:B67"/>
    <mergeCell ref="A72:B72"/>
    <mergeCell ref="A86:B86"/>
    <mergeCell ref="A112:B112"/>
    <mergeCell ref="A113:B113"/>
    <mergeCell ref="A134:B134"/>
    <mergeCell ref="A145:B145"/>
    <mergeCell ref="A153:B153"/>
    <mergeCell ref="A144:B144"/>
    <mergeCell ref="A174:B174"/>
    <mergeCell ref="A185:B185"/>
    <mergeCell ref="A3:B3"/>
    <mergeCell ref="A25:B25"/>
    <mergeCell ref="A32:B32"/>
    <mergeCell ref="A44:B44"/>
    <mergeCell ref="A4:B4"/>
    <mergeCell ref="A6:B6"/>
    <mergeCell ref="A26:B26"/>
    <mergeCell ref="A33:B33"/>
    <mergeCell ref="A1:B1"/>
    <mergeCell ref="A2:B2"/>
    <mergeCell ref="A206:B206"/>
    <mergeCell ref="A213:B213"/>
    <mergeCell ref="A173:B173"/>
    <mergeCell ref="A184:B184"/>
    <mergeCell ref="A197:B197"/>
    <mergeCell ref="A201:B201"/>
    <mergeCell ref="A207:B207"/>
    <mergeCell ref="A202:B202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portrait" scale="96" r:id="rId1"/>
  <headerFooter alignWithMargins="0">
    <oddFooter>&amp;L&amp;A</oddFooter>
  </headerFooter>
  <rowBreaks count="5" manualBreakCount="5">
    <brk id="44" max="255" man="1"/>
    <brk id="86" max="255" man="1"/>
    <brk id="112" max="255" man="1"/>
    <brk id="152" max="255" man="1"/>
    <brk id="19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353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73.28125" style="30" customWidth="1"/>
    <col min="2" max="2" width="20.8515625" style="0" customWidth="1"/>
    <col min="3" max="16384" width="9.140625" style="21" customWidth="1"/>
  </cols>
  <sheetData>
    <row r="1" spans="1:2" ht="12.75">
      <c r="A1" s="441" t="str">
        <f>'Trial Balance'!A1:J1</f>
        <v>North Bay Hydro Distribution Ltd.</v>
      </c>
      <c r="B1" s="441"/>
    </row>
    <row r="2" spans="1:2" ht="12.75">
      <c r="A2" s="441" t="str">
        <f>'Trial Balance'!A2:J2</f>
        <v>License Number ED-2003-0024, File Number EB-2009-0270</v>
      </c>
      <c r="B2" s="441"/>
    </row>
    <row r="3" spans="1:2" ht="15.75">
      <c r="A3" s="433" t="str">
        <f>Notes!B4</f>
        <v>North Bay Hydro Distribution Ltd.</v>
      </c>
      <c r="B3" s="433"/>
    </row>
    <row r="4" spans="1:2" ht="15.75">
      <c r="A4" s="433" t="s">
        <v>161</v>
      </c>
      <c r="B4" s="433"/>
    </row>
    <row r="5" spans="1:2" ht="15" customHeight="1">
      <c r="A5" s="71" t="s">
        <v>545</v>
      </c>
      <c r="B5" s="71" t="s">
        <v>153</v>
      </c>
    </row>
    <row r="6" spans="1:2" ht="15" customHeight="1">
      <c r="A6" s="434" t="s">
        <v>148</v>
      </c>
      <c r="B6" s="434"/>
    </row>
    <row r="7" spans="1:2" ht="15" customHeight="1">
      <c r="A7" s="32" t="str">
        <f>'Trial Balance'!A8&amp;"-"&amp;'Trial Balance'!B8</f>
        <v>1005-Cash</v>
      </c>
      <c r="B7" s="23">
        <f>'Trial Balance'!F8</f>
        <v>10157140.68</v>
      </c>
    </row>
    <row r="8" spans="1:2" ht="15" customHeight="1">
      <c r="A8" s="32" t="str">
        <f>'Trial Balance'!A9&amp;"-"&amp;'Trial Balance'!B9</f>
        <v>1010-Cash Advances and Working Funds</v>
      </c>
      <c r="B8" s="23">
        <f>'Trial Balance'!F9</f>
        <v>0</v>
      </c>
    </row>
    <row r="9" spans="1:2" ht="15" customHeight="1">
      <c r="A9" s="32" t="str">
        <f>'Trial Balance'!A10&amp;"-"&amp;'Trial Balance'!B10</f>
        <v>1020-Interest Special Deposits</v>
      </c>
      <c r="B9" s="23">
        <f>'Trial Balance'!F10</f>
        <v>0</v>
      </c>
    </row>
    <row r="10" spans="1:2" ht="15" customHeight="1">
      <c r="A10" s="32" t="str">
        <f>'Trial Balance'!A11&amp;"-"&amp;'Trial Balance'!B11</f>
        <v>1030-Dividend Special Deposits</v>
      </c>
      <c r="B10" s="23">
        <f>'Trial Balance'!F11</f>
        <v>0</v>
      </c>
    </row>
    <row r="11" spans="1:2" ht="15" customHeight="1">
      <c r="A11" s="32" t="str">
        <f>'Trial Balance'!A12&amp;"-"&amp;'Trial Balance'!B12</f>
        <v>1040-Other Special Deposits</v>
      </c>
      <c r="B11" s="23">
        <f>'Trial Balance'!F12</f>
        <v>0</v>
      </c>
    </row>
    <row r="12" spans="1:2" ht="15" customHeight="1">
      <c r="A12" s="32" t="str">
        <f>'Trial Balance'!A13&amp;"-"&amp;'Trial Balance'!B13</f>
        <v>1060-Term Deposits</v>
      </c>
      <c r="B12" s="23">
        <f>'Trial Balance'!F13</f>
        <v>2314566.67</v>
      </c>
    </row>
    <row r="13" spans="1:2" ht="15" customHeight="1">
      <c r="A13" s="32" t="str">
        <f>'Trial Balance'!A14&amp;"-"&amp;'Trial Balance'!B14</f>
        <v>1070-Current Investments</v>
      </c>
      <c r="B13" s="23">
        <f>'Trial Balance'!F14</f>
        <v>0</v>
      </c>
    </row>
    <row r="14" spans="1:2" ht="15" customHeight="1">
      <c r="A14" s="32" t="str">
        <f>'Trial Balance'!A15&amp;"-"&amp;'Trial Balance'!B15</f>
        <v>1100-Customer Accounts Receivable</v>
      </c>
      <c r="B14" s="23">
        <f>'Trial Balance'!F15</f>
        <v>4363696.05</v>
      </c>
    </row>
    <row r="15" spans="1:2" ht="15" customHeight="1">
      <c r="A15" s="32" t="str">
        <f>'Trial Balance'!A16&amp;"-"&amp;'Trial Balance'!B16</f>
        <v>1102-Accounts Receivable - Services</v>
      </c>
      <c r="B15" s="23">
        <f>'Trial Balance'!F16</f>
        <v>-233264.84</v>
      </c>
    </row>
    <row r="16" spans="1:2" ht="15" customHeight="1">
      <c r="A16" s="32" t="str">
        <f>'Trial Balance'!A17&amp;"-"&amp;'Trial Balance'!B17</f>
        <v>1104-Accounts Receivable - Recoverable Work</v>
      </c>
      <c r="B16" s="23">
        <f>'Trial Balance'!F17</f>
        <v>458869.92</v>
      </c>
    </row>
    <row r="17" spans="1:2" ht="15" customHeight="1">
      <c r="A17" s="32" t="str">
        <f>'Trial Balance'!A18&amp;"-"&amp;'Trial Balance'!B18</f>
        <v>1105-Accounts Receivable - Merchandise, Jobbing, etc.</v>
      </c>
      <c r="B17" s="23">
        <f>'Trial Balance'!F18</f>
        <v>3351.46</v>
      </c>
    </row>
    <row r="18" spans="1:2" ht="15" customHeight="1">
      <c r="A18" s="32" t="str">
        <f>'Trial Balance'!A19&amp;"-"&amp;'Trial Balance'!B19</f>
        <v>1110-Other Accounts Receivable</v>
      </c>
      <c r="B18" s="23">
        <f>'Trial Balance'!F19</f>
        <v>182313.74</v>
      </c>
    </row>
    <row r="19" spans="1:2" ht="15" customHeight="1">
      <c r="A19" s="32" t="str">
        <f>'Trial Balance'!A20&amp;"-"&amp;'Trial Balance'!B20</f>
        <v>1120-Accrued Utility Revenues</v>
      </c>
      <c r="B19" s="23">
        <f>'Trial Balance'!F20</f>
        <v>5589408.47</v>
      </c>
    </row>
    <row r="20" spans="1:2" ht="15" customHeight="1">
      <c r="A20" s="32" t="str">
        <f>'Trial Balance'!A21&amp;"-"&amp;'Trial Balance'!B21</f>
        <v>1130-Accumulated Provision for Uncollectable Accounts -- Credit</v>
      </c>
      <c r="B20" s="23">
        <f>'Trial Balance'!F21</f>
        <v>-310773.59</v>
      </c>
    </row>
    <row r="21" spans="1:2" ht="15" customHeight="1">
      <c r="A21" s="32" t="str">
        <f>'Trial Balance'!A22&amp;"-"&amp;'Trial Balance'!B22</f>
        <v>1140-Interest and Dividends Receivable</v>
      </c>
      <c r="B21" s="23">
        <f>'Trial Balance'!F22</f>
        <v>41042.5</v>
      </c>
    </row>
    <row r="22" spans="1:2" ht="15" customHeight="1">
      <c r="A22" s="32" t="str">
        <f>'Trial Balance'!A23&amp;"-"&amp;'Trial Balance'!B23</f>
        <v>1150-Rents Receivable</v>
      </c>
      <c r="B22" s="23">
        <f>'Trial Balance'!F23</f>
        <v>0</v>
      </c>
    </row>
    <row r="23" spans="1:2" ht="15" customHeight="1">
      <c r="A23" s="32" t="str">
        <f>'Trial Balance'!A24&amp;"-"&amp;'Trial Balance'!B24</f>
        <v>1170-Notes Receivable</v>
      </c>
      <c r="B23" s="23">
        <f>'Trial Balance'!F24</f>
        <v>0</v>
      </c>
    </row>
    <row r="24" spans="1:2" ht="15" customHeight="1">
      <c r="A24" s="32" t="str">
        <f>'Trial Balance'!A25&amp;"-"&amp;'Trial Balance'!B25</f>
        <v>1180-Prepayments</v>
      </c>
      <c r="B24" s="23">
        <f>'Trial Balance'!F25</f>
        <v>220655.31</v>
      </c>
    </row>
    <row r="25" spans="1:2" ht="15" customHeight="1">
      <c r="A25" s="32" t="str">
        <f>'Trial Balance'!A26&amp;"-"&amp;'Trial Balance'!B26</f>
        <v>1190-Miscellaneous Current and Accrued Assets</v>
      </c>
      <c r="B25" s="23">
        <f>'Trial Balance'!F26</f>
        <v>0</v>
      </c>
    </row>
    <row r="26" spans="1:2" ht="15" customHeight="1">
      <c r="A26" s="32" t="str">
        <f>'Trial Balance'!A27&amp;"-"&amp;'Trial Balance'!B27</f>
        <v>1200-Accounts Receivable from Associated Companies</v>
      </c>
      <c r="B26" s="23">
        <f>'Trial Balance'!F27</f>
        <v>548523.06</v>
      </c>
    </row>
    <row r="27" spans="1:2" ht="15" customHeight="1" thickBot="1">
      <c r="A27" s="32" t="str">
        <f>'Trial Balance'!A28&amp;"-"&amp;'Trial Balance'!B28</f>
        <v>1210-Notes  Receivable from Associated Companies</v>
      </c>
      <c r="B27" s="23">
        <f>'Trial Balance'!F28</f>
        <v>1332950</v>
      </c>
    </row>
    <row r="28" spans="1:2" ht="15" customHeight="1" thickBot="1">
      <c r="A28" s="34" t="s">
        <v>149</v>
      </c>
      <c r="B28" s="31">
        <f>SUM(B7:B27)</f>
        <v>24668479.429999996</v>
      </c>
    </row>
    <row r="29" spans="1:2" ht="8.25" customHeight="1">
      <c r="A29" s="435"/>
      <c r="B29" s="435"/>
    </row>
    <row r="30" spans="1:2" ht="15" customHeight="1">
      <c r="A30" s="432" t="s">
        <v>150</v>
      </c>
      <c r="B30" s="432"/>
    </row>
    <row r="31" spans="1:2" ht="15" customHeight="1">
      <c r="A31" s="32" t="str">
        <f>'Trial Balance'!A30&amp;"-"&amp;'Trial Balance'!B30</f>
        <v>1305-Fuel Stock</v>
      </c>
      <c r="B31" s="23">
        <f>'Trial Balance'!F30</f>
        <v>0</v>
      </c>
    </row>
    <row r="32" spans="1:2" ht="15" customHeight="1">
      <c r="A32" s="32" t="str">
        <f>'Trial Balance'!A31&amp;"-"&amp;'Trial Balance'!B31</f>
        <v>1330-Plant Materials and Operating Supplies</v>
      </c>
      <c r="B32" s="23">
        <f>'Trial Balance'!F31</f>
        <v>790836.13</v>
      </c>
    </row>
    <row r="33" spans="1:2" ht="15" customHeight="1">
      <c r="A33" s="32" t="str">
        <f>'Trial Balance'!A32&amp;"-"&amp;'Trial Balance'!B32</f>
        <v>1340-Merchandise</v>
      </c>
      <c r="B33" s="23">
        <f>'Trial Balance'!F32</f>
        <v>0</v>
      </c>
    </row>
    <row r="34" spans="1:2" ht="15" customHeight="1" thickBot="1">
      <c r="A34" s="32" t="str">
        <f>'Trial Balance'!A33&amp;"-"&amp;'Trial Balance'!B33</f>
        <v>1350-Other Material and Supplies</v>
      </c>
      <c r="B34" s="23">
        <f>'Trial Balance'!F33</f>
        <v>0</v>
      </c>
    </row>
    <row r="35" spans="1:2" ht="15" customHeight="1" thickBot="1">
      <c r="A35" s="35" t="s">
        <v>102</v>
      </c>
      <c r="B35" s="31">
        <f>SUM(B31:B34)</f>
        <v>790836.13</v>
      </c>
    </row>
    <row r="36" spans="1:2" ht="15" customHeight="1">
      <c r="A36" s="28"/>
      <c r="B36" s="12"/>
    </row>
    <row r="37" spans="1:2" ht="15" customHeight="1">
      <c r="A37" s="432" t="s">
        <v>103</v>
      </c>
      <c r="B37" s="432"/>
    </row>
    <row r="38" spans="1:2" ht="15" customHeight="1">
      <c r="A38" s="32" t="str">
        <f>'Trial Balance'!A35&amp;"-"&amp;'Trial Balance'!B35</f>
        <v>1405-Long Term Investments in Non-Associated Companies</v>
      </c>
      <c r="B38" s="23">
        <f>'Trial Balance'!F35</f>
        <v>0</v>
      </c>
    </row>
    <row r="39" spans="1:2" ht="15" customHeight="1">
      <c r="A39" s="32" t="str">
        <f>'Trial Balance'!A36&amp;"-"&amp;'Trial Balance'!B36</f>
        <v>1408-Long Term Receivable - Street Lighting Transfer</v>
      </c>
      <c r="B39" s="23">
        <f>'Trial Balance'!F36</f>
        <v>0</v>
      </c>
    </row>
    <row r="40" spans="1:2" ht="15" customHeight="1">
      <c r="A40" s="32" t="str">
        <f>'Trial Balance'!A37&amp;"-"&amp;'Trial Balance'!B37</f>
        <v>1410-Other Special or Collateral Funds</v>
      </c>
      <c r="B40" s="23">
        <f>'Trial Balance'!F37</f>
        <v>0</v>
      </c>
    </row>
    <row r="41" spans="1:2" ht="15" customHeight="1">
      <c r="A41" s="32" t="str">
        <f>'Trial Balance'!A38&amp;"-"&amp;'Trial Balance'!B38</f>
        <v>1415-Sinking Funds</v>
      </c>
      <c r="B41" s="23">
        <f>'Trial Balance'!F38</f>
        <v>0</v>
      </c>
    </row>
    <row r="42" spans="1:2" ht="15" customHeight="1">
      <c r="A42" s="32" t="str">
        <f>'Trial Balance'!A39&amp;"-"&amp;'Trial Balance'!B39</f>
        <v>1425-Unamortized Debt Expense</v>
      </c>
      <c r="B42" s="23">
        <f>'Trial Balance'!F39</f>
        <v>0</v>
      </c>
    </row>
    <row r="43" spans="1:2" ht="15" customHeight="1">
      <c r="A43" s="32" t="str">
        <f>'Trial Balance'!A40&amp;"-"&amp;'Trial Balance'!B40</f>
        <v>1445-Unamortized Discount on Long-Term Debt--Debit</v>
      </c>
      <c r="B43" s="23">
        <f>'Trial Balance'!F40</f>
        <v>0</v>
      </c>
    </row>
    <row r="44" spans="1:2" ht="15" customHeight="1">
      <c r="A44" s="32" t="str">
        <f>'Trial Balance'!A41&amp;"-"&amp;'Trial Balance'!B41</f>
        <v>1455-Unamortized Deferred Foreign Currency Translation Gains and Losses</v>
      </c>
      <c r="B44" s="23">
        <f>'Trial Balance'!F41</f>
        <v>0</v>
      </c>
    </row>
    <row r="45" spans="1:2" ht="15" customHeight="1">
      <c r="A45" s="32" t="str">
        <f>'Trial Balance'!A42&amp;"-"&amp;'Trial Balance'!B42</f>
        <v>1460-Other Non-Current Assets</v>
      </c>
      <c r="B45" s="23">
        <f>'Trial Balance'!F42</f>
        <v>0</v>
      </c>
    </row>
    <row r="46" spans="1:2" ht="15" customHeight="1">
      <c r="A46" s="32" t="str">
        <f>'Trial Balance'!A43&amp;"-"&amp;'Trial Balance'!B43</f>
        <v>1465-O.M.E.R.S. Past Service Costs</v>
      </c>
      <c r="B46" s="23">
        <f>'Trial Balance'!F43</f>
        <v>0</v>
      </c>
    </row>
    <row r="47" spans="1:2" ht="15" customHeight="1">
      <c r="A47" s="32" t="str">
        <f>'Trial Balance'!A44&amp;"-"&amp;'Trial Balance'!B44</f>
        <v>1470-Past Service Costs - Employee Future Benefits</v>
      </c>
      <c r="B47" s="23">
        <f>'Trial Balance'!F44</f>
        <v>0</v>
      </c>
    </row>
    <row r="48" spans="1:2" ht="15" customHeight="1">
      <c r="A48" s="32" t="str">
        <f>'Trial Balance'!A45&amp;"-"&amp;'Trial Balance'!B45</f>
        <v>1475-Past Service Costs -Other Pension Plans</v>
      </c>
      <c r="B48" s="23">
        <f>'Trial Balance'!F45</f>
        <v>0</v>
      </c>
    </row>
    <row r="49" spans="1:2" ht="15" customHeight="1">
      <c r="A49" s="32" t="str">
        <f>'Trial Balance'!A46&amp;"-"&amp;'Trial Balance'!B46</f>
        <v>1480-Portfolio Investments - Associated Companies</v>
      </c>
      <c r="B49" s="23">
        <f>'Trial Balance'!F46</f>
        <v>0</v>
      </c>
    </row>
    <row r="50" spans="1:2" ht="15" customHeight="1">
      <c r="A50" s="32" t="str">
        <f>'Trial Balance'!A47&amp;"-"&amp;'Trial Balance'!B47</f>
        <v>1485-Investment In Subsidiary Companies - Significant Influence</v>
      </c>
      <c r="B50" s="23">
        <f>'Trial Balance'!F47</f>
        <v>0</v>
      </c>
    </row>
    <row r="51" spans="1:2" ht="15" customHeight="1" thickBot="1">
      <c r="A51" s="32" t="str">
        <f>'Trial Balance'!A48&amp;"-"&amp;'Trial Balance'!B48</f>
        <v>1490-Investment in Subsidiary Companies</v>
      </c>
      <c r="B51" s="23">
        <f>'Trial Balance'!F48</f>
        <v>0</v>
      </c>
    </row>
    <row r="52" spans="1:2" ht="15" customHeight="1" thickBot="1">
      <c r="A52" s="35" t="s">
        <v>104</v>
      </c>
      <c r="B52" s="31">
        <f>SUM(B38:B51)</f>
        <v>0</v>
      </c>
    </row>
    <row r="53" spans="1:2" ht="15" customHeight="1">
      <c r="A53" s="28"/>
      <c r="B53" s="12"/>
    </row>
    <row r="54" spans="1:2" ht="15" customHeight="1">
      <c r="A54" s="432" t="s">
        <v>874</v>
      </c>
      <c r="B54" s="432"/>
    </row>
    <row r="55" spans="1:2" ht="15" customHeight="1">
      <c r="A55" s="32" t="str">
        <f>'Trial Balance'!A392&amp;"-"&amp;'Trial Balance'!B392</f>
        <v>1606-Intangible Plant - Organization</v>
      </c>
      <c r="B55" s="23">
        <f>+'Trial Balance'!F392</f>
        <v>6361.01</v>
      </c>
    </row>
    <row r="56" spans="1:2" ht="15" customHeight="1" thickBot="1">
      <c r="A56" s="32" t="str">
        <f>'Trial Balance'!A393&amp;"-"&amp;'Trial Balance'!B393</f>
        <v>1610-Intangible Plant - Misc. Intangible Plant</v>
      </c>
      <c r="B56" s="23">
        <f>+'Trial Balance'!F393</f>
        <v>22150</v>
      </c>
    </row>
    <row r="57" spans="1:2" ht="15" customHeight="1" thickBot="1">
      <c r="A57" s="35" t="s">
        <v>875</v>
      </c>
      <c r="B57" s="31">
        <f>SUM(B55:B56)</f>
        <v>28511.010000000002</v>
      </c>
    </row>
    <row r="58" spans="1:2" ht="15" customHeight="1">
      <c r="A58" s="28"/>
      <c r="B58" s="12"/>
    </row>
    <row r="59" spans="1:2" ht="15" customHeight="1">
      <c r="A59" s="432" t="s">
        <v>105</v>
      </c>
      <c r="B59" s="432"/>
    </row>
    <row r="60" spans="1:2" ht="15" customHeight="1">
      <c r="A60" s="32" t="str">
        <f>'Trial Balance'!A50&amp;"-"&amp;'Trial Balance'!B50</f>
        <v>1505-Unrecovered Plant and Regulatory Study Costs</v>
      </c>
      <c r="B60" s="23">
        <f>'Trial Balance'!F50</f>
        <v>0</v>
      </c>
    </row>
    <row r="61" spans="1:2" ht="15" customHeight="1">
      <c r="A61" s="32" t="str">
        <f>'Trial Balance'!A51&amp;"-"&amp;'Trial Balance'!B51</f>
        <v>1508-Other Regulatory Assets</v>
      </c>
      <c r="B61" s="23">
        <f>'Trial Balance'!F51</f>
        <v>289032.78</v>
      </c>
    </row>
    <row r="62" spans="1:2" ht="15" customHeight="1">
      <c r="A62" s="32" t="str">
        <f>'Trial Balance'!A52&amp;"-"&amp;'Trial Balance'!B52</f>
        <v>1510-Preliminary Survey and Investigation Charges</v>
      </c>
      <c r="B62" s="23">
        <f>'Trial Balance'!F52</f>
        <v>0</v>
      </c>
    </row>
    <row r="63" spans="1:2" ht="15" customHeight="1">
      <c r="A63" s="32" t="str">
        <f>'Trial Balance'!A53&amp;"-"&amp;'Trial Balance'!B53</f>
        <v>1515-Emission Allowance Inventory</v>
      </c>
      <c r="B63" s="23">
        <f>'Trial Balance'!F53</f>
        <v>0</v>
      </c>
    </row>
    <row r="64" spans="1:2" ht="15" customHeight="1">
      <c r="A64" s="32" t="str">
        <f>'Trial Balance'!A54&amp;"-"&amp;'Trial Balance'!B54</f>
        <v>1516-Emission Allowance Withheld</v>
      </c>
      <c r="B64" s="23">
        <f>'Trial Balance'!F54</f>
        <v>0</v>
      </c>
    </row>
    <row r="65" spans="1:2" ht="15" customHeight="1">
      <c r="A65" s="32" t="str">
        <f>'Trial Balance'!A55&amp;"-"&amp;'Trial Balance'!B55</f>
        <v>1518-RCVA - Retail</v>
      </c>
      <c r="B65" s="23">
        <f>'Trial Balance'!F55</f>
        <v>-109693.87</v>
      </c>
    </row>
    <row r="66" spans="1:2" ht="15" customHeight="1">
      <c r="A66" s="32" t="str">
        <f>'Trial Balance'!A56&amp;"-"&amp;'Trial Balance'!B56</f>
        <v>1525-Miscellaneous Deferred Debits</v>
      </c>
      <c r="B66" s="23">
        <f>'Trial Balance'!F56</f>
        <v>1801.38</v>
      </c>
    </row>
    <row r="67" spans="1:2" ht="15" customHeight="1">
      <c r="A67" s="32" t="str">
        <f>'Trial Balance'!A57&amp;"-"&amp;'Trial Balance'!B57</f>
        <v>1530-Deferred Losses from Disposition of Utility Plant</v>
      </c>
      <c r="B67" s="23">
        <f>'Trial Balance'!F57</f>
        <v>0</v>
      </c>
    </row>
    <row r="68" spans="1:2" ht="15" customHeight="1">
      <c r="A68" s="32" t="str">
        <f>'Trial Balance'!A58&amp;"-"&amp;'Trial Balance'!B58</f>
        <v>1540-Deferred Losses from Disposition of Utility Plant</v>
      </c>
      <c r="B68" s="23">
        <f>'Trial Balance'!F58</f>
        <v>0</v>
      </c>
    </row>
    <row r="69" spans="1:2" ht="15" customHeight="1">
      <c r="A69" s="32" t="str">
        <f>'Trial Balance'!A59&amp;"-"&amp;'Trial Balance'!B59</f>
        <v>1545-Development Charge Deposits/ Receivables</v>
      </c>
      <c r="B69" s="23">
        <f>'Trial Balance'!F59</f>
        <v>0</v>
      </c>
    </row>
    <row r="70" spans="1:2" ht="15" customHeight="1">
      <c r="A70" s="32" t="str">
        <f>'Trial Balance'!A60&amp;"-"&amp;'Trial Balance'!B60</f>
        <v>1548-RCVA - Service Transaction Request (STR)</v>
      </c>
      <c r="B70" s="23">
        <f>'Trial Balance'!F60</f>
        <v>59276</v>
      </c>
    </row>
    <row r="71" spans="1:2" ht="15" customHeight="1">
      <c r="A71" s="32" t="str">
        <f>'Trial Balance'!A61&amp;"-"&amp;'Trial Balance'!B61</f>
        <v>1550-LV Charges - Variance</v>
      </c>
      <c r="B71" s="23">
        <f>'Trial Balance'!F61</f>
        <v>41754.85</v>
      </c>
    </row>
    <row r="72" spans="1:2" ht="15" customHeight="1">
      <c r="A72" s="32" t="str">
        <f>'Trial Balance'!A62&amp;"-"&amp;'Trial Balance'!B62</f>
        <v>1555-Smart Meters Recovery</v>
      </c>
      <c r="B72" s="23">
        <f>'Trial Balance'!F62</f>
        <v>-150913.35</v>
      </c>
    </row>
    <row r="73" spans="1:2" ht="15" customHeight="1">
      <c r="A73" s="32" t="str">
        <f>'Trial Balance'!A63&amp;"-"&amp;'Trial Balance'!B63</f>
        <v>1556-Smart Meters OM &amp; A</v>
      </c>
      <c r="B73" s="23">
        <f>'Trial Balance'!F63</f>
        <v>44984.39</v>
      </c>
    </row>
    <row r="74" spans="1:2" ht="15" customHeight="1">
      <c r="A74" s="32" t="str">
        <f>'Trial Balance'!A64&amp;"-"&amp;'Trial Balance'!B64</f>
        <v>1562-Deferred PILs</v>
      </c>
      <c r="B74" s="23">
        <f>'Trial Balance'!F64</f>
        <v>-321519</v>
      </c>
    </row>
    <row r="75" spans="1:2" ht="15" customHeight="1">
      <c r="A75" s="32" t="str">
        <f>'Trial Balance'!A65&amp;"-"&amp;'Trial Balance'!B65</f>
        <v>1563-Deferred PILs - Contra</v>
      </c>
      <c r="B75" s="23">
        <f>'Trial Balance'!F65</f>
        <v>0</v>
      </c>
    </row>
    <row r="76" spans="1:2" ht="15" customHeight="1">
      <c r="A76" s="32" t="str">
        <f>'Trial Balance'!A66&amp;"-"&amp;'Trial Balance'!B66</f>
        <v>1565-C &amp; DM Costs</v>
      </c>
      <c r="B76" s="23">
        <f>'Trial Balance'!F66</f>
        <v>-312124.18</v>
      </c>
    </row>
    <row r="77" spans="1:2" ht="15" customHeight="1">
      <c r="A77" s="32" t="str">
        <f>'Trial Balance'!A67&amp;"-"&amp;'Trial Balance'!B67</f>
        <v>1566-C &amp; DM Costs Contra</v>
      </c>
      <c r="B77" s="23">
        <f>'Trial Balance'!F67</f>
        <v>312124.18</v>
      </c>
    </row>
    <row r="78" spans="1:2" ht="15" customHeight="1">
      <c r="A78" s="32" t="str">
        <f>'Trial Balance'!A68&amp;"-"&amp;'Trial Balance'!B68</f>
        <v>1570-Qualifying Transition Costs</v>
      </c>
      <c r="B78" s="23">
        <f>'Trial Balance'!F68</f>
        <v>0</v>
      </c>
    </row>
    <row r="79" spans="1:2" ht="15" customHeight="1">
      <c r="A79" s="32" t="str">
        <f>'Trial Balance'!A69&amp;"-"&amp;'Trial Balance'!B69</f>
        <v>1571-Pre Market CofP Variance</v>
      </c>
      <c r="B79" s="23">
        <f>'Trial Balance'!F69</f>
        <v>-406.36</v>
      </c>
    </row>
    <row r="80" spans="1:2" ht="15" customHeight="1">
      <c r="A80" s="32" t="str">
        <f>'Trial Balance'!A70&amp;"-"&amp;'Trial Balance'!B70</f>
        <v>1572-Extraordinary Event Losses</v>
      </c>
      <c r="B80" s="23">
        <f>'Trial Balance'!F70</f>
        <v>461119.22</v>
      </c>
    </row>
    <row r="81" spans="1:2" ht="15" customHeight="1">
      <c r="A81" s="32" t="str">
        <f>'Trial Balance'!A71&amp;"-"&amp;'Trial Balance'!B71</f>
        <v>1574-Deferred Rate Impact Amounts</v>
      </c>
      <c r="B81" s="23">
        <f>'Trial Balance'!F71</f>
        <v>0</v>
      </c>
    </row>
    <row r="82" spans="1:2" ht="15" customHeight="1">
      <c r="A82" s="32" t="str">
        <f>'Trial Balance'!A72&amp;"-"&amp;'Trial Balance'!B72</f>
        <v>1580-RSVA - Wholesale Market Services</v>
      </c>
      <c r="B82" s="23">
        <f>'Trial Balance'!F72</f>
        <v>-1053327.96</v>
      </c>
    </row>
    <row r="83" spans="1:2" ht="15" customHeight="1">
      <c r="A83" s="32" t="str">
        <f>'Trial Balance'!A73&amp;"-"&amp;'Trial Balance'!B73</f>
        <v>1582-RSVA - One-Time</v>
      </c>
      <c r="B83" s="23">
        <f>'Trial Balance'!F73</f>
        <v>35573.55</v>
      </c>
    </row>
    <row r="84" spans="1:2" ht="15" customHeight="1">
      <c r="A84" s="32" t="str">
        <f>'Trial Balance'!A74&amp;"-"&amp;'Trial Balance'!B74</f>
        <v>1584-RSVA - Network Charges</v>
      </c>
      <c r="B84" s="23">
        <f>'Trial Balance'!F74</f>
        <v>-45479.51</v>
      </c>
    </row>
    <row r="85" spans="1:2" ht="15" customHeight="1">
      <c r="A85" s="32" t="str">
        <f>'Trial Balance'!A75&amp;"-"&amp;'Trial Balance'!B75</f>
        <v>1586-RSVA - Connection Charges</v>
      </c>
      <c r="B85" s="23">
        <f>'Trial Balance'!F75</f>
        <v>26467.01</v>
      </c>
    </row>
    <row r="86" spans="1:2" ht="15" customHeight="1">
      <c r="A86" s="32" t="str">
        <f>'Trial Balance'!A76&amp;"-"&amp;'Trial Balance'!B76</f>
        <v>1588-RSVA - Commodity (Power)</v>
      </c>
      <c r="B86" s="23">
        <f>'Trial Balance'!F76</f>
        <v>3010032.94</v>
      </c>
    </row>
    <row r="87" spans="1:2" ht="15" customHeight="1">
      <c r="A87" s="32" t="str">
        <f>'Trial Balance'!A77&amp;"-"&amp;'Trial Balance'!B77</f>
        <v>1590-Recovery of Regulatory Assets (25% of 2002 bal.)</v>
      </c>
      <c r="B87" s="23">
        <f>'Trial Balance'!F77</f>
        <v>332188.61</v>
      </c>
    </row>
    <row r="88" spans="1:2" ht="15" customHeight="1" thickBot="1">
      <c r="A88" s="32" t="str">
        <f>'Trial Balance'!A394&amp;"-"&amp;'Trial Balance'!B394</f>
        <v>1595-Recovery of Regulatory Asset Balances</v>
      </c>
      <c r="B88" s="23">
        <f>+'Trial Balance'!F394</f>
        <v>0</v>
      </c>
    </row>
    <row r="89" spans="1:2" ht="15" customHeight="1" thickBot="1">
      <c r="A89" s="35" t="s">
        <v>154</v>
      </c>
      <c r="B89" s="31">
        <f>SUM(B60:B88)</f>
        <v>2620890.68</v>
      </c>
    </row>
    <row r="90" spans="1:2" ht="15" customHeight="1">
      <c r="A90" s="28"/>
      <c r="B90" s="12"/>
    </row>
    <row r="91" spans="1:2" ht="15" customHeight="1">
      <c r="A91" s="432" t="s">
        <v>155</v>
      </c>
      <c r="B91" s="432"/>
    </row>
    <row r="92" spans="1:2" ht="15" customHeight="1">
      <c r="A92" s="32" t="str">
        <f>'Trial Balance'!A80&amp;"-"&amp;'Trial Balance'!B80</f>
        <v>1805-Land</v>
      </c>
      <c r="B92" s="23">
        <f>'Trial Balance'!F80</f>
        <v>311178.69</v>
      </c>
    </row>
    <row r="93" spans="1:2" ht="15" customHeight="1">
      <c r="A93" s="32" t="str">
        <f>'Trial Balance'!A81&amp;"-"&amp;'Trial Balance'!B81</f>
        <v>1806-Land Rights</v>
      </c>
      <c r="B93" s="23">
        <f>'Trial Balance'!F81</f>
        <v>0</v>
      </c>
    </row>
    <row r="94" spans="1:2" ht="15" customHeight="1">
      <c r="A94" s="32" t="str">
        <f>'Trial Balance'!A82&amp;"-"&amp;'Trial Balance'!B82</f>
        <v>1808-Buildings and Fixtures</v>
      </c>
      <c r="B94" s="23">
        <f>'Trial Balance'!F82</f>
        <v>767945.81</v>
      </c>
    </row>
    <row r="95" spans="1:2" ht="15" customHeight="1">
      <c r="A95" s="32" t="str">
        <f>'Trial Balance'!A83&amp;"-"&amp;'Trial Balance'!B83</f>
        <v>1810-Leasehold Improvements</v>
      </c>
      <c r="B95" s="23">
        <f>'Trial Balance'!F83</f>
        <v>0</v>
      </c>
    </row>
    <row r="96" spans="1:2" ht="15" customHeight="1">
      <c r="A96" s="32" t="str">
        <f>'Trial Balance'!A84&amp;"-"&amp;'Trial Balance'!B84</f>
        <v>1815-Transformer Station Equipment -  &gt; 50 kV</v>
      </c>
      <c r="B96" s="23">
        <f>'Trial Balance'!F84</f>
        <v>0</v>
      </c>
    </row>
    <row r="97" spans="1:2" ht="15" customHeight="1">
      <c r="A97" s="32" t="str">
        <f>'Trial Balance'!A85&amp;"-"&amp;'Trial Balance'!B85</f>
        <v>1820-Distribution Station Equipment - &lt; 50 kV</v>
      </c>
      <c r="B97" s="23">
        <f>'Trial Balance'!F85</f>
        <v>7690408.8</v>
      </c>
    </row>
    <row r="98" spans="1:2" ht="15" customHeight="1">
      <c r="A98" s="32" t="str">
        <f>'Trial Balance'!A86&amp;"-"&amp;'Trial Balance'!B86</f>
        <v>1825-Storage Battery Equipment</v>
      </c>
      <c r="B98" s="23">
        <f>'Trial Balance'!F86</f>
        <v>0</v>
      </c>
    </row>
    <row r="99" spans="1:2" ht="15" customHeight="1">
      <c r="A99" s="32" t="str">
        <f>'Trial Balance'!A87&amp;"-"&amp;'Trial Balance'!B87</f>
        <v>1830-Poles, Towers and Fixtures</v>
      </c>
      <c r="B99" s="23">
        <f>'Trial Balance'!F87</f>
        <v>14803031.7</v>
      </c>
    </row>
    <row r="100" spans="1:2" ht="15" customHeight="1">
      <c r="A100" s="32" t="str">
        <f>'Trial Balance'!A88&amp;"-"&amp;'Trial Balance'!B88</f>
        <v>1835-Overhead Conductors and Devices</v>
      </c>
      <c r="B100" s="23">
        <f>'Trial Balance'!F88</f>
        <v>11893136.290000001</v>
      </c>
    </row>
    <row r="101" spans="1:2" ht="15" customHeight="1">
      <c r="A101" s="32" t="str">
        <f>'Trial Balance'!A89&amp;"-"&amp;'Trial Balance'!B89</f>
        <v>1840-Underground Conduit</v>
      </c>
      <c r="B101" s="23">
        <f>'Trial Balance'!F89</f>
        <v>330585.81</v>
      </c>
    </row>
    <row r="102" spans="1:2" ht="15" customHeight="1">
      <c r="A102" s="32" t="str">
        <f>'Trial Balance'!A90&amp;"-"&amp;'Trial Balance'!B90</f>
        <v>1845-Underground Conductors and Devices</v>
      </c>
      <c r="B102" s="23">
        <f>'Trial Balance'!F90</f>
        <v>5755349.61</v>
      </c>
    </row>
    <row r="103" spans="1:2" ht="15" customHeight="1">
      <c r="A103" s="32" t="str">
        <f>'Trial Balance'!A91&amp;"-"&amp;'Trial Balance'!B91</f>
        <v>1850-Line Transformers</v>
      </c>
      <c r="B103" s="23">
        <f>'Trial Balance'!F91</f>
        <v>12750217.76</v>
      </c>
    </row>
    <row r="104" spans="1:2" ht="15" customHeight="1">
      <c r="A104" s="32" t="str">
        <f>'Trial Balance'!A92&amp;"-"&amp;'Trial Balance'!B92</f>
        <v>1855-Services</v>
      </c>
      <c r="B104" s="23">
        <f>'Trial Balance'!F92</f>
        <v>8948078.2</v>
      </c>
    </row>
    <row r="105" spans="1:2" ht="15" customHeight="1">
      <c r="A105" s="32" t="str">
        <f>'Trial Balance'!A93&amp;"-"&amp;'Trial Balance'!B93</f>
        <v>1860-Meters</v>
      </c>
      <c r="B105" s="23">
        <f>'Trial Balance'!F93</f>
        <v>3475727.8499999996</v>
      </c>
    </row>
    <row r="106" spans="1:2" ht="15" customHeight="1" thickBot="1">
      <c r="A106" s="32" t="str">
        <f>'Trial Balance'!A94&amp;"-"&amp;'Trial Balance'!B94</f>
        <v>1865-Other Installations on Customer's Premises</v>
      </c>
      <c r="B106" s="23">
        <f>'Trial Balance'!F94</f>
        <v>0</v>
      </c>
    </row>
    <row r="107" spans="1:2" ht="15" customHeight="1" thickBot="1">
      <c r="A107" s="36" t="s">
        <v>79</v>
      </c>
      <c r="B107" s="31">
        <f>SUM(B92:B106)</f>
        <v>66725660.52</v>
      </c>
    </row>
    <row r="108" spans="1:2" ht="15" customHeight="1">
      <c r="A108" s="27"/>
      <c r="B108" s="12"/>
    </row>
    <row r="109" spans="1:2" ht="15" customHeight="1">
      <c r="A109" s="432" t="s">
        <v>80</v>
      </c>
      <c r="B109" s="432"/>
    </row>
    <row r="110" spans="1:2" ht="15" customHeight="1">
      <c r="A110" s="32" t="str">
        <f>'Trial Balance'!A95&amp;"-"&amp;'Trial Balance'!B95</f>
        <v>1905-Land</v>
      </c>
      <c r="B110" s="23">
        <f>'Trial Balance'!F95</f>
        <v>86550.51</v>
      </c>
    </row>
    <row r="111" spans="1:2" ht="15" customHeight="1">
      <c r="A111" s="32" t="str">
        <f>'Trial Balance'!A96&amp;"-"&amp;'Trial Balance'!B96</f>
        <v>1906-Land Rights</v>
      </c>
      <c r="B111" s="23">
        <f>'Trial Balance'!F96</f>
        <v>0</v>
      </c>
    </row>
    <row r="112" spans="1:2" ht="15" customHeight="1">
      <c r="A112" s="32" t="str">
        <f>'Trial Balance'!A97&amp;"-"&amp;'Trial Balance'!B97</f>
        <v>1908-Buildings and Fixtures</v>
      </c>
      <c r="B112" s="23">
        <f>'Trial Balance'!F97</f>
        <v>1578727.6</v>
      </c>
    </row>
    <row r="113" spans="1:2" ht="15" customHeight="1">
      <c r="A113" s="32" t="str">
        <f>'Trial Balance'!A98&amp;"-"&amp;'Trial Balance'!B98</f>
        <v>1910-Leasehold Improvements</v>
      </c>
      <c r="B113" s="23">
        <f>'Trial Balance'!F98</f>
        <v>0</v>
      </c>
    </row>
    <row r="114" spans="1:2" ht="15" customHeight="1">
      <c r="A114" s="32" t="str">
        <f>'Trial Balance'!A99&amp;"-"&amp;'Trial Balance'!B99</f>
        <v>1915-Office Furniture and Equipment</v>
      </c>
      <c r="B114" s="23">
        <f>'Trial Balance'!F99</f>
        <v>295747.1</v>
      </c>
    </row>
    <row r="115" spans="1:2" ht="15" customHeight="1">
      <c r="A115" s="32" t="str">
        <f>'Trial Balance'!A100&amp;"-"&amp;'Trial Balance'!B100</f>
        <v>1920-Computer Equipment - Hardware</v>
      </c>
      <c r="B115" s="23">
        <f>'Trial Balance'!F100</f>
        <v>524331.61</v>
      </c>
    </row>
    <row r="116" spans="1:2" ht="15" customHeight="1">
      <c r="A116" s="32" t="str">
        <f>'Trial Balance'!A101&amp;"-"&amp;'Trial Balance'!B101</f>
        <v>1925-Computer Software</v>
      </c>
      <c r="B116" s="23">
        <f>'Trial Balance'!F101</f>
        <v>854898.81</v>
      </c>
    </row>
    <row r="117" spans="1:2" ht="15" customHeight="1">
      <c r="A117" s="32" t="str">
        <f>'Trial Balance'!A102&amp;"-"&amp;'Trial Balance'!B102</f>
        <v>1930-Transportation Equipment</v>
      </c>
      <c r="B117" s="23">
        <f>'Trial Balance'!F102</f>
        <v>1830483.46</v>
      </c>
    </row>
    <row r="118" spans="1:2" ht="15" customHeight="1">
      <c r="A118" s="32" t="str">
        <f>'Trial Balance'!A103&amp;"-"&amp;'Trial Balance'!B103</f>
        <v>1935-Stores Equipment</v>
      </c>
      <c r="B118" s="23">
        <f>'Trial Balance'!F103</f>
        <v>75195.87</v>
      </c>
    </row>
    <row r="119" spans="1:2" ht="15" customHeight="1">
      <c r="A119" s="32" t="str">
        <f>'Trial Balance'!A104&amp;"-"&amp;'Trial Balance'!B104</f>
        <v>1940-Tools, Shop and Garage Equipment</v>
      </c>
      <c r="B119" s="23">
        <f>'Trial Balance'!F104</f>
        <v>1011833.1</v>
      </c>
    </row>
    <row r="120" spans="1:2" ht="15" customHeight="1">
      <c r="A120" s="32" t="str">
        <f>'Trial Balance'!A105&amp;"-"&amp;'Trial Balance'!B105</f>
        <v>1945-Measurement and Testing Equipment</v>
      </c>
      <c r="B120" s="23">
        <f>'Trial Balance'!F105</f>
        <v>0</v>
      </c>
    </row>
    <row r="121" spans="1:2" ht="15" customHeight="1">
      <c r="A121" s="32" t="str">
        <f>'Trial Balance'!A106&amp;"-"&amp;'Trial Balance'!B106</f>
        <v>1950-Power Operated Equipment</v>
      </c>
      <c r="B121" s="23">
        <f>'Trial Balance'!F106</f>
        <v>0</v>
      </c>
    </row>
    <row r="122" spans="1:2" ht="15" customHeight="1">
      <c r="A122" s="32" t="str">
        <f>'Trial Balance'!A107&amp;"-"&amp;'Trial Balance'!B107</f>
        <v>1955-Communication Equipment</v>
      </c>
      <c r="B122" s="23">
        <f>'Trial Balance'!F107</f>
        <v>84998.24</v>
      </c>
    </row>
    <row r="123" spans="1:2" ht="15" customHeight="1">
      <c r="A123" s="32" t="str">
        <f>'Trial Balance'!A108&amp;"-"&amp;'Trial Balance'!B108</f>
        <v>1960-Miscellaneous Equipment</v>
      </c>
      <c r="B123" s="23">
        <f>'Trial Balance'!F108</f>
        <v>15309</v>
      </c>
    </row>
    <row r="124" spans="1:2" ht="15" customHeight="1">
      <c r="A124" s="32" t="str">
        <f>'Trial Balance'!A109&amp;"-"&amp;'Trial Balance'!B109</f>
        <v>1970-Load Management Controls - Customer Premises </v>
      </c>
      <c r="B124" s="23">
        <f>'Trial Balance'!F109</f>
        <v>403930.62</v>
      </c>
    </row>
    <row r="125" spans="1:2" ht="15" customHeight="1">
      <c r="A125" s="32" t="str">
        <f>'Trial Balance'!A110&amp;"-"&amp;'Trial Balance'!B110</f>
        <v>1975-Load Management Controls - Utility Premises</v>
      </c>
      <c r="B125" s="23">
        <f>'Trial Balance'!F110</f>
        <v>165151.45</v>
      </c>
    </row>
    <row r="126" spans="1:2" ht="15" customHeight="1">
      <c r="A126" s="32" t="str">
        <f>'Trial Balance'!A111&amp;"-"&amp;'Trial Balance'!B111</f>
        <v>1980-System Supervisory Equipment</v>
      </c>
      <c r="B126" s="23">
        <f>'Trial Balance'!F111</f>
        <v>1136105.16</v>
      </c>
    </row>
    <row r="127" spans="1:2" ht="15" customHeight="1">
      <c r="A127" s="32" t="str">
        <f>'Trial Balance'!A112&amp;"-"&amp;'Trial Balance'!B112</f>
        <v>1985-Sentinel Lighting Rentals</v>
      </c>
      <c r="B127" s="23">
        <f>'Trial Balance'!F112</f>
        <v>0</v>
      </c>
    </row>
    <row r="128" spans="1:2" ht="15" customHeight="1">
      <c r="A128" s="32" t="str">
        <f>'Trial Balance'!A113&amp;"-"&amp;'Trial Balance'!B113</f>
        <v>1990-Other Tangible Property</v>
      </c>
      <c r="B128" s="23">
        <f>'Trial Balance'!F113</f>
        <v>53060.28</v>
      </c>
    </row>
    <row r="129" spans="1:2" ht="15" customHeight="1" thickBot="1">
      <c r="A129" s="32" t="str">
        <f>'Trial Balance'!A114&amp;"-"&amp;'Trial Balance'!B114</f>
        <v>1995-Contributions and Grants</v>
      </c>
      <c r="B129" s="23">
        <f>'Trial Balance'!F114</f>
        <v>-3815934.6799999997</v>
      </c>
    </row>
    <row r="130" spans="1:2" ht="15" customHeight="1" thickBot="1">
      <c r="A130" s="36" t="s">
        <v>144</v>
      </c>
      <c r="B130" s="31">
        <f>SUM(B110:B129)</f>
        <v>4300388.130000001</v>
      </c>
    </row>
    <row r="131" spans="1:2" ht="15" customHeight="1">
      <c r="A131" s="27"/>
      <c r="B131" s="12"/>
    </row>
    <row r="132" spans="1:2" ht="15" customHeight="1">
      <c r="A132" s="432" t="s">
        <v>145</v>
      </c>
      <c r="B132" s="432"/>
    </row>
    <row r="133" spans="1:2" ht="15" customHeight="1">
      <c r="A133" s="32" t="str">
        <f>'Trial Balance'!A116&amp;"-"&amp;'Trial Balance'!B116</f>
        <v>2005-Property Under Capital Leases</v>
      </c>
      <c r="B133" s="23">
        <f>'Trial Balance'!F116</f>
        <v>0</v>
      </c>
    </row>
    <row r="134" spans="1:2" ht="15" customHeight="1">
      <c r="A134" s="32" t="str">
        <f>'Trial Balance'!A117&amp;"-"&amp;'Trial Balance'!B117</f>
        <v>2010-Electric Plant Purchased or Sold</v>
      </c>
      <c r="B134" s="23">
        <f>'Trial Balance'!F117</f>
        <v>0</v>
      </c>
    </row>
    <row r="135" spans="1:2" ht="15" customHeight="1">
      <c r="A135" s="32" t="str">
        <f>'Trial Balance'!A118&amp;"-"&amp;'Trial Balance'!B118</f>
        <v>2020-Experimental Electric Plant Unclassified</v>
      </c>
      <c r="B135" s="23">
        <f>'Trial Balance'!F118</f>
        <v>0</v>
      </c>
    </row>
    <row r="136" spans="1:2" ht="15" customHeight="1">
      <c r="A136" s="32" t="str">
        <f>'Trial Balance'!A119&amp;"-"&amp;'Trial Balance'!B119</f>
        <v>2030-Electric Plant and Equipment Leased to Others</v>
      </c>
      <c r="B136" s="23">
        <f>'Trial Balance'!F119</f>
        <v>0</v>
      </c>
    </row>
    <row r="137" spans="1:2" ht="15" customHeight="1">
      <c r="A137" s="32" t="str">
        <f>'Trial Balance'!A120&amp;"-"&amp;'Trial Balance'!B120</f>
        <v>2040-Electric Plant Held for Future Use</v>
      </c>
      <c r="B137" s="23">
        <f>'Trial Balance'!F120</f>
        <v>0</v>
      </c>
    </row>
    <row r="138" spans="1:2" ht="15" customHeight="1">
      <c r="A138" s="32" t="str">
        <f>'Trial Balance'!A121&amp;"-"&amp;'Trial Balance'!B121</f>
        <v>2050-Completed Construction Not Classified--Electric</v>
      </c>
      <c r="B138" s="23">
        <f>'Trial Balance'!F121</f>
        <v>0</v>
      </c>
    </row>
    <row r="139" spans="1:2" ht="15" customHeight="1">
      <c r="A139" s="32" t="str">
        <f>'Trial Balance'!A122&amp;"-"&amp;'Trial Balance'!B122</f>
        <v>2055-Construction Work in Progress--Electric</v>
      </c>
      <c r="B139" s="23">
        <f>'Trial Balance'!F122</f>
        <v>0</v>
      </c>
    </row>
    <row r="140" spans="1:2" ht="15" customHeight="1">
      <c r="A140" s="32" t="str">
        <f>'Trial Balance'!A123&amp;"-"&amp;'Trial Balance'!B123</f>
        <v>2060-Electric Plant Acquisition Adjustment</v>
      </c>
      <c r="B140" s="23">
        <f>'Trial Balance'!F123</f>
        <v>0</v>
      </c>
    </row>
    <row r="141" spans="1:2" ht="15" customHeight="1">
      <c r="A141" s="32" t="str">
        <f>'Trial Balance'!A124&amp;"-"&amp;'Trial Balance'!B124</f>
        <v>2065-Other Electric Plant Adjustment</v>
      </c>
      <c r="B141" s="23">
        <f>'Trial Balance'!F124</f>
        <v>0</v>
      </c>
    </row>
    <row r="142" spans="1:2" ht="15" customHeight="1">
      <c r="A142" s="32" t="str">
        <f>'Trial Balance'!A125&amp;"-"&amp;'Trial Balance'!B125</f>
        <v>2070-Other Utility Plant</v>
      </c>
      <c r="B142" s="23">
        <f>'Trial Balance'!F125</f>
        <v>0</v>
      </c>
    </row>
    <row r="143" spans="1:2" ht="15" customHeight="1" thickBot="1">
      <c r="A143" s="32" t="str">
        <f>'Trial Balance'!A126&amp;"-"&amp;'Trial Balance'!B126</f>
        <v>2075-Non-Utility Property Owned or Under Capital Lease</v>
      </c>
      <c r="B143" s="23">
        <f>'Trial Balance'!F126</f>
        <v>0</v>
      </c>
    </row>
    <row r="144" spans="1:2" ht="15" customHeight="1" thickBot="1">
      <c r="A144" s="36" t="s">
        <v>146</v>
      </c>
      <c r="B144" s="31">
        <f>SUM(B133:B143)</f>
        <v>0</v>
      </c>
    </row>
    <row r="145" spans="1:2" ht="15" customHeight="1">
      <c r="A145" s="27"/>
      <c r="B145" s="12"/>
    </row>
    <row r="146" spans="1:2" ht="15" customHeight="1">
      <c r="A146" s="432" t="s">
        <v>147</v>
      </c>
      <c r="B146" s="432"/>
    </row>
    <row r="147" spans="1:2" ht="15" customHeight="1">
      <c r="A147" s="32" t="str">
        <f>'Trial Balance'!A128&amp;"-"&amp;'Trial Balance'!B128</f>
        <v>2105-Accumulated Amortization of Electric Utility Plant - Property, Plant and Equipment</v>
      </c>
      <c r="B147" s="23">
        <f>'Trial Balance'!F128</f>
        <v>-41790297.62</v>
      </c>
    </row>
    <row r="148" spans="1:2" ht="15" customHeight="1">
      <c r="A148" s="32" t="str">
        <f>'Trial Balance'!A129&amp;"-"&amp;'Trial Balance'!B129</f>
        <v>2120-Accumulated Amortization of Electric Utility Plant - Intangibles</v>
      </c>
      <c r="B148" s="23">
        <f>'Trial Balance'!F129</f>
        <v>0</v>
      </c>
    </row>
    <row r="149" spans="1:2" ht="15" customHeight="1">
      <c r="A149" s="32" t="str">
        <f>'Trial Balance'!A130&amp;"-"&amp;'Trial Balance'!B130</f>
        <v>2140-Accumulated Amortization of Electric Plant Acquisition Adjustment</v>
      </c>
      <c r="B149" s="23">
        <f>'Trial Balance'!F130</f>
        <v>0</v>
      </c>
    </row>
    <row r="150" spans="1:2" ht="15" customHeight="1">
      <c r="A150" s="32" t="str">
        <f>'Trial Balance'!A131&amp;"-"&amp;'Trial Balance'!B131</f>
        <v>2160-Accumulated Amortization of Other Utility Plant</v>
      </c>
      <c r="B150" s="23">
        <f>'Trial Balance'!F131</f>
        <v>0</v>
      </c>
    </row>
    <row r="151" spans="1:2" ht="15" customHeight="1" thickBot="1">
      <c r="A151" s="32" t="str">
        <f>'Trial Balance'!A132&amp;"-"&amp;'Trial Balance'!B132</f>
        <v>2180-Accumulated Amortization of Non-Utility Property</v>
      </c>
      <c r="B151" s="23">
        <f>'Trial Balance'!F132</f>
        <v>0</v>
      </c>
    </row>
    <row r="152" spans="1:2" ht="15" customHeight="1" thickBot="1">
      <c r="A152" s="229" t="s">
        <v>151</v>
      </c>
      <c r="B152" s="228">
        <f>SUM(B147:B151)</f>
        <v>-41790297.62</v>
      </c>
    </row>
    <row r="153" spans="1:2" ht="15" customHeight="1" thickBot="1">
      <c r="A153" s="223"/>
      <c r="B153" s="12"/>
    </row>
    <row r="154" spans="1:2" ht="15" customHeight="1" thickBot="1">
      <c r="A154" s="224" t="s">
        <v>272</v>
      </c>
      <c r="B154" s="225">
        <f>B28+B35+B52+B57+B89+B107+B130+B144+B152</f>
        <v>57344468.279999994</v>
      </c>
    </row>
    <row r="155" spans="1:2" ht="15" customHeight="1">
      <c r="A155" s="28"/>
      <c r="B155" s="12"/>
    </row>
    <row r="156" spans="1:2" ht="15" customHeight="1">
      <c r="A156" s="432" t="s">
        <v>152</v>
      </c>
      <c r="B156" s="432"/>
    </row>
    <row r="157" spans="1:2" ht="15" customHeight="1">
      <c r="A157" s="32" t="str">
        <f>'Trial Balance'!A134&amp;"-"&amp;'Trial Balance'!B134</f>
        <v>2205-Accounts Payable</v>
      </c>
      <c r="B157" s="23">
        <f>-'Trial Balance'!F134</f>
        <v>4592686.33</v>
      </c>
    </row>
    <row r="158" spans="1:2" ht="15" customHeight="1">
      <c r="A158" s="32" t="str">
        <f>'Trial Balance'!A135&amp;"-"&amp;'Trial Balance'!B135</f>
        <v>2208-Customer Credit Balances</v>
      </c>
      <c r="B158" s="23">
        <f>-'Trial Balance'!F135</f>
        <v>1020077.75</v>
      </c>
    </row>
    <row r="159" spans="1:2" ht="15" customHeight="1">
      <c r="A159" s="32" t="str">
        <f>'Trial Balance'!A136&amp;"-"&amp;'Trial Balance'!B136</f>
        <v>2210-Current Portion of Customer Deposits </v>
      </c>
      <c r="B159" s="23">
        <f>-'Trial Balance'!F136</f>
        <v>89720</v>
      </c>
    </row>
    <row r="160" spans="1:2" ht="15" customHeight="1">
      <c r="A160" s="32" t="str">
        <f>'Trial Balance'!A137&amp;"-"&amp;'Trial Balance'!B137</f>
        <v>2215-Dividends Declared</v>
      </c>
      <c r="B160" s="23">
        <f>-'Trial Balance'!F137</f>
        <v>0</v>
      </c>
    </row>
    <row r="161" spans="1:2" ht="15" customHeight="1">
      <c r="A161" s="32" t="str">
        <f>'Trial Balance'!A138&amp;"-"&amp;'Trial Balance'!B138</f>
        <v>2220-Miscellaneous Current and Accrued Liabilities</v>
      </c>
      <c r="B161" s="23">
        <f>-'Trial Balance'!F138</f>
        <v>319452.85</v>
      </c>
    </row>
    <row r="162" spans="1:2" ht="15" customHeight="1">
      <c r="A162" s="32" t="str">
        <f>'Trial Balance'!A139&amp;"-"&amp;'Trial Balance'!B139</f>
        <v>2225-Notes and Loans Payable</v>
      </c>
      <c r="B162" s="23">
        <f>-'Trial Balance'!F139</f>
        <v>0</v>
      </c>
    </row>
    <row r="163" spans="1:2" ht="15" customHeight="1">
      <c r="A163" s="32" t="str">
        <f>'Trial Balance'!A140&amp;"-"&amp;'Trial Balance'!B140</f>
        <v>2240-Accounts Payable to Associated Companies</v>
      </c>
      <c r="B163" s="23">
        <f>-'Trial Balance'!F140</f>
        <v>143531.92</v>
      </c>
    </row>
    <row r="164" spans="1:2" ht="15" customHeight="1">
      <c r="A164" s="32" t="str">
        <f>'Trial Balance'!A141&amp;"-"&amp;'Trial Balance'!B141</f>
        <v>2242-Notes Payable to Associated Companies</v>
      </c>
      <c r="B164" s="23">
        <f>-'Trial Balance'!F141</f>
        <v>0</v>
      </c>
    </row>
    <row r="165" spans="1:2" ht="15" customHeight="1">
      <c r="A165" s="32" t="str">
        <f>'Trial Balance'!A142&amp;"-"&amp;'Trial Balance'!B142</f>
        <v>2250-Competition Transition Charges Payable</v>
      </c>
      <c r="B165" s="23">
        <f>-'Trial Balance'!F142</f>
        <v>0</v>
      </c>
    </row>
    <row r="166" spans="1:2" ht="15" customHeight="1">
      <c r="A166" s="32" t="str">
        <f>'Trial Balance'!A143&amp;"-"&amp;'Trial Balance'!B143</f>
        <v>2252-Transmission Charges Payable</v>
      </c>
      <c r="B166" s="23">
        <f>-'Trial Balance'!F143</f>
        <v>0</v>
      </c>
    </row>
    <row r="167" spans="1:2" ht="15" customHeight="1">
      <c r="A167" s="32" t="str">
        <f>'Trial Balance'!A144&amp;"-"&amp;'Trial Balance'!B144</f>
        <v>2254-Electric Safety Authority Fees Payable</v>
      </c>
      <c r="B167" s="23">
        <f>-'Trial Balance'!F144</f>
        <v>0</v>
      </c>
    </row>
    <row r="168" spans="1:2" ht="15" customHeight="1">
      <c r="A168" s="32" t="str">
        <f>'Trial Balance'!A145&amp;"-"&amp;'Trial Balance'!B145</f>
        <v>2256-Independent Market Operator Fees and Penalties Payable</v>
      </c>
      <c r="B168" s="23">
        <f>-'Trial Balance'!F145</f>
        <v>0</v>
      </c>
    </row>
    <row r="169" spans="1:2" ht="15" customHeight="1">
      <c r="A169" s="32" t="str">
        <f>'Trial Balance'!A146&amp;"-"&amp;'Trial Balance'!B146</f>
        <v>2260-Current Portion of Long Term Debt</v>
      </c>
      <c r="B169" s="23">
        <f>-'Trial Balance'!F146</f>
        <v>0</v>
      </c>
    </row>
    <row r="170" spans="1:2" ht="15" customHeight="1">
      <c r="A170" s="32" t="str">
        <f>'Trial Balance'!A147&amp;"-"&amp;'Trial Balance'!B147</f>
        <v>2262-Ontario Hydro Debt - Current Portion</v>
      </c>
      <c r="B170" s="23">
        <f>-'Trial Balance'!F147</f>
        <v>0</v>
      </c>
    </row>
    <row r="171" spans="1:2" ht="15" customHeight="1">
      <c r="A171" s="32" t="str">
        <f>'Trial Balance'!A148&amp;"-"&amp;'Trial Balance'!B148</f>
        <v>2264-Pensions and Employee Benefits - Current Portion</v>
      </c>
      <c r="B171" s="23">
        <f>-'Trial Balance'!F148</f>
        <v>0</v>
      </c>
    </row>
    <row r="172" spans="1:2" ht="15" customHeight="1">
      <c r="A172" s="32" t="str">
        <f>'Trial Balance'!A149&amp;"-"&amp;'Trial Balance'!B149</f>
        <v>2268-Accrued Interest on Long Term Debt</v>
      </c>
      <c r="B172" s="23">
        <f>-'Trial Balance'!F149</f>
        <v>0.19</v>
      </c>
    </row>
    <row r="173" spans="1:2" ht="15" customHeight="1">
      <c r="A173" s="32" t="str">
        <f>'Trial Balance'!A150&amp;"-"&amp;'Trial Balance'!B150</f>
        <v>2270-Matured Long Term Debt</v>
      </c>
      <c r="B173" s="23">
        <f>-'Trial Balance'!F150</f>
        <v>0</v>
      </c>
    </row>
    <row r="174" spans="1:2" ht="15" customHeight="1">
      <c r="A174" s="32" t="str">
        <f>'Trial Balance'!A151&amp;"-"&amp;'Trial Balance'!B151</f>
        <v>2272-Matured Interest on Long Term Debt</v>
      </c>
      <c r="B174" s="23">
        <f>-'Trial Balance'!F151</f>
        <v>0</v>
      </c>
    </row>
    <row r="175" spans="1:2" ht="15" customHeight="1">
      <c r="A175" s="32" t="str">
        <f>'Trial Balance'!A152&amp;"-"&amp;'Trial Balance'!B152</f>
        <v>2285-Obligations Under Capital Leases--Current</v>
      </c>
      <c r="B175" s="23">
        <f>-'Trial Balance'!F152</f>
        <v>0</v>
      </c>
    </row>
    <row r="176" spans="1:2" ht="15" customHeight="1">
      <c r="A176" s="32" t="str">
        <f>'Trial Balance'!A153&amp;"-"&amp;'Trial Balance'!B153</f>
        <v>2290-Commodity Taxes</v>
      </c>
      <c r="B176" s="23">
        <f>-'Trial Balance'!F153</f>
        <v>171575.96</v>
      </c>
    </row>
    <row r="177" spans="1:2" ht="15" customHeight="1">
      <c r="A177" s="32" t="str">
        <f>'Trial Balance'!A154&amp;"-"&amp;'Trial Balance'!B154</f>
        <v>2292-Payroll Deductions / Expenses Payable</v>
      </c>
      <c r="B177" s="23">
        <f>-'Trial Balance'!F154</f>
        <v>391444.33</v>
      </c>
    </row>
    <row r="178" spans="1:2" ht="15" customHeight="1">
      <c r="A178" s="32" t="str">
        <f>'Trial Balance'!A155&amp;"-"&amp;'Trial Balance'!B155</f>
        <v>2294-Accrual for Taxes, "Payments in Lieu" of Taxes, Etc.</v>
      </c>
      <c r="B178" s="23">
        <f>-'Trial Balance'!F155</f>
        <v>715000</v>
      </c>
    </row>
    <row r="179" spans="1:2" ht="15" customHeight="1" thickBot="1">
      <c r="A179" s="32" t="str">
        <f>'Trial Balance'!A156&amp;"-"&amp;'Trial Balance'!B156</f>
        <v>2296-Future Income Taxes - Current</v>
      </c>
      <c r="B179" s="23">
        <f>-'Trial Balance'!F156</f>
        <v>0</v>
      </c>
    </row>
    <row r="180" spans="1:2" ht="15" customHeight="1" thickBot="1">
      <c r="A180" s="36" t="s">
        <v>540</v>
      </c>
      <c r="B180" s="31">
        <f>SUM(B157:B179)</f>
        <v>7443489.33</v>
      </c>
    </row>
    <row r="181" spans="1:2" ht="15" customHeight="1">
      <c r="A181" s="27"/>
      <c r="B181" s="12"/>
    </row>
    <row r="182" spans="1:2" ht="15" customHeight="1">
      <c r="A182" s="432" t="s">
        <v>541</v>
      </c>
      <c r="B182" s="432"/>
    </row>
    <row r="183" spans="1:2" ht="15" customHeight="1">
      <c r="A183" s="32" t="str">
        <f>'Trial Balance'!A158&amp;"-"&amp;'Trial Balance'!B158</f>
        <v>2305-Accumulated Provision for Injuries and Damages</v>
      </c>
      <c r="B183" s="23">
        <f>-'Trial Balance'!F158</f>
        <v>0</v>
      </c>
    </row>
    <row r="184" spans="1:2" ht="15" customHeight="1">
      <c r="A184" s="32" t="str">
        <f>'Trial Balance'!A159&amp;"-"&amp;'Trial Balance'!B159</f>
        <v>2306-Employee Future Benefits</v>
      </c>
      <c r="B184" s="23">
        <f>-'Trial Balance'!F159</f>
        <v>4112778</v>
      </c>
    </row>
    <row r="185" spans="1:2" ht="15" customHeight="1">
      <c r="A185" s="32" t="str">
        <f>'Trial Balance'!A160&amp;"-"&amp;'Trial Balance'!B160</f>
        <v>2308-Other Pensions - Past Service Liability</v>
      </c>
      <c r="B185" s="23">
        <f>-'Trial Balance'!F160</f>
        <v>0</v>
      </c>
    </row>
    <row r="186" spans="1:2" ht="15" customHeight="1">
      <c r="A186" s="32" t="str">
        <f>'Trial Balance'!A161&amp;"-"&amp;'Trial Balance'!B161</f>
        <v>2310-Vested Sick Leave Liability</v>
      </c>
      <c r="B186" s="23">
        <f>-'Trial Balance'!F161</f>
        <v>0</v>
      </c>
    </row>
    <row r="187" spans="1:2" ht="15" customHeight="1">
      <c r="A187" s="32" t="str">
        <f>'Trial Balance'!A162&amp;"-"&amp;'Trial Balance'!B162</f>
        <v>2315-Accumulated Provision for Rate Refunds</v>
      </c>
      <c r="B187" s="23">
        <f>-'Trial Balance'!F162</f>
        <v>0</v>
      </c>
    </row>
    <row r="188" spans="1:2" ht="15" customHeight="1">
      <c r="A188" s="32" t="str">
        <f>'Trial Balance'!A163&amp;"-"&amp;'Trial Balance'!B163</f>
        <v>2320-Other Miscellaneous Non-Current Liabilities</v>
      </c>
      <c r="B188" s="23">
        <f>-'Trial Balance'!F163</f>
        <v>0</v>
      </c>
    </row>
    <row r="189" spans="1:2" ht="15" customHeight="1">
      <c r="A189" s="32" t="str">
        <f>'Trial Balance'!A164&amp;"-"&amp;'Trial Balance'!B164</f>
        <v>2325-Obligations Under Capital Lease--Non-Current</v>
      </c>
      <c r="B189" s="23">
        <f>-'Trial Balance'!F164</f>
        <v>0</v>
      </c>
    </row>
    <row r="190" spans="1:2" ht="15" customHeight="1">
      <c r="A190" s="32" t="str">
        <f>'Trial Balance'!A165&amp;"-"&amp;'Trial Balance'!B165</f>
        <v>2330-Devolpment Charge Fund</v>
      </c>
      <c r="B190" s="23">
        <f>-'Trial Balance'!F165</f>
        <v>0</v>
      </c>
    </row>
    <row r="191" spans="1:2" ht="15" customHeight="1">
      <c r="A191" s="32" t="str">
        <f>'Trial Balance'!A166&amp;"-"&amp;'Trial Balance'!B166</f>
        <v>2335-Long Term Customer Deposits</v>
      </c>
      <c r="B191" s="23">
        <f>-'Trial Balance'!F166</f>
        <v>927102.1</v>
      </c>
    </row>
    <row r="192" spans="1:2" ht="15" customHeight="1">
      <c r="A192" s="32" t="str">
        <f>'Trial Balance'!A167&amp;"-"&amp;'Trial Balance'!B167</f>
        <v>2340-Collateral Funds Liability</v>
      </c>
      <c r="B192" s="23">
        <f>-'Trial Balance'!F167</f>
        <v>0</v>
      </c>
    </row>
    <row r="193" spans="1:2" ht="15" customHeight="1">
      <c r="A193" s="32" t="str">
        <f>'Trial Balance'!A168&amp;"-"&amp;'Trial Balance'!B168</f>
        <v>2345-Unamortized Premium on Long Term Debt</v>
      </c>
      <c r="B193" s="23">
        <f>-'Trial Balance'!F168</f>
        <v>0</v>
      </c>
    </row>
    <row r="194" spans="1:2" ht="15" customHeight="1">
      <c r="A194" s="32" t="str">
        <f>'Trial Balance'!A169&amp;"-"&amp;'Trial Balance'!B169</f>
        <v>2348-O.M.E.R.S. - Past Service Liability - Long Term Portion</v>
      </c>
      <c r="B194" s="23">
        <f>-'Trial Balance'!F169</f>
        <v>0</v>
      </c>
    </row>
    <row r="195" spans="1:2" ht="15" customHeight="1">
      <c r="A195" s="32" t="str">
        <f>'Trial Balance'!A170&amp;"-"&amp;'Trial Balance'!B170</f>
        <v>2350-Future Income Tax - Non-Current</v>
      </c>
      <c r="B195" s="23">
        <f>-'Trial Balance'!F170</f>
        <v>0</v>
      </c>
    </row>
    <row r="196" spans="1:2" ht="15" customHeight="1">
      <c r="A196" s="32" t="str">
        <f>'Trial Balance'!A172&amp;"-"&amp;'Trial Balance'!B172</f>
        <v>2405-Other Regulatory Liabilities</v>
      </c>
      <c r="B196" s="23">
        <f>-'Trial Balance'!F172</f>
        <v>3350</v>
      </c>
    </row>
    <row r="197" spans="1:2" ht="15" customHeight="1">
      <c r="A197" s="32" t="str">
        <f>'Trial Balance'!A173&amp;"-"&amp;'Trial Balance'!B173</f>
        <v>2410-Deferred Gains From Disposition of Utility Plant</v>
      </c>
      <c r="B197" s="23">
        <f>-'Trial Balance'!F173</f>
        <v>0</v>
      </c>
    </row>
    <row r="198" spans="1:2" ht="15" customHeight="1">
      <c r="A198" s="32" t="str">
        <f>'Trial Balance'!A174&amp;"-"&amp;'Trial Balance'!B174</f>
        <v>2415-Unamortized Gain on Reacquired Debt</v>
      </c>
      <c r="B198" s="23">
        <f>-'Trial Balance'!F174</f>
        <v>0</v>
      </c>
    </row>
    <row r="199" spans="1:2" ht="15" customHeight="1">
      <c r="A199" s="32" t="str">
        <f>'Trial Balance'!A175&amp;"-"&amp;'Trial Balance'!B175</f>
        <v>2425-Other Deferred Credits</v>
      </c>
      <c r="B199" s="23">
        <f>-'Trial Balance'!F175</f>
        <v>0</v>
      </c>
    </row>
    <row r="200" spans="1:2" ht="15" customHeight="1" thickBot="1">
      <c r="A200" s="32" t="str">
        <f>'Trial Balance'!A176&amp;"-"&amp;'Trial Balance'!B176</f>
        <v>2435-Accrued Rate-Payer Benefit</v>
      </c>
      <c r="B200" s="23">
        <f>-'Trial Balance'!F176</f>
        <v>0</v>
      </c>
    </row>
    <row r="201" spans="1:2" ht="15" customHeight="1" thickBot="1">
      <c r="A201" s="36" t="s">
        <v>156</v>
      </c>
      <c r="B201" s="31">
        <f>SUM(B183:B200)</f>
        <v>5043230.1</v>
      </c>
    </row>
    <row r="202" spans="1:2" ht="15" customHeight="1">
      <c r="A202" s="27"/>
      <c r="B202" s="12"/>
    </row>
    <row r="203" spans="1:2" ht="15" customHeight="1">
      <c r="A203" s="432" t="s">
        <v>157</v>
      </c>
      <c r="B203" s="432"/>
    </row>
    <row r="204" spans="1:2" ht="15" customHeight="1">
      <c r="A204" s="32" t="str">
        <f>'Trial Balance'!A178&amp;"-"&amp;'Trial Balance'!B178</f>
        <v>2505-Debentures Outstanding - Long Term Portion</v>
      </c>
      <c r="B204" s="23">
        <f>-'Trial Balance'!F178</f>
        <v>0</v>
      </c>
    </row>
    <row r="205" spans="1:2" ht="15" customHeight="1">
      <c r="A205" s="32" t="str">
        <f>'Trial Balance'!A179&amp;"-"&amp;'Trial Balance'!B179</f>
        <v>2510-Debenture Advances</v>
      </c>
      <c r="B205" s="23">
        <f>-'Trial Balance'!F179</f>
        <v>0</v>
      </c>
    </row>
    <row r="206" spans="1:2" ht="15" customHeight="1">
      <c r="A206" s="32" t="str">
        <f>'Trial Balance'!A180&amp;"-"&amp;'Trial Balance'!B180</f>
        <v>2515-Required Bonds</v>
      </c>
      <c r="B206" s="23">
        <f>-'Trial Balance'!F180</f>
        <v>0</v>
      </c>
    </row>
    <row r="207" spans="1:2" ht="15" customHeight="1">
      <c r="A207" s="32" t="str">
        <f>'Trial Balance'!A181&amp;"-"&amp;'Trial Balance'!B181</f>
        <v>2520-Other Long Term Debt</v>
      </c>
      <c r="B207" s="23">
        <f>-'Trial Balance'!F181</f>
        <v>0</v>
      </c>
    </row>
    <row r="208" spans="1:2" ht="15" customHeight="1">
      <c r="A208" s="32" t="str">
        <f>'Trial Balance'!A182&amp;"-"&amp;'Trial Balance'!B182</f>
        <v>2525-Term Bank Loans - Long Term Portion</v>
      </c>
      <c r="B208" s="23">
        <f>-'Trial Balance'!F182</f>
        <v>0</v>
      </c>
    </row>
    <row r="209" spans="1:2" ht="15" customHeight="1">
      <c r="A209" s="32" t="str">
        <f>'Trial Balance'!A183&amp;"-"&amp;'Trial Balance'!B183</f>
        <v>2530-Ontario Hydro Debt Outstanding - Long Term Portion</v>
      </c>
      <c r="B209" s="23">
        <f>-'Trial Balance'!F183</f>
        <v>0</v>
      </c>
    </row>
    <row r="210" spans="1:2" ht="15" customHeight="1" thickBot="1">
      <c r="A210" s="32" t="str">
        <f>'Trial Balance'!A184&amp;"-"&amp;'Trial Balance'!B184</f>
        <v>2550-Advances from Associated Companies</v>
      </c>
      <c r="B210" s="23">
        <f>-'Trial Balance'!F184</f>
        <v>19511601</v>
      </c>
    </row>
    <row r="211" spans="1:2" ht="15" customHeight="1" thickBot="1">
      <c r="A211" s="36" t="s">
        <v>158</v>
      </c>
      <c r="B211" s="31">
        <f>SUM(B204:B210)</f>
        <v>19511601</v>
      </c>
    </row>
    <row r="212" spans="1:2" ht="15" customHeight="1">
      <c r="A212" s="27"/>
      <c r="B212" s="12"/>
    </row>
    <row r="213" spans="1:2" ht="15" customHeight="1">
      <c r="A213" s="432" t="s">
        <v>159</v>
      </c>
      <c r="B213" s="432"/>
    </row>
    <row r="214" spans="1:2" ht="15" customHeight="1">
      <c r="A214" s="32" t="str">
        <f>'Trial Balance'!A186&amp;"-"&amp;'Trial Balance'!B186</f>
        <v>3005-Common Shares Issued</v>
      </c>
      <c r="B214" s="23">
        <f>-'Trial Balance'!F186</f>
        <v>19511601</v>
      </c>
    </row>
    <row r="215" spans="1:2" ht="15" customHeight="1">
      <c r="A215" s="32" t="str">
        <f>'Trial Balance'!A187&amp;"-"&amp;'Trial Balance'!B187</f>
        <v>3008-Preference Shares Issued</v>
      </c>
      <c r="B215" s="23">
        <f>-'Trial Balance'!F187</f>
        <v>0</v>
      </c>
    </row>
    <row r="216" spans="1:2" ht="15" customHeight="1">
      <c r="A216" s="32" t="str">
        <f>'Trial Balance'!A188&amp;"-"&amp;'Trial Balance'!B188</f>
        <v>3010-Contributed Surplus</v>
      </c>
      <c r="B216" s="23">
        <f>-'Trial Balance'!F188</f>
        <v>0</v>
      </c>
    </row>
    <row r="217" spans="1:2" ht="15" customHeight="1">
      <c r="A217" s="32" t="str">
        <f>'Trial Balance'!A189&amp;"-"&amp;'Trial Balance'!B189</f>
        <v>3020-Donations Received</v>
      </c>
      <c r="B217" s="23">
        <f>-'Trial Balance'!F189</f>
        <v>0</v>
      </c>
    </row>
    <row r="218" spans="1:2" ht="15" customHeight="1">
      <c r="A218" s="32" t="str">
        <f>'Trial Balance'!A190&amp;"-"&amp;'Trial Balance'!B190</f>
        <v>3022-Devolpment Charges Transferred to Equity</v>
      </c>
      <c r="B218" s="23">
        <f>-'Trial Balance'!F190</f>
        <v>0</v>
      </c>
    </row>
    <row r="219" spans="1:2" ht="15" customHeight="1">
      <c r="A219" s="32" t="str">
        <f>'Trial Balance'!A191&amp;"-"&amp;'Trial Balance'!B191</f>
        <v>3026-Capital Stock Held in Treasury</v>
      </c>
      <c r="B219" s="23">
        <f>-'Trial Balance'!F191</f>
        <v>0</v>
      </c>
    </row>
    <row r="220" spans="1:2" ht="15" customHeight="1">
      <c r="A220" s="32" t="str">
        <f>'Trial Balance'!A192&amp;"-"&amp;'Trial Balance'!B192</f>
        <v>3030-Miscellaneous Paid-In Capital</v>
      </c>
      <c r="B220" s="23">
        <f>-'Trial Balance'!F192</f>
        <v>0</v>
      </c>
    </row>
    <row r="221" spans="1:2" ht="15" customHeight="1">
      <c r="A221" s="32" t="str">
        <f>'Trial Balance'!A193&amp;"-"&amp;'Trial Balance'!B193</f>
        <v>3035-Installments Received on Capital Stock</v>
      </c>
      <c r="B221" s="23">
        <f>-'Trial Balance'!F193</f>
        <v>0</v>
      </c>
    </row>
    <row r="222" spans="1:2" ht="15" customHeight="1">
      <c r="A222" s="32" t="str">
        <f>'Trial Balance'!A194&amp;"-"&amp;'Trial Balance'!B194</f>
        <v>3040-Appropriated Retained Earnings</v>
      </c>
      <c r="B222" s="23">
        <f>-'Trial Balance'!F194</f>
        <v>0</v>
      </c>
    </row>
    <row r="223" spans="1:2" ht="15" customHeight="1">
      <c r="A223" s="32" t="str">
        <f>'Trial Balance'!A195&amp;"-"&amp;'Trial Balance'!B195</f>
        <v>3045-Unappropriated Retained Earnings</v>
      </c>
      <c r="B223" s="23">
        <f>-'Trial Balance'!F195</f>
        <v>4474616.19</v>
      </c>
    </row>
    <row r="224" spans="1:3" ht="15" customHeight="1">
      <c r="A224" s="32" t="s">
        <v>563</v>
      </c>
      <c r="B224" s="320">
        <f>-'2007 Income Statement'!B214</f>
        <v>1359930.6599999946</v>
      </c>
      <c r="C224" s="21" t="s">
        <v>544</v>
      </c>
    </row>
    <row r="225" spans="1:2" ht="15" customHeight="1">
      <c r="A225" s="32" t="str">
        <f>'Trial Balance'!A197&amp;"-"&amp;'Trial Balance'!B197</f>
        <v>3047-Appropriations of Retained Earnings - Current Period</v>
      </c>
      <c r="B225" s="23">
        <f>-'Trial Balance'!F197</f>
        <v>0</v>
      </c>
    </row>
    <row r="226" spans="1:2" ht="15" customHeight="1">
      <c r="A226" s="32" t="str">
        <f>'Trial Balance'!A198&amp;"-"&amp;'Trial Balance'!B198</f>
        <v>3048-Dividends Payable-Preference Shares</v>
      </c>
      <c r="B226" s="23">
        <f>-'Trial Balance'!F198</f>
        <v>0</v>
      </c>
    </row>
    <row r="227" spans="1:2" ht="15" customHeight="1">
      <c r="A227" s="32" t="str">
        <f>'Trial Balance'!A199&amp;"-"&amp;'Trial Balance'!B199</f>
        <v>3049-Dividends Payable-Common Shares</v>
      </c>
      <c r="B227" s="23">
        <f>-'Trial Balance'!F199</f>
        <v>0</v>
      </c>
    </row>
    <row r="228" spans="1:2" ht="15" customHeight="1">
      <c r="A228" s="32" t="str">
        <f>'Trial Balance'!A200&amp;"-"&amp;'Trial Balance'!B200</f>
        <v>3055-Adjustment to Retained Earnings                 </v>
      </c>
      <c r="B228" s="23">
        <f>-'Trial Balance'!F200</f>
        <v>0</v>
      </c>
    </row>
    <row r="229" spans="1:2" ht="15" customHeight="1" thickBot="1">
      <c r="A229" s="32" t="str">
        <f>'Trial Balance'!A201&amp;"-"&amp;'Trial Balance'!B201</f>
        <v>3065-Unappropriated Undistributed Subsidiary Earnings</v>
      </c>
      <c r="B229" s="23">
        <f>-'Trial Balance'!F201</f>
        <v>0</v>
      </c>
    </row>
    <row r="230" spans="1:2" ht="15" customHeight="1" thickBot="1">
      <c r="A230" s="34" t="s">
        <v>564</v>
      </c>
      <c r="B230" s="31">
        <f>SUM(B214:B229)</f>
        <v>25346147.849999994</v>
      </c>
    </row>
    <row r="231" spans="1:2" s="13" customFormat="1" ht="15" customHeight="1">
      <c r="A231" s="28"/>
      <c r="B231" s="12"/>
    </row>
    <row r="232" spans="1:2" s="13" customFormat="1" ht="15" customHeight="1">
      <c r="A232" s="226" t="s">
        <v>282</v>
      </c>
      <c r="B232" s="227">
        <f>B180+B201+B211+B230</f>
        <v>57344468.279999994</v>
      </c>
    </row>
    <row r="233" spans="1:2" s="13" customFormat="1" ht="15" customHeight="1" thickBot="1">
      <c r="A233" s="28"/>
      <c r="B233" s="12"/>
    </row>
    <row r="234" spans="1:2" ht="15" customHeight="1" thickBot="1">
      <c r="A234" s="37" t="s">
        <v>281</v>
      </c>
      <c r="B234" s="254">
        <f>B154-B232</f>
        <v>0</v>
      </c>
    </row>
    <row r="235" spans="1:2" ht="15">
      <c r="A235" s="29"/>
      <c r="B235" s="10"/>
    </row>
    <row r="236" spans="1:2" ht="15">
      <c r="A236" s="29"/>
      <c r="B236" s="316"/>
    </row>
    <row r="237" spans="1:2" ht="15">
      <c r="A237" s="29"/>
      <c r="B237" s="10"/>
    </row>
    <row r="238" spans="1:2" ht="15">
      <c r="A238" s="29"/>
      <c r="B238" s="10"/>
    </row>
    <row r="239" spans="1:2" ht="15">
      <c r="A239" s="29"/>
      <c r="B239" s="10"/>
    </row>
    <row r="240" spans="1:2" ht="15">
      <c r="A240" s="29"/>
      <c r="B240" s="10"/>
    </row>
    <row r="241" spans="1:2" ht="15">
      <c r="A241" s="29"/>
      <c r="B241" s="10"/>
    </row>
    <row r="242" spans="1:2" ht="15">
      <c r="A242" s="29"/>
      <c r="B242" s="10"/>
    </row>
    <row r="243" spans="1:2" ht="15">
      <c r="A243" s="29"/>
      <c r="B243" s="10"/>
    </row>
    <row r="244" spans="1:2" ht="15">
      <c r="A244" s="29"/>
      <c r="B244" s="10"/>
    </row>
    <row r="245" spans="1:2" ht="15">
      <c r="A245" s="29"/>
      <c r="B245" s="10"/>
    </row>
    <row r="246" spans="1:2" ht="15">
      <c r="A246" s="29"/>
      <c r="B246" s="10"/>
    </row>
    <row r="247" spans="1:2" ht="15">
      <c r="A247" s="29"/>
      <c r="B247" s="10"/>
    </row>
    <row r="248" spans="1:2" ht="15">
      <c r="A248" s="29"/>
      <c r="B248" s="10"/>
    </row>
    <row r="249" spans="1:2" ht="15">
      <c r="A249" s="29"/>
      <c r="B249" s="10"/>
    </row>
    <row r="250" spans="1:2" ht="15">
      <c r="A250" s="29"/>
      <c r="B250" s="10"/>
    </row>
    <row r="251" spans="1:2" ht="15">
      <c r="A251" s="29"/>
      <c r="B251" s="10"/>
    </row>
    <row r="252" spans="1:2" ht="15">
      <c r="A252" s="29"/>
      <c r="B252" s="10"/>
    </row>
    <row r="253" spans="1:2" ht="15">
      <c r="A253" s="29"/>
      <c r="B253" s="10"/>
    </row>
    <row r="254" spans="1:2" ht="15">
      <c r="A254" s="29"/>
      <c r="B254" s="10"/>
    </row>
    <row r="255" spans="1:2" ht="15">
      <c r="A255" s="29"/>
      <c r="B255" s="10"/>
    </row>
    <row r="256" spans="1:2" ht="15">
      <c r="A256" s="29"/>
      <c r="B256" s="10"/>
    </row>
    <row r="257" spans="1:2" ht="15">
      <c r="A257" s="29"/>
      <c r="B257" s="10"/>
    </row>
    <row r="258" spans="1:2" ht="15">
      <c r="A258" s="29"/>
      <c r="B258" s="10"/>
    </row>
    <row r="259" spans="1:2" ht="15">
      <c r="A259" s="29"/>
      <c r="B259" s="10"/>
    </row>
    <row r="260" spans="1:2" ht="15">
      <c r="A260" s="29"/>
      <c r="B260" s="10"/>
    </row>
    <row r="261" spans="1:2" ht="15">
      <c r="A261" s="29"/>
      <c r="B261" s="10"/>
    </row>
    <row r="262" spans="1:2" ht="15">
      <c r="A262" s="29"/>
      <c r="B262" s="10"/>
    </row>
    <row r="263" spans="1:2" ht="15">
      <c r="A263" s="29"/>
      <c r="B263" s="10"/>
    </row>
    <row r="264" spans="1:2" ht="15">
      <c r="A264" s="29"/>
      <c r="B264" s="10"/>
    </row>
    <row r="265" spans="1:2" ht="15">
      <c r="A265" s="29"/>
      <c r="B265" s="10"/>
    </row>
    <row r="266" spans="1:2" ht="15">
      <c r="A266" s="29"/>
      <c r="B266" s="10"/>
    </row>
    <row r="267" spans="1:2" ht="15">
      <c r="A267" s="29"/>
      <c r="B267" s="10"/>
    </row>
    <row r="268" spans="1:2" ht="15">
      <c r="A268" s="29"/>
      <c r="B268" s="10"/>
    </row>
    <row r="269" spans="1:2" ht="15">
      <c r="A269" s="29"/>
      <c r="B269" s="10"/>
    </row>
    <row r="270" spans="1:2" ht="15">
      <c r="A270" s="29"/>
      <c r="B270" s="10"/>
    </row>
    <row r="271" spans="1:2" ht="15">
      <c r="A271" s="29"/>
      <c r="B271" s="10"/>
    </row>
    <row r="272" spans="1:2" ht="15">
      <c r="A272" s="29"/>
      <c r="B272" s="10"/>
    </row>
    <row r="273" spans="1:2" ht="15">
      <c r="A273" s="29"/>
      <c r="B273" s="10"/>
    </row>
    <row r="274" spans="1:2" ht="15">
      <c r="A274" s="29"/>
      <c r="B274" s="10"/>
    </row>
    <row r="275" spans="1:2" ht="15">
      <c r="A275" s="29"/>
      <c r="B275" s="10"/>
    </row>
    <row r="276" spans="1:2" ht="15">
      <c r="A276" s="29"/>
      <c r="B276" s="10"/>
    </row>
    <row r="277" spans="1:2" ht="15">
      <c r="A277" s="29"/>
      <c r="B277" s="10"/>
    </row>
    <row r="278" spans="1:2" ht="15">
      <c r="A278" s="29"/>
      <c r="B278" s="10"/>
    </row>
    <row r="279" spans="1:2" ht="15">
      <c r="A279" s="29"/>
      <c r="B279" s="10"/>
    </row>
    <row r="280" spans="1:2" ht="15">
      <c r="A280" s="29"/>
      <c r="B280" s="10"/>
    </row>
    <row r="281" spans="1:2" ht="15">
      <c r="A281" s="29"/>
      <c r="B281" s="10"/>
    </row>
    <row r="282" spans="1:2" ht="15">
      <c r="A282" s="29"/>
      <c r="B282" s="10"/>
    </row>
    <row r="283" spans="1:2" ht="15">
      <c r="A283" s="29"/>
      <c r="B283" s="10"/>
    </row>
    <row r="284" spans="1:2" ht="15">
      <c r="A284" s="29"/>
      <c r="B284" s="10"/>
    </row>
    <row r="285" spans="1:2" ht="15">
      <c r="A285" s="29"/>
      <c r="B285" s="10"/>
    </row>
    <row r="286" spans="1:2" ht="15">
      <c r="A286" s="29"/>
      <c r="B286" s="10"/>
    </row>
    <row r="287" spans="1:2" ht="15">
      <c r="A287" s="29"/>
      <c r="B287" s="10"/>
    </row>
    <row r="288" spans="1:2" ht="15">
      <c r="A288" s="29"/>
      <c r="B288" s="10"/>
    </row>
    <row r="289" spans="1:2" ht="15">
      <c r="A289" s="29"/>
      <c r="B289" s="10"/>
    </row>
    <row r="290" spans="1:2" ht="15">
      <c r="A290" s="29"/>
      <c r="B290" s="10"/>
    </row>
    <row r="291" spans="1:2" ht="15">
      <c r="A291" s="29"/>
      <c r="B291" s="10"/>
    </row>
    <row r="292" spans="1:2" ht="15">
      <c r="A292" s="29"/>
      <c r="B292" s="10"/>
    </row>
    <row r="293" spans="1:2" ht="15">
      <c r="A293" s="29"/>
      <c r="B293" s="10"/>
    </row>
    <row r="294" spans="1:2" ht="15">
      <c r="A294" s="29"/>
      <c r="B294" s="10"/>
    </row>
    <row r="295" spans="1:2" ht="15">
      <c r="A295" s="29"/>
      <c r="B295" s="10"/>
    </row>
    <row r="296" spans="1:2" ht="15">
      <c r="A296" s="29"/>
      <c r="B296" s="10"/>
    </row>
    <row r="297" spans="1:2" ht="15">
      <c r="A297" s="29"/>
      <c r="B297" s="10"/>
    </row>
    <row r="298" spans="1:2" ht="15">
      <c r="A298" s="29"/>
      <c r="B298" s="10"/>
    </row>
    <row r="299" spans="1:2" ht="15">
      <c r="A299" s="29"/>
      <c r="B299" s="10"/>
    </row>
    <row r="300" spans="1:2" ht="15">
      <c r="A300" s="29"/>
      <c r="B300" s="10"/>
    </row>
    <row r="301" spans="1:2" ht="15">
      <c r="A301" s="29"/>
      <c r="B301" s="10"/>
    </row>
    <row r="302" spans="1:2" ht="15">
      <c r="A302" s="29"/>
      <c r="B302" s="10"/>
    </row>
    <row r="303" spans="1:2" ht="15">
      <c r="A303" s="29"/>
      <c r="B303" s="10"/>
    </row>
    <row r="304" spans="1:2" ht="15">
      <c r="A304" s="29"/>
      <c r="B304" s="10"/>
    </row>
    <row r="305" spans="1:2" ht="15">
      <c r="A305" s="29"/>
      <c r="B305" s="10"/>
    </row>
    <row r="306" spans="1:2" ht="15">
      <c r="A306" s="29"/>
      <c r="B306" s="10"/>
    </row>
    <row r="307" spans="1:2" ht="15">
      <c r="A307" s="29"/>
      <c r="B307" s="10"/>
    </row>
    <row r="308" spans="1:2" ht="15">
      <c r="A308" s="29"/>
      <c r="B308" s="10"/>
    </row>
    <row r="309" spans="1:2" ht="15">
      <c r="A309" s="29"/>
      <c r="B309" s="10"/>
    </row>
    <row r="310" spans="1:2" ht="15">
      <c r="A310" s="29"/>
      <c r="B310" s="10"/>
    </row>
    <row r="311" spans="1:2" ht="15">
      <c r="A311" s="29"/>
      <c r="B311" s="10"/>
    </row>
    <row r="312" spans="1:2" ht="15">
      <c r="A312" s="29"/>
      <c r="B312" s="10"/>
    </row>
    <row r="313" spans="1:2" ht="15">
      <c r="A313" s="29"/>
      <c r="B313" s="10"/>
    </row>
    <row r="314" spans="1:2" ht="15">
      <c r="A314" s="29"/>
      <c r="B314" s="10"/>
    </row>
    <row r="315" spans="1:2" ht="15">
      <c r="A315" s="29"/>
      <c r="B315" s="10"/>
    </row>
    <row r="316" spans="1:2" ht="15">
      <c r="A316" s="29"/>
      <c r="B316" s="10"/>
    </row>
    <row r="317" spans="1:2" ht="15">
      <c r="A317" s="29"/>
      <c r="B317" s="10"/>
    </row>
    <row r="318" spans="1:2" ht="15">
      <c r="A318" s="29"/>
      <c r="B318" s="10"/>
    </row>
    <row r="319" spans="1:2" ht="15">
      <c r="A319" s="29"/>
      <c r="B319" s="10"/>
    </row>
    <row r="320" spans="1:2" ht="15">
      <c r="A320" s="29"/>
      <c r="B320" s="10"/>
    </row>
    <row r="321" spans="1:2" ht="15">
      <c r="A321" s="29"/>
      <c r="B321" s="10"/>
    </row>
    <row r="322" spans="1:2" ht="15">
      <c r="A322" s="29"/>
      <c r="B322" s="10"/>
    </row>
    <row r="323" spans="1:2" ht="15">
      <c r="A323" s="29"/>
      <c r="B323" s="10"/>
    </row>
    <row r="324" spans="1:2" ht="15">
      <c r="A324" s="29"/>
      <c r="B324" s="10"/>
    </row>
    <row r="325" spans="1:2" ht="15">
      <c r="A325" s="29"/>
      <c r="B325" s="10"/>
    </row>
    <row r="326" spans="1:2" ht="15">
      <c r="A326" s="29"/>
      <c r="B326" s="10"/>
    </row>
    <row r="327" spans="1:2" ht="15">
      <c r="A327" s="29"/>
      <c r="B327" s="10"/>
    </row>
    <row r="328" spans="1:2" ht="15">
      <c r="A328" s="29"/>
      <c r="B328" s="10"/>
    </row>
    <row r="329" spans="1:2" ht="15">
      <c r="A329" s="29"/>
      <c r="B329" s="10"/>
    </row>
    <row r="330" spans="1:2" ht="15">
      <c r="A330" s="29"/>
      <c r="B330" s="10"/>
    </row>
    <row r="331" spans="1:2" ht="15">
      <c r="A331" s="29"/>
      <c r="B331" s="10"/>
    </row>
    <row r="332" spans="1:2" ht="15">
      <c r="A332" s="29"/>
      <c r="B332" s="10"/>
    </row>
    <row r="333" spans="1:2" ht="15">
      <c r="A333" s="29"/>
      <c r="B333" s="10"/>
    </row>
    <row r="334" spans="1:2" ht="15">
      <c r="A334" s="29"/>
      <c r="B334" s="10"/>
    </row>
    <row r="335" spans="1:2" ht="15">
      <c r="A335" s="29"/>
      <c r="B335" s="10"/>
    </row>
    <row r="336" spans="1:2" ht="15">
      <c r="A336" s="29"/>
      <c r="B336" s="10"/>
    </row>
    <row r="337" spans="1:2" ht="15">
      <c r="A337" s="29"/>
      <c r="B337" s="10"/>
    </row>
    <row r="338" spans="1:2" ht="15">
      <c r="A338" s="29"/>
      <c r="B338" s="10"/>
    </row>
    <row r="339" spans="1:2" ht="15">
      <c r="A339" s="29"/>
      <c r="B339" s="10"/>
    </row>
    <row r="340" spans="1:2" ht="15">
      <c r="A340" s="29"/>
      <c r="B340" s="10"/>
    </row>
    <row r="341" spans="1:2" ht="15">
      <c r="A341" s="29"/>
      <c r="B341" s="10"/>
    </row>
    <row r="342" spans="1:2" ht="15">
      <c r="A342" s="29"/>
      <c r="B342" s="10"/>
    </row>
    <row r="343" spans="1:2" ht="15">
      <c r="A343" s="29"/>
      <c r="B343" s="10"/>
    </row>
    <row r="344" spans="1:2" ht="15">
      <c r="A344" s="29"/>
      <c r="B344" s="10"/>
    </row>
    <row r="345" spans="1:2" ht="15">
      <c r="A345" s="29"/>
      <c r="B345" s="10"/>
    </row>
    <row r="346" spans="1:2" ht="15">
      <c r="A346" s="29"/>
      <c r="B346" s="10"/>
    </row>
    <row r="347" spans="1:2" ht="15">
      <c r="A347" s="29"/>
      <c r="B347" s="10"/>
    </row>
    <row r="348" spans="1:2" ht="15">
      <c r="A348" s="29"/>
      <c r="B348" s="10"/>
    </row>
    <row r="349" spans="1:2" ht="15">
      <c r="A349" s="29"/>
      <c r="B349" s="10"/>
    </row>
    <row r="350" spans="1:2" ht="15">
      <c r="A350" s="29"/>
      <c r="B350" s="10"/>
    </row>
    <row r="351" spans="1:2" ht="15">
      <c r="A351" s="29"/>
      <c r="B351" s="10"/>
    </row>
    <row r="352" spans="1:2" ht="15">
      <c r="A352" s="29"/>
      <c r="B352" s="10"/>
    </row>
    <row r="353" spans="1:2" ht="15">
      <c r="A353" s="29"/>
      <c r="B353" s="10"/>
    </row>
  </sheetData>
  <mergeCells count="18">
    <mergeCell ref="A30:B30"/>
    <mergeCell ref="A1:B1"/>
    <mergeCell ref="A2:B2"/>
    <mergeCell ref="A37:B37"/>
    <mergeCell ref="A3:B3"/>
    <mergeCell ref="A4:B4"/>
    <mergeCell ref="A6:B6"/>
    <mergeCell ref="A29:B29"/>
    <mergeCell ref="A54:B54"/>
    <mergeCell ref="A213:B213"/>
    <mergeCell ref="A146:B146"/>
    <mergeCell ref="A156:B156"/>
    <mergeCell ref="A182:B182"/>
    <mergeCell ref="A203:B203"/>
    <mergeCell ref="A59:B59"/>
    <mergeCell ref="A91:B91"/>
    <mergeCell ref="A109:B109"/>
    <mergeCell ref="A132:B132"/>
  </mergeCells>
  <printOptions/>
  <pageMargins left="0.5511811023622047" right="0.35433070866141736" top="0.984251968503937" bottom="0.984251968503937" header="0.5118110236220472" footer="0.5118110236220472"/>
  <pageSetup fitToHeight="5" horizontalDpi="355" verticalDpi="355" orientation="portrait" scale="76" r:id="rId1"/>
  <headerFooter alignWithMargins="0">
    <oddFooter>&amp;L&amp;A</oddFooter>
  </headerFooter>
  <rowBreaks count="4" manualBreakCount="4">
    <brk id="58" max="255" man="1"/>
    <brk id="108" max="255" man="1"/>
    <brk id="155" max="255" man="1"/>
    <brk id="20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0"/>
  <sheetViews>
    <sheetView workbookViewId="0" topLeftCell="A1">
      <selection activeCell="A1" sqref="A1:B1"/>
    </sheetView>
  </sheetViews>
  <sheetFormatPr defaultColWidth="9.140625" defaultRowHeight="12.75"/>
  <cols>
    <col min="1" max="1" width="72.28125" style="0" customWidth="1"/>
    <col min="2" max="2" width="21.8515625" style="0" customWidth="1"/>
    <col min="5" max="5" width="3.57421875" style="0" customWidth="1"/>
    <col min="6" max="6" width="2.421875" style="0" customWidth="1"/>
    <col min="7" max="7" width="14.57421875" style="0" bestFit="1" customWidth="1"/>
  </cols>
  <sheetData>
    <row r="1" spans="1:2" ht="12.75">
      <c r="A1" s="441" t="str">
        <f>'Trial Balance'!A1:J1</f>
        <v>North Bay Hydro Distribution Ltd.</v>
      </c>
      <c r="B1" s="441"/>
    </row>
    <row r="2" spans="1:2" ht="12.75">
      <c r="A2" s="441" t="str">
        <f>'Trial Balance'!A2:J2</f>
        <v>License Number ED-2003-0024, File Number EB-2009-0270</v>
      </c>
      <c r="B2" s="441"/>
    </row>
    <row r="3" spans="1:2" s="25" customFormat="1" ht="15.75">
      <c r="A3" s="433" t="str">
        <f>Notes!B4</f>
        <v>North Bay Hydro Distribution Ltd.</v>
      </c>
      <c r="B3" s="433"/>
    </row>
    <row r="4" spans="1:2" s="25" customFormat="1" ht="15.75">
      <c r="A4" s="427" t="s">
        <v>162</v>
      </c>
      <c r="B4" s="427"/>
    </row>
    <row r="5" spans="1:2" ht="15" customHeight="1">
      <c r="A5" s="72" t="s">
        <v>545</v>
      </c>
      <c r="B5" s="72" t="s">
        <v>153</v>
      </c>
    </row>
    <row r="6" spans="1:2" ht="15" customHeight="1">
      <c r="A6" s="428" t="s">
        <v>141</v>
      </c>
      <c r="B6" s="428"/>
    </row>
    <row r="7" spans="1:7" ht="15" customHeight="1">
      <c r="A7" s="32" t="str">
        <f>'Trial Balance'!A203&amp;"-"&amp;'Trial Balance'!B203</f>
        <v>4006-Residential Energy Sales</v>
      </c>
      <c r="B7" s="23">
        <f>'Trial Balance'!F203</f>
        <v>-11016848.657567218</v>
      </c>
      <c r="D7" s="14"/>
      <c r="E7" s="15"/>
      <c r="F7" s="16"/>
      <c r="G7" s="18"/>
    </row>
    <row r="8" spans="1:7" ht="15" customHeight="1">
      <c r="A8" s="32" t="str">
        <f>'Trial Balance'!A204&amp;"-"&amp;'Trial Balance'!B204</f>
        <v>4010-Commercial Energy Sales</v>
      </c>
      <c r="B8" s="23">
        <f>'Trial Balance'!F204</f>
        <v>-5241082.269869311</v>
      </c>
      <c r="D8" s="14"/>
      <c r="E8" s="15"/>
      <c r="F8" s="16"/>
      <c r="G8" s="18"/>
    </row>
    <row r="9" spans="1:7" ht="15" customHeight="1">
      <c r="A9" s="32" t="str">
        <f>'Trial Balance'!A205&amp;"-"&amp;'Trial Balance'!B205</f>
        <v>4015-Industrial Energy Sales</v>
      </c>
      <c r="B9" s="23">
        <f>'Trial Balance'!F205</f>
        <v>0</v>
      </c>
      <c r="D9" s="14"/>
      <c r="E9" s="15"/>
      <c r="F9" s="16"/>
      <c r="G9" s="18"/>
    </row>
    <row r="10" spans="1:7" ht="15" customHeight="1">
      <c r="A10" s="32" t="str">
        <f>'Trial Balance'!A206&amp;"-"&amp;'Trial Balance'!B206</f>
        <v>4020-Energy Sales to Large Users</v>
      </c>
      <c r="B10" s="23">
        <f>'Trial Balance'!F206</f>
        <v>0</v>
      </c>
      <c r="D10" s="14"/>
      <c r="E10" s="15"/>
      <c r="F10" s="16"/>
      <c r="G10" s="18"/>
    </row>
    <row r="11" spans="1:7" ht="15" customHeight="1">
      <c r="A11" s="32" t="str">
        <f>'Trial Balance'!A207&amp;"-"&amp;'Trial Balance'!B207</f>
        <v>4025-Street Lighting Energy Sales</v>
      </c>
      <c r="B11" s="23">
        <f>'Trial Balance'!F207</f>
        <v>-233601.525750669</v>
      </c>
      <c r="D11" s="14"/>
      <c r="E11" s="15"/>
      <c r="F11" s="16"/>
      <c r="G11" s="18"/>
    </row>
    <row r="12" spans="1:7" ht="15" customHeight="1">
      <c r="A12" s="32" t="str">
        <f>'Trial Balance'!A208&amp;"-"&amp;'Trial Balance'!B208</f>
        <v>4030-Sentinel Energy Sales</v>
      </c>
      <c r="B12" s="23">
        <f>'Trial Balance'!F208</f>
        <v>-27520.97</v>
      </c>
      <c r="D12" s="14"/>
      <c r="E12" s="15"/>
      <c r="F12" s="16"/>
      <c r="G12" s="18"/>
    </row>
    <row r="13" spans="1:7" ht="15" customHeight="1">
      <c r="A13" s="32" t="str">
        <f>'Trial Balance'!A209&amp;"-"&amp;'Trial Balance'!B209</f>
        <v>4035-General Energy Sales</v>
      </c>
      <c r="B13" s="23">
        <f>'Trial Balance'!F209</f>
        <v>-11624295.240474284</v>
      </c>
      <c r="D13" s="14"/>
      <c r="E13" s="15"/>
      <c r="F13" s="16"/>
      <c r="G13" s="18"/>
    </row>
    <row r="14" spans="1:7" ht="15" customHeight="1">
      <c r="A14" s="32" t="str">
        <f>'Trial Balance'!A210&amp;"-"&amp;'Trial Balance'!B210</f>
        <v>4040-Other Energy Sales to Public Authorities</v>
      </c>
      <c r="B14" s="23">
        <f>'Trial Balance'!F210</f>
        <v>0</v>
      </c>
      <c r="D14" s="14"/>
      <c r="E14" s="15"/>
      <c r="F14" s="16"/>
      <c r="G14" s="18"/>
    </row>
    <row r="15" spans="1:7" ht="15" customHeight="1">
      <c r="A15" s="32" t="str">
        <f>'Trial Balance'!A211&amp;"-"&amp;'Trial Balance'!B211</f>
        <v>4045-Energy Sales to Railroads and Railways</v>
      </c>
      <c r="B15" s="23">
        <f>'Trial Balance'!F211</f>
        <v>0</v>
      </c>
      <c r="D15" s="14"/>
      <c r="E15" s="15"/>
      <c r="F15" s="16"/>
      <c r="G15" s="18"/>
    </row>
    <row r="16" spans="1:7" ht="15" customHeight="1">
      <c r="A16" s="32" t="str">
        <f>'Trial Balance'!A212&amp;"-"&amp;'Trial Balance'!B212</f>
        <v>4050-Revenue Adjustment</v>
      </c>
      <c r="B16" s="23">
        <f>'Trial Balance'!F212</f>
        <v>0</v>
      </c>
      <c r="D16" s="14"/>
      <c r="E16" s="15"/>
      <c r="F16" s="16"/>
      <c r="G16" s="18"/>
    </row>
    <row r="17" spans="1:7" ht="15" customHeight="1">
      <c r="A17" s="32" t="str">
        <f>'Trial Balance'!A213&amp;"-"&amp;'Trial Balance'!B213</f>
        <v>4055-Energy Sales for Resale</v>
      </c>
      <c r="B17" s="23">
        <f>'Trial Balance'!F213</f>
        <v>-7993843.076338516</v>
      </c>
      <c r="D17" s="14"/>
      <c r="E17" s="17"/>
      <c r="F17" s="16"/>
      <c r="G17" s="18"/>
    </row>
    <row r="18" spans="1:7" ht="15" customHeight="1">
      <c r="A18" s="32" t="str">
        <f>'Trial Balance'!A214&amp;"-"&amp;'Trial Balance'!B214</f>
        <v>4060-Interdepartmental Energy Sales</v>
      </c>
      <c r="B18" s="23">
        <f>'Trial Balance'!F214</f>
        <v>0</v>
      </c>
      <c r="D18" s="14"/>
      <c r="E18" s="15"/>
      <c r="F18" s="16"/>
      <c r="G18" s="18"/>
    </row>
    <row r="19" spans="1:7" ht="15" customHeight="1">
      <c r="A19" s="32" t="str">
        <f>'Trial Balance'!A215&amp;"-"&amp;'Trial Balance'!B215</f>
        <v>4062-WMS</v>
      </c>
      <c r="B19" s="23">
        <f>'Trial Balance'!F215</f>
        <v>-3216055.4</v>
      </c>
      <c r="D19" s="14"/>
      <c r="E19" s="15"/>
      <c r="F19" s="16"/>
      <c r="G19" s="18"/>
    </row>
    <row r="20" spans="1:7" ht="15" customHeight="1">
      <c r="A20" s="32" t="str">
        <f>'Trial Balance'!A216&amp;"-"&amp;'Trial Balance'!B216</f>
        <v>4064-Billed WMS-One Time</v>
      </c>
      <c r="B20" s="23">
        <f>'Trial Balance'!F216</f>
        <v>0</v>
      </c>
      <c r="D20" s="14"/>
      <c r="E20" s="15"/>
      <c r="F20" s="16"/>
      <c r="G20" s="18"/>
    </row>
    <row r="21" spans="1:7" ht="15" customHeight="1">
      <c r="A21" s="32" t="str">
        <f>'Trial Balance'!A217&amp;"-"&amp;'Trial Balance'!B217</f>
        <v>4066-NS</v>
      </c>
      <c r="B21" s="23">
        <f>'Trial Balance'!F217</f>
        <v>-3302139.75</v>
      </c>
      <c r="D21" s="14"/>
      <c r="E21" s="15"/>
      <c r="F21" s="16"/>
      <c r="G21" s="18"/>
    </row>
    <row r="22" spans="1:7" ht="15" customHeight="1">
      <c r="A22" s="32" t="str">
        <f>'Trial Balance'!A218&amp;"-"&amp;'Trial Balance'!B218</f>
        <v>4068-CS</v>
      </c>
      <c r="B22" s="23">
        <f>'Trial Balance'!F218</f>
        <v>-2690547.84</v>
      </c>
      <c r="D22" s="14"/>
      <c r="E22" s="15"/>
      <c r="F22" s="16"/>
      <c r="G22" s="18"/>
    </row>
    <row r="23" spans="1:7" ht="15" customHeight="1" thickBot="1">
      <c r="A23" s="32" t="str">
        <f>'Trial Balance'!A219&amp;"-"&amp;'Trial Balance'!B219</f>
        <v>4075-LV Charges</v>
      </c>
      <c r="B23" s="23">
        <f>'Trial Balance'!F219</f>
        <v>0</v>
      </c>
      <c r="D23" s="14"/>
      <c r="E23" s="15"/>
      <c r="F23" s="16"/>
      <c r="G23" s="18"/>
    </row>
    <row r="24" spans="1:7" ht="15" customHeight="1" thickBot="1">
      <c r="A24" s="38" t="s">
        <v>142</v>
      </c>
      <c r="B24" s="24">
        <f>SUM(B7:B23)</f>
        <v>-45345934.72999999</v>
      </c>
      <c r="D24" s="14"/>
      <c r="E24" s="17"/>
      <c r="F24" s="16"/>
      <c r="G24" s="18"/>
    </row>
    <row r="25" spans="1:7" s="21" customFormat="1" ht="15" customHeight="1">
      <c r="A25" s="423"/>
      <c r="B25" s="424"/>
      <c r="D25" s="22"/>
      <c r="E25" s="15"/>
      <c r="F25" s="18"/>
      <c r="G25" s="18"/>
    </row>
    <row r="26" spans="1:7" s="21" customFormat="1" ht="15" customHeight="1">
      <c r="A26" s="428" t="s">
        <v>143</v>
      </c>
      <c r="B26" s="428"/>
      <c r="D26" s="22"/>
      <c r="E26" s="15"/>
      <c r="F26" s="18"/>
      <c r="G26" s="18"/>
    </row>
    <row r="27" spans="1:7" ht="15" customHeight="1">
      <c r="A27" s="32" t="str">
        <f>'Trial Balance'!A221&amp;"-"&amp;'Trial Balance'!B221</f>
        <v>4080-Distribution Services Revenue</v>
      </c>
      <c r="B27" s="23">
        <f>'Trial Balance'!F221</f>
        <v>-10113226.79</v>
      </c>
      <c r="D27" s="14"/>
      <c r="E27" s="17"/>
      <c r="F27" s="16"/>
      <c r="G27" s="18"/>
    </row>
    <row r="28" spans="1:7" ht="15" customHeight="1">
      <c r="A28" s="32" t="str">
        <f>'Trial Balance'!A222&amp;"-"&amp;'Trial Balance'!B222</f>
        <v>4082-RS Rev</v>
      </c>
      <c r="B28" s="23">
        <f>'Trial Balance'!F222</f>
        <v>0</v>
      </c>
      <c r="D28" s="14"/>
      <c r="E28" s="17"/>
      <c r="F28" s="16"/>
      <c r="G28" s="18"/>
    </row>
    <row r="29" spans="1:7" ht="15" customHeight="1">
      <c r="A29" s="32" t="str">
        <f>'Trial Balance'!A223&amp;"-"&amp;'Trial Balance'!B223</f>
        <v>4084-Serv Tx Requests</v>
      </c>
      <c r="B29" s="23">
        <f>'Trial Balance'!F223</f>
        <v>0</v>
      </c>
      <c r="D29" s="14"/>
      <c r="E29" s="17"/>
      <c r="F29" s="16"/>
      <c r="G29" s="18"/>
    </row>
    <row r="30" spans="1:7" ht="15" customHeight="1" thickBot="1">
      <c r="A30" s="32" t="str">
        <f>'Trial Balance'!A224&amp;"-"&amp;'Trial Balance'!B224</f>
        <v>4090-Electric Services Incidental to Energy Sales</v>
      </c>
      <c r="B30" s="23">
        <f>'Trial Balance'!F224</f>
        <v>0</v>
      </c>
      <c r="D30" s="14"/>
      <c r="E30" s="17"/>
      <c r="F30" s="16"/>
      <c r="G30" s="18"/>
    </row>
    <row r="31" spans="1:7" ht="15" customHeight="1" thickBot="1">
      <c r="A31" s="38" t="s">
        <v>73</v>
      </c>
      <c r="B31" s="24">
        <f>SUM(B27:B30)</f>
        <v>-10113226.79</v>
      </c>
      <c r="D31" s="14"/>
      <c r="E31" s="15"/>
      <c r="F31" s="16"/>
      <c r="G31" s="18"/>
    </row>
    <row r="32" spans="1:7" s="21" customFormat="1" ht="15" customHeight="1">
      <c r="A32" s="423"/>
      <c r="B32" s="424"/>
      <c r="D32" s="22"/>
      <c r="E32" s="15"/>
      <c r="F32" s="18"/>
      <c r="G32" s="18"/>
    </row>
    <row r="33" spans="1:7" s="21" customFormat="1" ht="15" customHeight="1">
      <c r="A33" s="428" t="s">
        <v>74</v>
      </c>
      <c r="B33" s="428"/>
      <c r="D33" s="22"/>
      <c r="E33" s="15"/>
      <c r="F33" s="18"/>
      <c r="G33" s="18"/>
    </row>
    <row r="34" spans="1:7" ht="15" customHeight="1">
      <c r="A34" s="32" t="str">
        <f>'Trial Balance'!A226&amp;"-"&amp;'Trial Balance'!B226</f>
        <v>4205-Interdepartmental Rents</v>
      </c>
      <c r="B34" s="23">
        <f>'Trial Balance'!F226</f>
        <v>0</v>
      </c>
      <c r="D34" s="14"/>
      <c r="E34" s="17"/>
      <c r="F34" s="16"/>
      <c r="G34" s="18"/>
    </row>
    <row r="35" spans="1:2" ht="15" customHeight="1">
      <c r="A35" s="32" t="str">
        <f>'Trial Balance'!A227&amp;"-"&amp;'Trial Balance'!B227</f>
        <v>4210-Rent from Electric Property</v>
      </c>
      <c r="B35" s="23">
        <f>'Trial Balance'!F227</f>
        <v>-177540.01</v>
      </c>
    </row>
    <row r="36" spans="1:2" ht="15" customHeight="1">
      <c r="A36" s="32" t="str">
        <f>'Trial Balance'!A228&amp;"-"&amp;'Trial Balance'!B228</f>
        <v>4215-Other Utility Operating Income</v>
      </c>
      <c r="B36" s="23">
        <f>'Trial Balance'!F228</f>
        <v>0</v>
      </c>
    </row>
    <row r="37" spans="1:2" ht="15" customHeight="1">
      <c r="A37" s="32" t="str">
        <f>'Trial Balance'!A229&amp;"-"&amp;'Trial Balance'!B229</f>
        <v>4220-Other Electric Revenues</v>
      </c>
      <c r="B37" s="23">
        <f>'Trial Balance'!F229</f>
        <v>0</v>
      </c>
    </row>
    <row r="38" spans="1:2" ht="15" customHeight="1">
      <c r="A38" s="32" t="str">
        <f>'Trial Balance'!A230&amp;"-"&amp;'Trial Balance'!B230</f>
        <v>4225-Late Payment Charges</v>
      </c>
      <c r="B38" s="23">
        <f>'Trial Balance'!F230</f>
        <v>-117945.58</v>
      </c>
    </row>
    <row r="39" spans="1:2" ht="15" customHeight="1">
      <c r="A39" s="32" t="str">
        <f>'Trial Balance'!A231&amp;"-"&amp;'Trial Balance'!B231</f>
        <v>4230-Sales of Water and Water Power</v>
      </c>
      <c r="B39" s="23">
        <f>'Trial Balance'!F231</f>
        <v>0</v>
      </c>
    </row>
    <row r="40" spans="1:2" ht="15" customHeight="1">
      <c r="A40" s="32" t="str">
        <f>'Trial Balance'!A232&amp;"-"&amp;'Trial Balance'!B232</f>
        <v>4235-Miscellaneous Service Revenues</v>
      </c>
      <c r="B40" s="23">
        <f>'Trial Balance'!F232</f>
        <v>-376426.75</v>
      </c>
    </row>
    <row r="41" spans="1:2" ht="15" customHeight="1">
      <c r="A41" s="32" t="str">
        <f>'Trial Balance'!A233&amp;"-"&amp;'Trial Balance'!B233</f>
        <v>4240-Provision for Rate Refunds</v>
      </c>
      <c r="B41" s="23">
        <f>'Trial Balance'!F233</f>
        <v>0</v>
      </c>
    </row>
    <row r="42" spans="1:2" ht="15" customHeight="1" thickBot="1">
      <c r="A42" s="32" t="str">
        <f>'Trial Balance'!A234&amp;"-"&amp;'Trial Balance'!B234</f>
        <v>4245-Government Assistance Directly Credited to Income</v>
      </c>
      <c r="B42" s="23">
        <f>'Trial Balance'!F234</f>
        <v>0</v>
      </c>
    </row>
    <row r="43" spans="1:2" ht="15" customHeight="1" thickBot="1">
      <c r="A43" s="38" t="s">
        <v>86</v>
      </c>
      <c r="B43" s="24">
        <f>SUM(B34:B42)</f>
        <v>-671912.3400000001</v>
      </c>
    </row>
    <row r="44" spans="1:2" s="21" customFormat="1" ht="15" customHeight="1">
      <c r="A44" s="423"/>
      <c r="B44" s="424"/>
    </row>
    <row r="45" spans="1:2" s="21" customFormat="1" ht="15" customHeight="1">
      <c r="A45" s="428" t="s">
        <v>87</v>
      </c>
      <c r="B45" s="428"/>
    </row>
    <row r="46" spans="1:2" ht="15" customHeight="1">
      <c r="A46" s="32" t="str">
        <f>'Trial Balance'!A236&amp;"-"&amp;'Trial Balance'!B236</f>
        <v>4305-Regulatory Debits</v>
      </c>
      <c r="B46" s="23">
        <f>'Trial Balance'!F236</f>
        <v>0</v>
      </c>
    </row>
    <row r="47" spans="1:2" ht="15" customHeight="1">
      <c r="A47" s="32" t="str">
        <f>'Trial Balance'!A237&amp;"-"&amp;'Trial Balance'!B237</f>
        <v>4310-Regulatory Credits</v>
      </c>
      <c r="B47" s="23">
        <f>'Trial Balance'!F237</f>
        <v>0</v>
      </c>
    </row>
    <row r="48" spans="1:2" ht="15" customHeight="1">
      <c r="A48" s="32" t="str">
        <f>'Trial Balance'!A238&amp;"-"&amp;'Trial Balance'!B238</f>
        <v>4315-Revenues from Electric Plant Leased to Others</v>
      </c>
      <c r="B48" s="23">
        <f>'Trial Balance'!F238</f>
        <v>0</v>
      </c>
    </row>
    <row r="49" spans="1:2" ht="15" customHeight="1">
      <c r="A49" s="32" t="str">
        <f>'Trial Balance'!A239&amp;"-"&amp;'Trial Balance'!B239</f>
        <v>4320-Expenses of Electric Plant Leased to Others</v>
      </c>
      <c r="B49" s="23">
        <f>'Trial Balance'!F239</f>
        <v>0</v>
      </c>
    </row>
    <row r="50" spans="1:2" ht="15" customHeight="1">
      <c r="A50" s="32" t="str">
        <f>'Trial Balance'!A240&amp;"-"&amp;'Trial Balance'!B240</f>
        <v>4325-Revenues from Merchandise, Jobbing, Etc.</v>
      </c>
      <c r="B50" s="23">
        <f>'Trial Balance'!F240</f>
        <v>-17140.53</v>
      </c>
    </row>
    <row r="51" spans="1:2" ht="15" customHeight="1">
      <c r="A51" s="32" t="str">
        <f>'Trial Balance'!A241&amp;"-"&amp;'Trial Balance'!B241</f>
        <v>4330-Costs and Expenses of Merchandising, Jobbing, Etc</v>
      </c>
      <c r="B51" s="23">
        <f>'Trial Balance'!F241</f>
        <v>7174.51</v>
      </c>
    </row>
    <row r="52" spans="1:2" ht="15" customHeight="1">
      <c r="A52" s="32" t="str">
        <f>'Trial Balance'!A242&amp;"-"&amp;'Trial Balance'!B242</f>
        <v>4335-Profits and Losses from Financial Instrument Hedges</v>
      </c>
      <c r="B52" s="23">
        <f>'Trial Balance'!F242</f>
        <v>0</v>
      </c>
    </row>
    <row r="53" spans="1:2" ht="15" customHeight="1">
      <c r="A53" s="32" t="str">
        <f>'Trial Balance'!A243&amp;"-"&amp;'Trial Balance'!B243</f>
        <v>4340-Profits and Losses from Financial Instrument Investments</v>
      </c>
      <c r="B53" s="23">
        <f>'Trial Balance'!F243</f>
        <v>0</v>
      </c>
    </row>
    <row r="54" spans="1:2" ht="15" customHeight="1">
      <c r="A54" s="32" t="str">
        <f>'Trial Balance'!A244&amp;"-"&amp;'Trial Balance'!B244</f>
        <v>4345-Gains from Disposition of Future Use Utility Plant</v>
      </c>
      <c r="B54" s="23">
        <f>'Trial Balance'!F244</f>
        <v>0</v>
      </c>
    </row>
    <row r="55" spans="1:2" ht="15" customHeight="1">
      <c r="A55" s="32" t="str">
        <f>'Trial Balance'!A245&amp;"-"&amp;'Trial Balance'!B245</f>
        <v>4350-Losses from Disposition of Future Use Utility Plant</v>
      </c>
      <c r="B55" s="23">
        <f>'Trial Balance'!F245</f>
        <v>0</v>
      </c>
    </row>
    <row r="56" spans="1:2" ht="15" customHeight="1">
      <c r="A56" s="32" t="str">
        <f>'Trial Balance'!A246&amp;"-"&amp;'Trial Balance'!B246</f>
        <v>4355-Gain on Disposition of Utility and Other Property</v>
      </c>
      <c r="B56" s="23">
        <f>'Trial Balance'!F246</f>
        <v>-3150</v>
      </c>
    </row>
    <row r="57" spans="1:2" ht="15" customHeight="1">
      <c r="A57" s="32" t="str">
        <f>'Trial Balance'!A247&amp;"-"&amp;'Trial Balance'!B247</f>
        <v>4360-Loss on Disposition of Utility and Other Property</v>
      </c>
      <c r="B57" s="23">
        <f>'Trial Balance'!F247</f>
        <v>447.88</v>
      </c>
    </row>
    <row r="58" spans="1:2" ht="15" customHeight="1">
      <c r="A58" s="32" t="str">
        <f>'Trial Balance'!A248&amp;"-"&amp;'Trial Balance'!B248</f>
        <v>4365-Gains from Disposition of Allowances for Emission</v>
      </c>
      <c r="B58" s="23">
        <f>'Trial Balance'!F248</f>
        <v>0</v>
      </c>
    </row>
    <row r="59" spans="1:2" ht="15" customHeight="1">
      <c r="A59" s="32" t="str">
        <f>'Trial Balance'!A249&amp;"-"&amp;'Trial Balance'!B249</f>
        <v>4370-Losses from Disposition of Allowances for Emission</v>
      </c>
      <c r="B59" s="23">
        <f>'Trial Balance'!F249</f>
        <v>0</v>
      </c>
    </row>
    <row r="60" spans="1:2" ht="15" customHeight="1">
      <c r="A60" s="32" t="str">
        <f>'Trial Balance'!A250&amp;"-"&amp;'Trial Balance'!B250</f>
        <v>4375-Revenues from Non-Utility Operations</v>
      </c>
      <c r="B60" s="23">
        <f>'Trial Balance'!F250</f>
        <v>-56666.7</v>
      </c>
    </row>
    <row r="61" spans="1:2" ht="15" customHeight="1">
      <c r="A61" s="32" t="str">
        <f>'Trial Balance'!A251&amp;"-"&amp;'Trial Balance'!B251</f>
        <v>4380-Expenses of Non-Utility Operations</v>
      </c>
      <c r="B61" s="23">
        <f>'Trial Balance'!F251</f>
        <v>0</v>
      </c>
    </row>
    <row r="62" spans="1:2" ht="15" customHeight="1">
      <c r="A62" s="32" t="str">
        <f>'Trial Balance'!A252&amp;"-"&amp;'Trial Balance'!B252</f>
        <v>4385-Non-Utility Rental Income</v>
      </c>
      <c r="B62" s="23">
        <f>'Trial Balance'!F252</f>
        <v>121.15</v>
      </c>
    </row>
    <row r="63" spans="1:2" ht="15" customHeight="1">
      <c r="A63" s="32" t="str">
        <f>'Trial Balance'!A253&amp;"-"&amp;'Trial Balance'!B253</f>
        <v>4390-Miscellaneous Non-Operating Income</v>
      </c>
      <c r="B63" s="23">
        <f>'Trial Balance'!F253</f>
        <v>-7908.86</v>
      </c>
    </row>
    <row r="64" spans="1:2" ht="15" customHeight="1">
      <c r="A64" s="32" t="str">
        <f>'Trial Balance'!A254&amp;"-"&amp;'Trial Balance'!B254</f>
        <v>4395-Rate-Payer Benefit Including Interest</v>
      </c>
      <c r="B64" s="23">
        <f>'Trial Balance'!F254</f>
        <v>0</v>
      </c>
    </row>
    <row r="65" spans="1:2" ht="15" customHeight="1" thickBot="1">
      <c r="A65" s="32" t="str">
        <f>'Trial Balance'!A255&amp;"-"&amp;'Trial Balance'!B255</f>
        <v>4398-Foreign Exchange Gains and Losses, Including Amortization</v>
      </c>
      <c r="B65" s="23">
        <f>'Trial Balance'!F255</f>
        <v>0</v>
      </c>
    </row>
    <row r="66" spans="1:2" ht="15" customHeight="1" thickBot="1">
      <c r="A66" s="38" t="s">
        <v>82</v>
      </c>
      <c r="B66" s="24">
        <f>SUM(B46:B65)</f>
        <v>-77122.55</v>
      </c>
    </row>
    <row r="67" spans="1:2" s="21" customFormat="1" ht="15" customHeight="1">
      <c r="A67" s="423"/>
      <c r="B67" s="424"/>
    </row>
    <row r="68" spans="1:2" s="21" customFormat="1" ht="15" customHeight="1">
      <c r="A68" s="428" t="s">
        <v>83</v>
      </c>
      <c r="B68" s="428"/>
    </row>
    <row r="69" spans="1:2" s="21" customFormat="1" ht="15" customHeight="1">
      <c r="A69" s="32" t="str">
        <f>'Trial Balance'!A257&amp;"-"&amp;'Trial Balance'!B257</f>
        <v>4405-Interest and Dividend Income</v>
      </c>
      <c r="B69" s="23">
        <f>'Trial Balance'!F257</f>
        <v>-855548.46</v>
      </c>
    </row>
    <row r="70" spans="1:2" ht="15" customHeight="1" thickBot="1">
      <c r="A70" s="32" t="str">
        <f>'Trial Balance'!A258&amp;"-"&amp;'Trial Balance'!B258</f>
        <v>4415-Equity in Earnings of Subsidiary Companies</v>
      </c>
      <c r="B70" s="23">
        <f>'Trial Balance'!F258</f>
        <v>0</v>
      </c>
    </row>
    <row r="71" spans="1:2" ht="15" customHeight="1" thickBot="1">
      <c r="A71" s="38" t="s">
        <v>84</v>
      </c>
      <c r="B71" s="24">
        <f>SUM(B69:B70)</f>
        <v>-855548.46</v>
      </c>
    </row>
    <row r="72" spans="1:2" s="21" customFormat="1" ht="15" customHeight="1">
      <c r="A72" s="423"/>
      <c r="B72" s="424"/>
    </row>
    <row r="73" spans="1:2" s="21" customFormat="1" ht="15" customHeight="1">
      <c r="A73" s="428" t="s">
        <v>85</v>
      </c>
      <c r="B73" s="428"/>
    </row>
    <row r="74" spans="1:2" ht="15" customHeight="1">
      <c r="A74" s="32" t="str">
        <f>'Trial Balance'!A260&amp;"-"&amp;'Trial Balance'!B260</f>
        <v>4705-Power Purchased</v>
      </c>
      <c r="B74" s="23">
        <f>'Trial Balance'!F260</f>
        <v>36137191.739999995</v>
      </c>
    </row>
    <row r="75" spans="1:2" ht="15" customHeight="1">
      <c r="A75" s="32" t="str">
        <f>'Trial Balance'!A261&amp;"-"&amp;'Trial Balance'!B261</f>
        <v>4708-WMS</v>
      </c>
      <c r="B75" s="23">
        <f>'Trial Balance'!F261</f>
        <v>2617899.89</v>
      </c>
    </row>
    <row r="76" spans="1:2" ht="15" customHeight="1">
      <c r="A76" s="32" t="str">
        <f>'Trial Balance'!A262&amp;"-"&amp;'Trial Balance'!B262</f>
        <v>4710-Cost of Power Adjustments</v>
      </c>
      <c r="B76" s="23">
        <f>'Trial Balance'!F262</f>
        <v>0</v>
      </c>
    </row>
    <row r="77" spans="1:2" ht="15" customHeight="1">
      <c r="A77" s="32" t="str">
        <f>'Trial Balance'!A263&amp;"-"&amp;'Trial Balance'!B263</f>
        <v>4712-0</v>
      </c>
      <c r="B77" s="23">
        <f>'Trial Balance'!F263</f>
        <v>0</v>
      </c>
    </row>
    <row r="78" spans="1:2" ht="15" customHeight="1">
      <c r="A78" s="32" t="str">
        <f>'Trial Balance'!A264&amp;"-"&amp;'Trial Balance'!B264</f>
        <v>4714-NW</v>
      </c>
      <c r="B78" s="23">
        <f>'Trial Balance'!F264</f>
        <v>3302139.75</v>
      </c>
    </row>
    <row r="79" spans="1:2" ht="15" customHeight="1">
      <c r="A79" s="32" t="str">
        <f>'Trial Balance'!A265&amp;"-"&amp;'Trial Balance'!B265</f>
        <v>4715-System Control and Load Dispatching</v>
      </c>
      <c r="B79" s="23">
        <f>'Trial Balance'!F265</f>
        <v>0</v>
      </c>
    </row>
    <row r="80" spans="1:2" ht="15" customHeight="1">
      <c r="A80" s="32" t="str">
        <f>'Trial Balance'!A266&amp;"-"&amp;'Trial Balance'!B266</f>
        <v>4716-NCN</v>
      </c>
      <c r="B80" s="23">
        <f>'Trial Balance'!F266</f>
        <v>2690547.84</v>
      </c>
    </row>
    <row r="81" spans="1:2" ht="15" customHeight="1">
      <c r="A81" s="32" t="str">
        <f>'Trial Balance'!A267&amp;"-"&amp;'Trial Balance'!B267</f>
        <v>4720-Other Expenses</v>
      </c>
      <c r="B81" s="23">
        <f>'Trial Balance'!F267</f>
        <v>0</v>
      </c>
    </row>
    <row r="82" spans="1:2" ht="15" customHeight="1">
      <c r="A82" s="32" t="str">
        <f>'Trial Balance'!A268&amp;"-"&amp;'Trial Balance'!B268</f>
        <v>4725-Competition Transition Expense</v>
      </c>
      <c r="B82" s="23">
        <f>'Trial Balance'!F268</f>
        <v>0</v>
      </c>
    </row>
    <row r="83" spans="1:2" ht="15" customHeight="1">
      <c r="A83" s="32" t="str">
        <f>'Trial Balance'!A269&amp;"-"&amp;'Trial Balance'!B269</f>
        <v>4730-Rural Rate Assistance Expense</v>
      </c>
      <c r="B83" s="23">
        <f>'Trial Balance'!F269</f>
        <v>598155.51</v>
      </c>
    </row>
    <row r="84" spans="1:2" ht="15" customHeight="1" thickBot="1">
      <c r="A84" s="32" t="str">
        <f>'Trial Balance'!A270&amp;"-"&amp;'Trial Balance'!B270</f>
        <v>4750-LV Charges</v>
      </c>
      <c r="B84" s="23">
        <f>'Trial Balance'!F270</f>
        <v>0</v>
      </c>
    </row>
    <row r="85" spans="1:2" ht="15" customHeight="1" thickBot="1">
      <c r="A85" s="38" t="s">
        <v>554</v>
      </c>
      <c r="B85" s="24">
        <f>SUM(B74:B84)</f>
        <v>45345934.73</v>
      </c>
    </row>
    <row r="86" spans="1:2" s="21" customFormat="1" ht="15" customHeight="1">
      <c r="A86" s="423"/>
      <c r="B86" s="424"/>
    </row>
    <row r="87" spans="1:2" s="21" customFormat="1" ht="15" customHeight="1">
      <c r="A87" s="428" t="s">
        <v>555</v>
      </c>
      <c r="B87" s="428"/>
    </row>
    <row r="88" spans="1:2" ht="15" customHeight="1">
      <c r="A88" s="32" t="str">
        <f>'Trial Balance'!A272&amp;"-"&amp;'Trial Balance'!B272</f>
        <v>5005-Operation Supervision and Engineering</v>
      </c>
      <c r="B88" s="23">
        <f>'Trial Balance'!F272</f>
        <v>657709.45</v>
      </c>
    </row>
    <row r="89" spans="1:2" ht="15" customHeight="1">
      <c r="A89" s="32" t="str">
        <f>'Trial Balance'!A273&amp;"-"&amp;'Trial Balance'!B273</f>
        <v>5010-Load Dispatching</v>
      </c>
      <c r="B89" s="23">
        <f>'Trial Balance'!F273</f>
        <v>97908.54</v>
      </c>
    </row>
    <row r="90" spans="1:2" ht="15" customHeight="1">
      <c r="A90" s="32" t="str">
        <f>'Trial Balance'!A274&amp;"-"&amp;'Trial Balance'!B274</f>
        <v>5012-Station Buildings and Fixtures Expense</v>
      </c>
      <c r="B90" s="23">
        <f>'Trial Balance'!F274</f>
        <v>29740.32</v>
      </c>
    </row>
    <row r="91" spans="1:2" ht="15" customHeight="1">
      <c r="A91" s="32" t="str">
        <f>'Trial Balance'!A275&amp;"-"&amp;'Trial Balance'!B275</f>
        <v>5014-Transformer Station Equipment - Operation Labour</v>
      </c>
      <c r="B91" s="23">
        <f>'Trial Balance'!F275</f>
        <v>0</v>
      </c>
    </row>
    <row r="92" spans="1:2" ht="15" customHeight="1">
      <c r="A92" s="32" t="str">
        <f>'Trial Balance'!A276&amp;"-"&amp;'Trial Balance'!B276</f>
        <v>5015-Transformer Station Equipment - Operation Supplies and Expenses</v>
      </c>
      <c r="B92" s="23">
        <f>'Trial Balance'!F276</f>
        <v>0</v>
      </c>
    </row>
    <row r="93" spans="1:2" ht="15" customHeight="1">
      <c r="A93" s="32" t="str">
        <f>'Trial Balance'!A277&amp;"-"&amp;'Trial Balance'!B277</f>
        <v>5016-Distribution Station Equipment - Operation Labour</v>
      </c>
      <c r="B93" s="23">
        <f>'Trial Balance'!F277</f>
        <v>0</v>
      </c>
    </row>
    <row r="94" spans="1:2" ht="15" customHeight="1">
      <c r="A94" s="32" t="str">
        <f>'Trial Balance'!A278&amp;"-"&amp;'Trial Balance'!B278</f>
        <v>5017-Distribution Station Equipment - Operation Supplies and Expenses</v>
      </c>
      <c r="B94" s="23">
        <f>'Trial Balance'!F278</f>
        <v>0</v>
      </c>
    </row>
    <row r="95" spans="1:2" ht="15" customHeight="1">
      <c r="A95" s="32" t="str">
        <f>'Trial Balance'!A279&amp;"-"&amp;'Trial Balance'!B279</f>
        <v>5020-Overhead Distribution Lines and Feeders - Operation Labour</v>
      </c>
      <c r="B95" s="23">
        <f>'Trial Balance'!F279</f>
        <v>46.33</v>
      </c>
    </row>
    <row r="96" spans="1:2" ht="15" customHeight="1">
      <c r="A96" s="32" t="str">
        <f>'Trial Balance'!A280&amp;"-"&amp;'Trial Balance'!B280</f>
        <v>5025-Overhead Distribution Lines and Feeders - Operation Supplies and Expenses</v>
      </c>
      <c r="B96" s="23">
        <f>'Trial Balance'!F280</f>
        <v>1253.23</v>
      </c>
    </row>
    <row r="97" spans="1:2" ht="15" customHeight="1">
      <c r="A97" s="32" t="str">
        <f>'Trial Balance'!A281&amp;"-"&amp;'Trial Balance'!B281</f>
        <v>5030-Overhead Subtransmission Feeders - Operation</v>
      </c>
      <c r="B97" s="23">
        <f>'Trial Balance'!F281</f>
        <v>4525.45</v>
      </c>
    </row>
    <row r="98" spans="1:2" ht="15" customHeight="1">
      <c r="A98" s="32" t="str">
        <f>'Trial Balance'!A282&amp;"-"&amp;'Trial Balance'!B282</f>
        <v>5035-Overhead Distribution Transformers - Operation</v>
      </c>
      <c r="B98" s="23">
        <f>'Trial Balance'!F282</f>
        <v>3433.85</v>
      </c>
    </row>
    <row r="99" spans="1:2" ht="15" customHeight="1">
      <c r="A99" s="32" t="str">
        <f>'Trial Balance'!A283&amp;"-"&amp;'Trial Balance'!B283</f>
        <v>5040-Underground Distribution Lines and Feeders - Operation Labour</v>
      </c>
      <c r="B99" s="23">
        <f>'Trial Balance'!F283</f>
        <v>35808.58</v>
      </c>
    </row>
    <row r="100" spans="1:2" ht="15" customHeight="1">
      <c r="A100" s="32" t="str">
        <f>'Trial Balance'!A284&amp;"-"&amp;'Trial Balance'!B284</f>
        <v>5045-Underground Distribution Lines and Feeders - Operation Supplies and Expenses</v>
      </c>
      <c r="B100" s="23">
        <f>'Trial Balance'!F284</f>
        <v>9130.7</v>
      </c>
    </row>
    <row r="101" spans="1:2" ht="15" customHeight="1">
      <c r="A101" s="32" t="str">
        <f>'Trial Balance'!A285&amp;"-"&amp;'Trial Balance'!B285</f>
        <v>5050-Underground Subtransmission Feeders - Operation</v>
      </c>
      <c r="B101" s="23">
        <f>'Trial Balance'!F285</f>
        <v>0</v>
      </c>
    </row>
    <row r="102" spans="1:2" ht="15" customHeight="1">
      <c r="A102" s="32" t="str">
        <f>'Trial Balance'!A286&amp;"-"&amp;'Trial Balance'!B286</f>
        <v>5055-Underground Distribution Transformers - Operation</v>
      </c>
      <c r="B102" s="23">
        <f>'Trial Balance'!F286</f>
        <v>0</v>
      </c>
    </row>
    <row r="103" spans="1:2" ht="15" customHeight="1">
      <c r="A103" s="32" t="str">
        <f>'Trial Balance'!A287&amp;"-"&amp;'Trial Balance'!B287</f>
        <v>5060-Street Lighting and Signal System Expense</v>
      </c>
      <c r="B103" s="23">
        <f>'Trial Balance'!F287</f>
        <v>0</v>
      </c>
    </row>
    <row r="104" spans="1:2" ht="15" customHeight="1">
      <c r="A104" s="32" t="str">
        <f>'Trial Balance'!A288&amp;"-"&amp;'Trial Balance'!B288</f>
        <v>5065-Meter Expense</v>
      </c>
      <c r="B104" s="23">
        <f>'Trial Balance'!F288</f>
        <v>143585.37</v>
      </c>
    </row>
    <row r="105" spans="1:2" ht="15" customHeight="1">
      <c r="A105" s="32" t="str">
        <f>'Trial Balance'!A289&amp;"-"&amp;'Trial Balance'!B289</f>
        <v>5070-Customer Premises - Operation Labour</v>
      </c>
      <c r="B105" s="23">
        <f>'Trial Balance'!F289</f>
        <v>0</v>
      </c>
    </row>
    <row r="106" spans="1:2" ht="15" customHeight="1">
      <c r="A106" s="32" t="str">
        <f>'Trial Balance'!A290&amp;"-"&amp;'Trial Balance'!B290</f>
        <v>5075-Customer Premises - Materials and Expenses</v>
      </c>
      <c r="B106" s="23">
        <f>'Trial Balance'!F290</f>
        <v>0</v>
      </c>
    </row>
    <row r="107" spans="1:2" ht="15" customHeight="1">
      <c r="A107" s="32" t="str">
        <f>'Trial Balance'!A291&amp;"-"&amp;'Trial Balance'!B291</f>
        <v>5085-Miscellaneous Distribution Expense</v>
      </c>
      <c r="B107" s="23">
        <f>'Trial Balance'!F291</f>
        <v>358546.45</v>
      </c>
    </row>
    <row r="108" spans="1:2" ht="15" customHeight="1">
      <c r="A108" s="32" t="str">
        <f>'Trial Balance'!A292&amp;"-"&amp;'Trial Balance'!B292</f>
        <v>5090-Underground Distribution Lines and Feeders - Rental Paid</v>
      </c>
      <c r="B108" s="23">
        <f>'Trial Balance'!F292</f>
        <v>0</v>
      </c>
    </row>
    <row r="109" spans="1:2" ht="15" customHeight="1">
      <c r="A109" s="32" t="str">
        <f>'Trial Balance'!A293&amp;"-"&amp;'Trial Balance'!B293</f>
        <v>5095-Overhead Distribution Lines and Feeders - Rental Paid</v>
      </c>
      <c r="B109" s="23">
        <f>'Trial Balance'!F293</f>
        <v>36848.24</v>
      </c>
    </row>
    <row r="110" spans="1:2" ht="15" customHeight="1" thickBot="1">
      <c r="A110" s="32" t="str">
        <f>'Trial Balance'!A294&amp;"-"&amp;'Trial Balance'!B294</f>
        <v>5096-Other Rent</v>
      </c>
      <c r="B110" s="23">
        <f>'Trial Balance'!F294</f>
        <v>318.08</v>
      </c>
    </row>
    <row r="111" spans="1:2" ht="15" customHeight="1" thickBot="1">
      <c r="A111" s="38" t="s">
        <v>558</v>
      </c>
      <c r="B111" s="24">
        <f>SUM(B88:B110)</f>
        <v>1378854.5899999999</v>
      </c>
    </row>
    <row r="112" spans="1:2" s="21" customFormat="1" ht="15" customHeight="1">
      <c r="A112" s="423"/>
      <c r="B112" s="424"/>
    </row>
    <row r="113" spans="1:2" s="21" customFormat="1" ht="15" customHeight="1">
      <c r="A113" s="428" t="s">
        <v>559</v>
      </c>
      <c r="B113" s="428"/>
    </row>
    <row r="114" spans="1:2" ht="15" customHeight="1">
      <c r="A114" s="32" t="str">
        <f>'Trial Balance'!A296&amp;"-"&amp;'Trial Balance'!B296</f>
        <v>5105-Maintenance Supervision and Engineering</v>
      </c>
      <c r="B114" s="23">
        <f>'Trial Balance'!F296</f>
        <v>0</v>
      </c>
    </row>
    <row r="115" spans="1:2" ht="15" customHeight="1">
      <c r="A115" s="32" t="str">
        <f>'Trial Balance'!A297&amp;"-"&amp;'Trial Balance'!B297</f>
        <v>5110-Maintenance of Structures</v>
      </c>
      <c r="B115" s="23">
        <f>'Trial Balance'!F297</f>
        <v>7223.26</v>
      </c>
    </row>
    <row r="116" spans="1:2" ht="15" customHeight="1">
      <c r="A116" s="32" t="str">
        <f>'Trial Balance'!A298&amp;"-"&amp;'Trial Balance'!B298</f>
        <v>5112-Maintenance of Transformer Station Equipment</v>
      </c>
      <c r="B116" s="23">
        <f>'Trial Balance'!F298</f>
        <v>0</v>
      </c>
    </row>
    <row r="117" spans="1:2" ht="15" customHeight="1">
      <c r="A117" s="32" t="str">
        <f>'Trial Balance'!A299&amp;"-"&amp;'Trial Balance'!B299</f>
        <v>5114-Maintenance of Distribution Station Equipment</v>
      </c>
      <c r="B117" s="23">
        <f>'Trial Balance'!F299</f>
        <v>55581.83</v>
      </c>
    </row>
    <row r="118" spans="1:2" ht="15" customHeight="1">
      <c r="A118" s="32" t="str">
        <f>'Trial Balance'!A300&amp;"-"&amp;'Trial Balance'!B300</f>
        <v>5120-Maintenance of Poles, Towers and Fixtures</v>
      </c>
      <c r="B118" s="23">
        <f>'Trial Balance'!F300</f>
        <v>-67401.87</v>
      </c>
    </row>
    <row r="119" spans="1:2" ht="15" customHeight="1">
      <c r="A119" s="32" t="str">
        <f>'Trial Balance'!A301&amp;"-"&amp;'Trial Balance'!B301</f>
        <v>5125-Maintenance of Overhead Conductors and Devices</v>
      </c>
      <c r="B119" s="23">
        <f>'Trial Balance'!F301</f>
        <v>152163.02</v>
      </c>
    </row>
    <row r="120" spans="1:2" ht="15" customHeight="1">
      <c r="A120" s="32" t="str">
        <f>'Trial Balance'!A302&amp;"-"&amp;'Trial Balance'!B302</f>
        <v>5130-Maintenance of Overhead Services</v>
      </c>
      <c r="B120" s="23">
        <f>'Trial Balance'!F302</f>
        <v>-20803.05</v>
      </c>
    </row>
    <row r="121" spans="1:2" ht="15" customHeight="1">
      <c r="A121" s="32" t="str">
        <f>'Trial Balance'!A303&amp;"-"&amp;'Trial Balance'!B303</f>
        <v>5135-Overhead Distribution Lines and Feeders - Right of Way</v>
      </c>
      <c r="B121" s="23">
        <f>'Trial Balance'!F303</f>
        <v>241204.13</v>
      </c>
    </row>
    <row r="122" spans="1:2" ht="15" customHeight="1">
      <c r="A122" s="32" t="str">
        <f>'Trial Balance'!A304&amp;"-"&amp;'Trial Balance'!B304</f>
        <v>5145-Maintenance of Underground Conduit</v>
      </c>
      <c r="B122" s="23">
        <f>'Trial Balance'!F304</f>
        <v>1542.89</v>
      </c>
    </row>
    <row r="123" spans="1:2" ht="15" customHeight="1">
      <c r="A123" s="32" t="str">
        <f>'Trial Balance'!A305&amp;"-"&amp;'Trial Balance'!B305</f>
        <v>5150-Maintenance of Underground Conductors and Devices</v>
      </c>
      <c r="B123" s="23">
        <f>'Trial Balance'!F305</f>
        <v>47210.36</v>
      </c>
    </row>
    <row r="124" spans="1:2" ht="15" customHeight="1">
      <c r="A124" s="32" t="str">
        <f>'Trial Balance'!A306&amp;"-"&amp;'Trial Balance'!B306</f>
        <v>5155-Maintenance of Underground Services</v>
      </c>
      <c r="B124" s="23">
        <f>'Trial Balance'!F306</f>
        <v>46075.69</v>
      </c>
    </row>
    <row r="125" spans="1:2" ht="15" customHeight="1">
      <c r="A125" s="32" t="str">
        <f>'Trial Balance'!A307&amp;"-"&amp;'Trial Balance'!B307</f>
        <v>5160-Maintenance of Line Transformers</v>
      </c>
      <c r="B125" s="23">
        <f>'Trial Balance'!F307</f>
        <v>93023.16</v>
      </c>
    </row>
    <row r="126" spans="1:2" ht="15" customHeight="1">
      <c r="A126" s="32" t="str">
        <f>'Trial Balance'!A308&amp;"-"&amp;'Trial Balance'!B308</f>
        <v>5165-Maintenance of Street Lighting and Signal Systems</v>
      </c>
      <c r="B126" s="23">
        <f>'Trial Balance'!F308</f>
        <v>0</v>
      </c>
    </row>
    <row r="127" spans="1:2" ht="15" customHeight="1">
      <c r="A127" s="32" t="str">
        <f>'Trial Balance'!A309&amp;"-"&amp;'Trial Balance'!B309</f>
        <v>5170-Sentinel Lights - Labour</v>
      </c>
      <c r="B127" s="23">
        <f>'Trial Balance'!F309</f>
        <v>0</v>
      </c>
    </row>
    <row r="128" spans="1:2" ht="15" customHeight="1">
      <c r="A128" s="32" t="str">
        <f>'Trial Balance'!A310&amp;"-"&amp;'Trial Balance'!B310</f>
        <v>5172-Sentinel Lights - Materials and Expenses</v>
      </c>
      <c r="B128" s="23">
        <f>'Trial Balance'!F310</f>
        <v>0</v>
      </c>
    </row>
    <row r="129" spans="1:2" ht="15" customHeight="1">
      <c r="A129" s="32" t="str">
        <f>'Trial Balance'!A311&amp;"-"&amp;'Trial Balance'!B311</f>
        <v>5175-Maintenance of Meters</v>
      </c>
      <c r="B129" s="23">
        <f>'Trial Balance'!F311</f>
        <v>9610.5</v>
      </c>
    </row>
    <row r="130" spans="1:2" ht="15" customHeight="1">
      <c r="A130" s="32" t="str">
        <f>'Trial Balance'!A312&amp;"-"&amp;'Trial Balance'!B312</f>
        <v>5178-Customer Installations Expenses - Leased Property</v>
      </c>
      <c r="B130" s="23">
        <f>'Trial Balance'!F312</f>
        <v>0</v>
      </c>
    </row>
    <row r="131" spans="1:2" ht="15" customHeight="1" thickBot="1">
      <c r="A131" s="32" t="str">
        <f>'Trial Balance'!A313&amp;"-"&amp;'Trial Balance'!B313</f>
        <v>5195-Maintenance of Other Installations on Customer Premises</v>
      </c>
      <c r="B131" s="23">
        <f>'Trial Balance'!F313</f>
        <v>0</v>
      </c>
    </row>
    <row r="132" spans="1:2" ht="15" customHeight="1" thickBot="1">
      <c r="A132" s="38" t="s">
        <v>88</v>
      </c>
      <c r="B132" s="24">
        <f>SUM(B114:B131)</f>
        <v>565429.92</v>
      </c>
    </row>
    <row r="133" spans="1:2" s="21" customFormat="1" ht="15" customHeight="1">
      <c r="A133" s="423"/>
      <c r="B133" s="424"/>
    </row>
    <row r="134" spans="1:2" s="21" customFormat="1" ht="15" customHeight="1">
      <c r="A134" s="425" t="s">
        <v>89</v>
      </c>
      <c r="B134" s="426"/>
    </row>
    <row r="135" spans="1:2" ht="15" customHeight="1">
      <c r="A135" s="32" t="str">
        <f>'Trial Balance'!A319&amp;"-"&amp;'Trial Balance'!B319</f>
        <v>5305-Supervision</v>
      </c>
      <c r="B135" s="23">
        <f>'Trial Balance'!F319</f>
        <v>0</v>
      </c>
    </row>
    <row r="136" spans="1:2" ht="15" customHeight="1">
      <c r="A136" s="32" t="str">
        <f>'Trial Balance'!A320&amp;"-"&amp;'Trial Balance'!B320</f>
        <v>5310-Meter Reading Expense</v>
      </c>
      <c r="B136" s="23">
        <f>'Trial Balance'!F320</f>
        <v>250089.91</v>
      </c>
    </row>
    <row r="137" spans="1:2" ht="15" customHeight="1">
      <c r="A137" s="32" t="str">
        <f>'Trial Balance'!A321&amp;"-"&amp;'Trial Balance'!B321</f>
        <v>5315-Customer Billing</v>
      </c>
      <c r="B137" s="23">
        <f>'Trial Balance'!F321</f>
        <v>426273.42</v>
      </c>
    </row>
    <row r="138" spans="1:2" ht="15" customHeight="1">
      <c r="A138" s="32" t="str">
        <f>'Trial Balance'!A322&amp;"-"&amp;'Trial Balance'!B322</f>
        <v>5320-Collecting</v>
      </c>
      <c r="B138" s="23">
        <f>'Trial Balance'!F322</f>
        <v>198798.91</v>
      </c>
    </row>
    <row r="139" spans="1:2" ht="15" customHeight="1">
      <c r="A139" s="32" t="str">
        <f>'Trial Balance'!A323&amp;"-"&amp;'Trial Balance'!B323</f>
        <v>5325-Collecting - Cash Over and Short</v>
      </c>
      <c r="B139" s="23">
        <f>'Trial Balance'!F323</f>
        <v>10.48</v>
      </c>
    </row>
    <row r="140" spans="1:2" ht="15" customHeight="1">
      <c r="A140" s="32" t="str">
        <f>'Trial Balance'!A324&amp;"-"&amp;'Trial Balance'!B324</f>
        <v>5330-Collection Charges</v>
      </c>
      <c r="B140" s="23">
        <f>'Trial Balance'!F324</f>
        <v>0</v>
      </c>
    </row>
    <row r="141" spans="1:2" ht="15" customHeight="1">
      <c r="A141" s="32" t="str">
        <f>'Trial Balance'!A325&amp;"-"&amp;'Trial Balance'!B325</f>
        <v>5335-Bad Debt Expense</v>
      </c>
      <c r="B141" s="23">
        <f>'Trial Balance'!F325</f>
        <v>219605.09</v>
      </c>
    </row>
    <row r="142" spans="1:2" ht="15" customHeight="1" thickBot="1">
      <c r="A142" s="32" t="str">
        <f>'Trial Balance'!A326&amp;"-"&amp;'Trial Balance'!B326</f>
        <v>5340-Miscellaneous Customer Accounts Expenses</v>
      </c>
      <c r="B142" s="23">
        <f>'Trial Balance'!F326</f>
        <v>90</v>
      </c>
    </row>
    <row r="143" spans="1:2" ht="15" customHeight="1" thickBot="1">
      <c r="A143" s="38" t="s">
        <v>98</v>
      </c>
      <c r="B143" s="24">
        <f>SUM(B135:B142)</f>
        <v>1094867.81</v>
      </c>
    </row>
    <row r="144" spans="1:2" s="21" customFormat="1" ht="15" customHeight="1">
      <c r="A144" s="423"/>
      <c r="B144" s="424"/>
    </row>
    <row r="145" spans="1:2" s="21" customFormat="1" ht="15" customHeight="1">
      <c r="A145" s="425" t="s">
        <v>99</v>
      </c>
      <c r="B145" s="426"/>
    </row>
    <row r="146" spans="1:2" ht="15" customHeight="1">
      <c r="A146" s="32" t="str">
        <f>'Trial Balance'!A328&amp;"-"&amp;'Trial Balance'!B328</f>
        <v>5405-Supervision</v>
      </c>
      <c r="B146" s="23">
        <f>'Trial Balance'!F328</f>
        <v>0</v>
      </c>
    </row>
    <row r="147" spans="1:2" ht="15" customHeight="1">
      <c r="A147" s="32" t="str">
        <f>'Trial Balance'!A329&amp;"-"&amp;'Trial Balance'!B329</f>
        <v>5410-Community Relations - Sundry</v>
      </c>
      <c r="B147" s="23">
        <f>'Trial Balance'!F329</f>
        <v>0</v>
      </c>
    </row>
    <row r="148" spans="1:2" ht="15" customHeight="1">
      <c r="A148" s="32" t="str">
        <f>'Trial Balance'!A330&amp;"-"&amp;'Trial Balance'!B330</f>
        <v>5415-Energy Conservation</v>
      </c>
      <c r="B148" s="23">
        <f>'Trial Balance'!F330</f>
        <v>436999.66</v>
      </c>
    </row>
    <row r="149" spans="1:2" ht="15" customHeight="1">
      <c r="A149" s="32" t="str">
        <f>'Trial Balance'!A331&amp;"-"&amp;'Trial Balance'!B331</f>
        <v>5420-Community Safety Program</v>
      </c>
      <c r="B149" s="23">
        <f>'Trial Balance'!F331</f>
        <v>1660.63</v>
      </c>
    </row>
    <row r="150" spans="1:2" ht="15" customHeight="1" thickBot="1">
      <c r="A150" s="32" t="str">
        <f>'Trial Balance'!A332&amp;"-"&amp;'Trial Balance'!B332</f>
        <v>5425-Miscellaneous Customer Service and Informational Expenses</v>
      </c>
      <c r="B150" s="23">
        <f>'Trial Balance'!F332</f>
        <v>16231.18</v>
      </c>
    </row>
    <row r="151" spans="1:2" ht="15" customHeight="1" thickBot="1">
      <c r="A151" s="38" t="s">
        <v>100</v>
      </c>
      <c r="B151" s="24">
        <f>SUM(B146:B150)</f>
        <v>454891.47</v>
      </c>
    </row>
    <row r="152" spans="1:2" s="21" customFormat="1" ht="15" customHeight="1">
      <c r="A152" s="423"/>
      <c r="B152" s="424"/>
    </row>
    <row r="153" spans="1:2" s="21" customFormat="1" ht="15" customHeight="1">
      <c r="A153" s="425" t="s">
        <v>101</v>
      </c>
      <c r="B153" s="426"/>
    </row>
    <row r="154" spans="1:2" ht="15" customHeight="1">
      <c r="A154" s="32" t="str">
        <f>'Trial Balance'!A339&amp;"-"&amp;'Trial Balance'!B339</f>
        <v>5605-Executive Salaries and Expenses</v>
      </c>
      <c r="B154" s="23">
        <f>'Trial Balance'!F339</f>
        <v>0</v>
      </c>
    </row>
    <row r="155" spans="1:2" ht="15" customHeight="1">
      <c r="A155" s="32" t="str">
        <f>'Trial Balance'!A340&amp;"-"&amp;'Trial Balance'!B340</f>
        <v>5610-Management Salaries and Expenses</v>
      </c>
      <c r="B155" s="23">
        <f>'Trial Balance'!F340</f>
        <v>420939.6</v>
      </c>
    </row>
    <row r="156" spans="1:2" ht="15" customHeight="1">
      <c r="A156" s="32" t="str">
        <f>'Trial Balance'!A341&amp;"-"&amp;'Trial Balance'!B341</f>
        <v>5615-General Administrative Salaries and Expenses</v>
      </c>
      <c r="B156" s="23">
        <f>'Trial Balance'!F341</f>
        <v>498053.74</v>
      </c>
    </row>
    <row r="157" spans="1:2" ht="15" customHeight="1">
      <c r="A157" s="32" t="str">
        <f>'Trial Balance'!A342&amp;"-"&amp;'Trial Balance'!B342</f>
        <v>5620-Office Supplies and Expenses</v>
      </c>
      <c r="B157" s="23">
        <f>'Trial Balance'!F342</f>
        <v>298.62</v>
      </c>
    </row>
    <row r="158" spans="1:2" ht="15" customHeight="1">
      <c r="A158" s="32" t="str">
        <f>'Trial Balance'!A343&amp;"-"&amp;'Trial Balance'!B343</f>
        <v>5625-Administrative Expense Transferred-Credit</v>
      </c>
      <c r="B158" s="23">
        <f>'Trial Balance'!F343</f>
        <v>0</v>
      </c>
    </row>
    <row r="159" spans="1:2" ht="15" customHeight="1">
      <c r="A159" s="32" t="str">
        <f>'Trial Balance'!A344&amp;"-"&amp;'Trial Balance'!B344</f>
        <v>5630-Outside Services Employed</v>
      </c>
      <c r="B159" s="23">
        <f>'Trial Balance'!F344</f>
        <v>311590.96</v>
      </c>
    </row>
    <row r="160" spans="1:2" ht="15" customHeight="1">
      <c r="A160" s="32" t="str">
        <f>'Trial Balance'!A345&amp;"-"&amp;'Trial Balance'!B345</f>
        <v>5635-Property Insurance</v>
      </c>
      <c r="B160" s="23">
        <f>'Trial Balance'!F345</f>
        <v>155327.04</v>
      </c>
    </row>
    <row r="161" spans="1:2" ht="15" customHeight="1">
      <c r="A161" s="32" t="str">
        <f>'Trial Balance'!A346&amp;"-"&amp;'Trial Balance'!B346</f>
        <v>5640-Injuries and Damages</v>
      </c>
      <c r="B161" s="23">
        <f>'Trial Balance'!F346</f>
        <v>0</v>
      </c>
    </row>
    <row r="162" spans="1:2" ht="15" customHeight="1">
      <c r="A162" s="32" t="str">
        <f>'Trial Balance'!A347&amp;"-"&amp;'Trial Balance'!B347</f>
        <v>5645-Employee Pensions and Benefits</v>
      </c>
      <c r="B162" s="23">
        <f>'Trial Balance'!F347</f>
        <v>367229.28</v>
      </c>
    </row>
    <row r="163" spans="1:2" ht="15" customHeight="1">
      <c r="A163" s="32" t="str">
        <f>'Trial Balance'!A348&amp;"-"&amp;'Trial Balance'!B348</f>
        <v>5650-Franchise Requirements</v>
      </c>
      <c r="B163" s="23">
        <f>'Trial Balance'!F348</f>
        <v>0</v>
      </c>
    </row>
    <row r="164" spans="1:2" ht="15" customHeight="1">
      <c r="A164" s="32" t="str">
        <f>'Trial Balance'!A349&amp;"-"&amp;'Trial Balance'!B349</f>
        <v>5655-Regulatory Expenses</v>
      </c>
      <c r="B164" s="23">
        <f>'Trial Balance'!F349</f>
        <v>108160.8</v>
      </c>
    </row>
    <row r="165" spans="1:2" ht="15" customHeight="1">
      <c r="A165" s="32" t="str">
        <f>'Trial Balance'!A350&amp;"-"&amp;'Trial Balance'!B350</f>
        <v>5660-General Advertising Expenses</v>
      </c>
      <c r="B165" s="23">
        <f>'Trial Balance'!F350</f>
        <v>1143.01</v>
      </c>
    </row>
    <row r="166" spans="1:2" ht="15" customHeight="1">
      <c r="A166" s="32" t="str">
        <f>'Trial Balance'!A351&amp;"-"&amp;'Trial Balance'!B351</f>
        <v>5665-Miscellaneous Expenses</v>
      </c>
      <c r="B166" s="23">
        <f>'Trial Balance'!F351</f>
        <v>95785.57</v>
      </c>
    </row>
    <row r="167" spans="1:2" ht="15" customHeight="1">
      <c r="A167" s="32" t="str">
        <f>'Trial Balance'!A352&amp;"-"&amp;'Trial Balance'!B352</f>
        <v>5670-Rent  </v>
      </c>
      <c r="B167" s="23">
        <f>'Trial Balance'!F352</f>
        <v>0</v>
      </c>
    </row>
    <row r="168" spans="1:2" ht="15" customHeight="1">
      <c r="A168" s="32" t="str">
        <f>'Trial Balance'!A353&amp;"-"&amp;'Trial Balance'!B353</f>
        <v>5675-Maintenance of General Plant</v>
      </c>
      <c r="B168" s="23">
        <f>'Trial Balance'!F353</f>
        <v>93166.74</v>
      </c>
    </row>
    <row r="169" spans="1:2" ht="15" customHeight="1">
      <c r="A169" s="32" t="str">
        <f>'Trial Balance'!A354&amp;"-"&amp;'Trial Balance'!B354</f>
        <v>5680-Electrical Safety Authority Fees</v>
      </c>
      <c r="B169" s="23">
        <f>'Trial Balance'!F354</f>
        <v>9837.66</v>
      </c>
    </row>
    <row r="170" spans="1:2" ht="15" customHeight="1">
      <c r="A170" s="32" t="str">
        <f>'Trial Balance'!A355&amp;"-"&amp;'Trial Balance'!B355</f>
        <v>5685-Independent Market Operator Fees and Penalties</v>
      </c>
      <c r="B170" s="23">
        <f>'Trial Balance'!F355</f>
        <v>0</v>
      </c>
    </row>
    <row r="171" spans="1:2" ht="15" customHeight="1" thickBot="1">
      <c r="A171" s="32" t="str">
        <f>'Trial Balance'!A356&amp;"-"&amp;'Trial Balance'!B356</f>
        <v>5695-OM&amp;A Contra Account</v>
      </c>
      <c r="B171" s="23">
        <f>'Trial Balance'!F356</f>
        <v>7443.99</v>
      </c>
    </row>
    <row r="172" spans="1:2" ht="15" customHeight="1" thickBot="1">
      <c r="A172" s="38" t="s">
        <v>75</v>
      </c>
      <c r="B172" s="24">
        <f>SUM(B154:B171)</f>
        <v>2068977.01</v>
      </c>
    </row>
    <row r="173" spans="1:2" s="21" customFormat="1" ht="15" customHeight="1">
      <c r="A173" s="423"/>
      <c r="B173" s="424"/>
    </row>
    <row r="174" spans="1:2" s="21" customFormat="1" ht="15" customHeight="1">
      <c r="A174" s="425" t="s">
        <v>76</v>
      </c>
      <c r="B174" s="426"/>
    </row>
    <row r="175" spans="1:2" s="21" customFormat="1" ht="15" customHeight="1">
      <c r="A175" s="32" t="str">
        <f>'Trial Balance'!A358&amp;"-"&amp;'Trial Balance'!B358</f>
        <v>5705-Amortization Expense - Property, Plant and Equipment</v>
      </c>
      <c r="B175" s="23">
        <f>'Trial Balance'!F358</f>
        <v>2315185.879999999</v>
      </c>
    </row>
    <row r="176" spans="1:2" s="21" customFormat="1" ht="15" customHeight="1">
      <c r="A176" s="32" t="str">
        <f>'Trial Balance'!A359&amp;"-"&amp;'Trial Balance'!B359</f>
        <v>5710-Amortization of Limited Term Electric Plant</v>
      </c>
      <c r="B176" s="23">
        <f>'Trial Balance'!F359</f>
        <v>0</v>
      </c>
    </row>
    <row r="177" spans="1:2" s="21" customFormat="1" ht="15" customHeight="1">
      <c r="A177" s="32" t="str">
        <f>'Trial Balance'!A360&amp;"-"&amp;'Trial Balance'!B360</f>
        <v>5715-Amortization of Intangibles and Other Electric Plant</v>
      </c>
      <c r="B177" s="23">
        <f>'Trial Balance'!F360</f>
        <v>0</v>
      </c>
    </row>
    <row r="178" spans="1:2" s="21" customFormat="1" ht="15" customHeight="1">
      <c r="A178" s="32" t="str">
        <f>'Trial Balance'!A361&amp;"-"&amp;'Trial Balance'!B361</f>
        <v>5720-Amortization of Electric Plant Acquisition Adjustments</v>
      </c>
      <c r="B178" s="23">
        <f>'Trial Balance'!F361</f>
        <v>0</v>
      </c>
    </row>
    <row r="179" spans="1:2" s="21" customFormat="1" ht="15" customHeight="1">
      <c r="A179" s="32" t="str">
        <f>'Trial Balance'!A362&amp;"-"&amp;'Trial Balance'!B362</f>
        <v>5725-Miscellaneous Amortization</v>
      </c>
      <c r="B179" s="23">
        <f>'Trial Balance'!F362</f>
        <v>0</v>
      </c>
    </row>
    <row r="180" spans="1:2" s="21" customFormat="1" ht="15" customHeight="1">
      <c r="A180" s="32" t="str">
        <f>'Trial Balance'!A363&amp;"-"&amp;'Trial Balance'!B363</f>
        <v>5730-Amortization of Unrecovered Plant and Regulatory Study Costs</v>
      </c>
      <c r="B180" s="23">
        <f>'Trial Balance'!F363</f>
        <v>0</v>
      </c>
    </row>
    <row r="181" spans="1:2" s="21" customFormat="1" ht="15" customHeight="1">
      <c r="A181" s="32" t="str">
        <f>'Trial Balance'!A364&amp;"-"&amp;'Trial Balance'!B364</f>
        <v>5735-Amortization of Deferred Development Costs</v>
      </c>
      <c r="B181" s="23">
        <f>'Trial Balance'!F364</f>
        <v>0</v>
      </c>
    </row>
    <row r="182" spans="1:2" ht="15" customHeight="1" thickBot="1">
      <c r="A182" s="32" t="str">
        <f>'Trial Balance'!A365&amp;"-"&amp;'Trial Balance'!B365</f>
        <v>5740-Amortization of Deferred Charges</v>
      </c>
      <c r="B182" s="23">
        <f>'Trial Balance'!F365</f>
        <v>0</v>
      </c>
    </row>
    <row r="183" spans="1:2" ht="15" customHeight="1" thickBot="1">
      <c r="A183" s="38" t="s">
        <v>77</v>
      </c>
      <c r="B183" s="24">
        <f>SUM(B175:B182)</f>
        <v>2315185.879999999</v>
      </c>
    </row>
    <row r="184" spans="1:2" s="21" customFormat="1" ht="15" customHeight="1">
      <c r="A184" s="423"/>
      <c r="B184" s="424"/>
    </row>
    <row r="185" spans="1:2" s="21" customFormat="1" ht="15" customHeight="1">
      <c r="A185" s="425" t="s">
        <v>78</v>
      </c>
      <c r="B185" s="426"/>
    </row>
    <row r="186" spans="1:2" ht="15" customHeight="1">
      <c r="A186" s="32" t="str">
        <f>'Trial Balance'!A367&amp;"-"&amp;'Trial Balance'!B367</f>
        <v>6005-Interest on Long Term Debt</v>
      </c>
      <c r="B186" s="23">
        <f>'Trial Balance'!F367</f>
        <v>0</v>
      </c>
    </row>
    <row r="187" spans="1:2" ht="15" customHeight="1">
      <c r="A187" s="32" t="str">
        <f>'Trial Balance'!A368&amp;"-"&amp;'Trial Balance'!B368</f>
        <v>6010-Amortization of Debt Discount and Expense</v>
      </c>
      <c r="B187" s="23">
        <f>'Trial Balance'!F368</f>
        <v>0</v>
      </c>
    </row>
    <row r="188" spans="1:2" ht="15" customHeight="1">
      <c r="A188" s="32" t="str">
        <f>'Trial Balance'!A369&amp;"-"&amp;'Trial Balance'!B369</f>
        <v>6015-Amortization of Premium on Debt-Credit</v>
      </c>
      <c r="B188" s="23">
        <f>'Trial Balance'!F369</f>
        <v>0</v>
      </c>
    </row>
    <row r="189" spans="1:2" ht="15" customHeight="1">
      <c r="A189" s="32" t="str">
        <f>'Trial Balance'!A370&amp;"-"&amp;'Trial Balance'!B370</f>
        <v>6020-Amortization of Loss on Reacquired Debt</v>
      </c>
      <c r="B189" s="23">
        <f>'Trial Balance'!F370</f>
        <v>0</v>
      </c>
    </row>
    <row r="190" spans="1:2" ht="15" customHeight="1">
      <c r="A190" s="32" t="str">
        <f>'Trial Balance'!A371&amp;"-"&amp;'Trial Balance'!B371</f>
        <v>6025-Amortization of Gain on Reacquired Debt-Credit</v>
      </c>
      <c r="B190" s="23">
        <f>'Trial Balance'!F371</f>
        <v>0</v>
      </c>
    </row>
    <row r="191" spans="1:2" ht="15" customHeight="1">
      <c r="A191" s="32" t="str">
        <f>'Trial Balance'!A372&amp;"-"&amp;'Trial Balance'!B372</f>
        <v>6030-Interest on Debt to Associated Companies</v>
      </c>
      <c r="B191" s="23">
        <f>'Trial Balance'!F372</f>
        <v>975580.08</v>
      </c>
    </row>
    <row r="192" spans="1:2" ht="15" customHeight="1">
      <c r="A192" s="32" t="str">
        <f>'Trial Balance'!A373&amp;"-"&amp;'Trial Balance'!B373</f>
        <v>6035-Other Interest Expense</v>
      </c>
      <c r="B192" s="23">
        <f>'Trial Balance'!F373</f>
        <v>206955.38</v>
      </c>
    </row>
    <row r="193" spans="1:2" ht="15" customHeight="1">
      <c r="A193" s="32" t="str">
        <f>'Trial Balance'!A374&amp;"-"&amp;'Trial Balance'!B374</f>
        <v>6040-Allowance for Borrowed Funds Used During Construction-Credit</v>
      </c>
      <c r="B193" s="23">
        <f>'Trial Balance'!F374</f>
        <v>0</v>
      </c>
    </row>
    <row r="194" spans="1:2" ht="15" customHeight="1">
      <c r="A194" s="32" t="str">
        <f>'Trial Balance'!A375&amp;"-"&amp;'Trial Balance'!B375</f>
        <v>6042-Allowance for Other Funds Used During Construction</v>
      </c>
      <c r="B194" s="23">
        <f>'Trial Balance'!F375</f>
        <v>0</v>
      </c>
    </row>
    <row r="195" spans="1:2" ht="15" customHeight="1" thickBot="1">
      <c r="A195" s="32" t="str">
        <f>'Trial Balance'!A376&amp;"-"&amp;'Trial Balance'!B376</f>
        <v>6045-Interest Expense on Capital Lease Obligations</v>
      </c>
      <c r="B195" s="23">
        <f>'Trial Balance'!F376</f>
        <v>0</v>
      </c>
    </row>
    <row r="196" spans="1:2" ht="15" customHeight="1" thickBot="1">
      <c r="A196" s="38" t="s">
        <v>556</v>
      </c>
      <c r="B196" s="24">
        <f>SUM(B186:B195)</f>
        <v>1182535.46</v>
      </c>
    </row>
    <row r="197" spans="1:2" s="21" customFormat="1" ht="15" customHeight="1">
      <c r="A197" s="423"/>
      <c r="B197" s="424"/>
    </row>
    <row r="198" spans="1:2" s="21" customFormat="1" ht="15" customHeight="1">
      <c r="A198" s="425" t="s">
        <v>557</v>
      </c>
      <c r="B198" s="426"/>
    </row>
    <row r="199" spans="1:2" ht="15" customHeight="1" thickBot="1">
      <c r="A199" s="32" t="str">
        <f>'Trial Balance'!A378&amp;"-"&amp;'Trial Balance'!B378</f>
        <v>6105-Taxes Other Than Income Taxes</v>
      </c>
      <c r="B199" s="23">
        <f>'Trial Balance'!F378</f>
        <v>80390.9</v>
      </c>
    </row>
    <row r="200" spans="1:2" ht="15" customHeight="1" thickBot="1">
      <c r="A200" s="38" t="s">
        <v>560</v>
      </c>
      <c r="B200" s="24">
        <f>SUM(B199)</f>
        <v>80390.9</v>
      </c>
    </row>
    <row r="201" spans="1:2" s="21" customFormat="1" ht="15" customHeight="1">
      <c r="A201" s="423"/>
      <c r="B201" s="424"/>
    </row>
    <row r="202" spans="1:2" s="21" customFormat="1" ht="15" customHeight="1">
      <c r="A202" s="425" t="s">
        <v>561</v>
      </c>
      <c r="B202" s="426"/>
    </row>
    <row r="203" spans="1:2" ht="15" customHeight="1">
      <c r="A203" s="32" t="str">
        <f>'Trial Balance'!A379&amp;"-"&amp;'Trial Balance'!B379</f>
        <v>6110-Income Taxes</v>
      </c>
      <c r="B203" s="23">
        <f>'Trial Balance'!F379</f>
        <v>1210746.44</v>
      </c>
    </row>
    <row r="204" spans="1:2" ht="15" customHeight="1" thickBot="1">
      <c r="A204" s="32" t="str">
        <f>'Trial Balance'!A380&amp;"-"&amp;'Trial Balance'!B380</f>
        <v>6115-Provision for Future Income Taxes</v>
      </c>
      <c r="B204" s="23">
        <f>'Trial Balance'!F380</f>
        <v>0</v>
      </c>
    </row>
    <row r="205" spans="1:2" ht="15" customHeight="1" thickBot="1">
      <c r="A205" s="38" t="s">
        <v>562</v>
      </c>
      <c r="B205" s="24">
        <f>SUM(B203:B204)</f>
        <v>1210746.44</v>
      </c>
    </row>
    <row r="206" spans="1:2" s="21" customFormat="1" ht="15" customHeight="1">
      <c r="A206" s="423"/>
      <c r="B206" s="424"/>
    </row>
    <row r="207" spans="1:2" s="21" customFormat="1" ht="15" customHeight="1">
      <c r="A207" s="425" t="s">
        <v>542</v>
      </c>
      <c r="B207" s="426"/>
    </row>
    <row r="208" spans="1:2" ht="15" customHeight="1">
      <c r="A208" s="32" t="str">
        <f>'Trial Balance'!A382&amp;"-"&amp;'Trial Balance'!B382</f>
        <v>6205-Donations</v>
      </c>
      <c r="B208" s="23">
        <f>'Trial Balance'!F382</f>
        <v>6000</v>
      </c>
    </row>
    <row r="209" spans="1:2" ht="15" customHeight="1">
      <c r="A209" s="32" t="str">
        <f>'Trial Balance'!A383&amp;"-"&amp;'Trial Balance'!B383</f>
        <v>6210-Life Insurance</v>
      </c>
      <c r="B209" s="23">
        <f>'Trial Balance'!F383</f>
        <v>0</v>
      </c>
    </row>
    <row r="210" spans="1:2" ht="15" customHeight="1">
      <c r="A210" s="32" t="str">
        <f>'Trial Balance'!A384&amp;"-"&amp;'Trial Balance'!B384</f>
        <v>6215-Penalties</v>
      </c>
      <c r="B210" s="23">
        <f>'Trial Balance'!F384</f>
        <v>0</v>
      </c>
    </row>
    <row r="211" spans="1:7" ht="15" customHeight="1" thickBot="1">
      <c r="A211" s="32" t="str">
        <f>'Trial Balance'!A385&amp;"-"&amp;'Trial Balance'!B385</f>
        <v>6225-Other Deductions</v>
      </c>
      <c r="B211" s="23">
        <f>'Trial Balance'!F385</f>
        <v>0</v>
      </c>
      <c r="D211" s="13"/>
      <c r="E211" s="13"/>
      <c r="F211" s="13"/>
      <c r="G211" s="13"/>
    </row>
    <row r="212" spans="1:2" ht="15" customHeight="1" thickBot="1">
      <c r="A212" s="38" t="s">
        <v>543</v>
      </c>
      <c r="B212" s="24">
        <f>SUM(B208:B211)</f>
        <v>6000</v>
      </c>
    </row>
    <row r="213" spans="1:7" s="13" customFormat="1" ht="15" customHeight="1" thickBot="1">
      <c r="A213" s="423"/>
      <c r="B213" s="424"/>
      <c r="D213"/>
      <c r="E213"/>
      <c r="F213"/>
      <c r="G213"/>
    </row>
    <row r="214" spans="1:2" ht="18.75" customHeight="1" thickBot="1">
      <c r="A214" s="39" t="s">
        <v>817</v>
      </c>
      <c r="B214" s="26">
        <f>B24+B31+B43+B66+B71+B85+B111+B132+B143+B151+B172+B183+B196+B200+B205+B212</f>
        <v>-1359930.6599999946</v>
      </c>
    </row>
    <row r="215" spans="1:2" ht="15">
      <c r="A215" s="11"/>
      <c r="B215" s="11"/>
    </row>
    <row r="216" spans="1:2" ht="15">
      <c r="A216" s="11"/>
      <c r="B216" s="342"/>
    </row>
    <row r="217" spans="1:2" ht="15">
      <c r="A217" s="11"/>
      <c r="B217" s="342"/>
    </row>
    <row r="218" spans="1:2" ht="15">
      <c r="A218" s="11"/>
      <c r="B218" s="11"/>
    </row>
    <row r="219" spans="1:2" ht="15">
      <c r="A219" s="11"/>
      <c r="B219" s="11"/>
    </row>
    <row r="220" spans="1:2" ht="15">
      <c r="A220" s="11"/>
      <c r="B220" s="11"/>
    </row>
    <row r="221" spans="1:2" ht="15">
      <c r="A221" s="11"/>
      <c r="B221" s="11"/>
    </row>
    <row r="222" spans="1:2" ht="15">
      <c r="A222" s="11"/>
      <c r="B222" s="11"/>
    </row>
    <row r="223" spans="1:2" ht="15">
      <c r="A223" s="11"/>
      <c r="B223" s="11"/>
    </row>
    <row r="224" spans="1:2" ht="15">
      <c r="A224" s="11"/>
      <c r="B224" s="11"/>
    </row>
    <row r="225" spans="1:2" ht="15">
      <c r="A225" s="11"/>
      <c r="B225" s="11"/>
    </row>
    <row r="226" spans="1:2" ht="15">
      <c r="A226" s="11"/>
      <c r="B226" s="11"/>
    </row>
    <row r="227" spans="1:2" ht="15">
      <c r="A227" s="11"/>
      <c r="B227" s="11"/>
    </row>
    <row r="228" spans="1:2" ht="15">
      <c r="A228" s="11"/>
      <c r="B228" s="11"/>
    </row>
    <row r="229" spans="1:2" ht="15">
      <c r="A229" s="11"/>
      <c r="B229" s="11"/>
    </row>
    <row r="230" spans="1:2" ht="15">
      <c r="A230" s="11"/>
      <c r="B230" s="11"/>
    </row>
    <row r="231" spans="1:2" ht="15">
      <c r="A231" s="11"/>
      <c r="B231" s="11"/>
    </row>
    <row r="232" spans="1:2" ht="15">
      <c r="A232" s="11"/>
      <c r="B232" s="11"/>
    </row>
    <row r="233" spans="1:2" ht="15">
      <c r="A233" s="11"/>
      <c r="B233" s="11"/>
    </row>
    <row r="234" spans="1:2" ht="15">
      <c r="A234" s="11"/>
      <c r="B234" s="11"/>
    </row>
    <row r="235" spans="1:2" ht="15">
      <c r="A235" s="11"/>
      <c r="B235" s="11"/>
    </row>
    <row r="236" spans="1:2" ht="15">
      <c r="A236" s="11"/>
      <c r="B236" s="11"/>
    </row>
    <row r="237" spans="1:2" ht="15">
      <c r="A237" s="11"/>
      <c r="B237" s="11"/>
    </row>
    <row r="238" spans="1:2" ht="15">
      <c r="A238" s="11"/>
      <c r="B238" s="11"/>
    </row>
    <row r="239" spans="1:2" ht="15">
      <c r="A239" s="11"/>
      <c r="B239" s="11"/>
    </row>
    <row r="240" spans="1:2" ht="15">
      <c r="A240" s="11"/>
      <c r="B240" s="11"/>
    </row>
    <row r="241" spans="1:2" ht="15">
      <c r="A241" s="11"/>
      <c r="B241" s="11"/>
    </row>
    <row r="242" spans="1:2" ht="15">
      <c r="A242" s="11"/>
      <c r="B242" s="11"/>
    </row>
    <row r="243" spans="1:2" ht="15">
      <c r="A243" s="11"/>
      <c r="B243" s="11"/>
    </row>
    <row r="244" spans="1:2" ht="15">
      <c r="A244" s="11"/>
      <c r="B244" s="11"/>
    </row>
    <row r="245" spans="1:2" ht="15">
      <c r="A245" s="11"/>
      <c r="B245" s="11"/>
    </row>
    <row r="246" spans="1:2" ht="15">
      <c r="A246" s="11"/>
      <c r="B246" s="11"/>
    </row>
    <row r="247" spans="1:2" ht="15">
      <c r="A247" s="11"/>
      <c r="B247" s="11"/>
    </row>
    <row r="248" spans="1:2" ht="15">
      <c r="A248" s="11"/>
      <c r="B248" s="11"/>
    </row>
    <row r="249" spans="1:2" ht="15">
      <c r="A249" s="11"/>
      <c r="B249" s="11"/>
    </row>
    <row r="250" spans="1:2" ht="15">
      <c r="A250" s="11"/>
      <c r="B250" s="11"/>
    </row>
    <row r="251" spans="1:2" ht="15">
      <c r="A251" s="11"/>
      <c r="B251" s="11"/>
    </row>
    <row r="252" spans="1:2" ht="15">
      <c r="A252" s="11"/>
      <c r="B252" s="11"/>
    </row>
    <row r="253" spans="1:2" ht="15">
      <c r="A253" s="11"/>
      <c r="B253" s="11"/>
    </row>
    <row r="254" spans="1:2" ht="15">
      <c r="A254" s="11"/>
      <c r="B254" s="11"/>
    </row>
    <row r="255" spans="1:2" ht="15">
      <c r="A255" s="11"/>
      <c r="B255" s="11"/>
    </row>
    <row r="256" spans="1:2" ht="15">
      <c r="A256" s="11"/>
      <c r="B256" s="11"/>
    </row>
    <row r="257" spans="1:2" ht="15">
      <c r="A257" s="11"/>
      <c r="B257" s="11"/>
    </row>
    <row r="258" spans="1:2" ht="15">
      <c r="A258" s="11"/>
      <c r="B258" s="11"/>
    </row>
    <row r="259" spans="1:2" ht="15">
      <c r="A259" s="11"/>
      <c r="B259" s="11"/>
    </row>
    <row r="260" spans="1:2" ht="15">
      <c r="A260" s="11"/>
      <c r="B260" s="11"/>
    </row>
    <row r="261" spans="1:2" ht="15">
      <c r="A261" s="11"/>
      <c r="B261" s="11"/>
    </row>
    <row r="262" spans="1:2" ht="15">
      <c r="A262" s="11"/>
      <c r="B262" s="11"/>
    </row>
    <row r="263" spans="1:2" ht="15">
      <c r="A263" s="11"/>
      <c r="B263" s="11"/>
    </row>
    <row r="264" spans="1:2" ht="15">
      <c r="A264" s="11"/>
      <c r="B264" s="11"/>
    </row>
    <row r="265" spans="1:2" ht="15">
      <c r="A265" s="11"/>
      <c r="B265" s="11"/>
    </row>
    <row r="266" spans="1:2" ht="15">
      <c r="A266" s="11"/>
      <c r="B266" s="11"/>
    </row>
    <row r="267" spans="1:2" ht="15">
      <c r="A267" s="11"/>
      <c r="B267" s="11"/>
    </row>
    <row r="268" spans="1:2" ht="15">
      <c r="A268" s="11"/>
      <c r="B268" s="11"/>
    </row>
    <row r="269" spans="1:2" ht="15">
      <c r="A269" s="11"/>
      <c r="B269" s="11"/>
    </row>
    <row r="270" spans="1:2" ht="15">
      <c r="A270" s="11"/>
      <c r="B270" s="11"/>
    </row>
    <row r="271" spans="1:2" ht="15">
      <c r="A271" s="11"/>
      <c r="B271" s="11"/>
    </row>
    <row r="272" spans="1:2" ht="15">
      <c r="A272" s="11"/>
      <c r="B272" s="11"/>
    </row>
    <row r="273" spans="1:2" ht="15">
      <c r="A273" s="11"/>
      <c r="B273" s="11"/>
    </row>
    <row r="274" spans="1:2" ht="15">
      <c r="A274" s="11"/>
      <c r="B274" s="11"/>
    </row>
    <row r="275" spans="1:2" ht="15">
      <c r="A275" s="11"/>
      <c r="B275" s="11"/>
    </row>
    <row r="276" spans="1:2" ht="15">
      <c r="A276" s="11"/>
      <c r="B276" s="11"/>
    </row>
    <row r="277" spans="1:2" ht="15">
      <c r="A277" s="11"/>
      <c r="B277" s="11"/>
    </row>
    <row r="278" spans="1:2" ht="15">
      <c r="A278" s="11"/>
      <c r="B278" s="11"/>
    </row>
    <row r="279" spans="1:2" ht="15">
      <c r="A279" s="11"/>
      <c r="B279" s="11"/>
    </row>
    <row r="280" spans="1:2" ht="15">
      <c r="A280" s="11"/>
      <c r="B280" s="11"/>
    </row>
    <row r="281" spans="1:2" ht="15">
      <c r="A281" s="11"/>
      <c r="B281" s="11"/>
    </row>
    <row r="282" spans="1:2" ht="15">
      <c r="A282" s="11"/>
      <c r="B282" s="11"/>
    </row>
    <row r="283" spans="1:2" ht="15">
      <c r="A283" s="11"/>
      <c r="B283" s="11"/>
    </row>
    <row r="284" spans="1:2" ht="15">
      <c r="A284" s="11"/>
      <c r="B284" s="11"/>
    </row>
    <row r="285" spans="1:2" ht="15">
      <c r="A285" s="11"/>
      <c r="B285" s="11"/>
    </row>
    <row r="286" spans="1:2" ht="15">
      <c r="A286" s="11"/>
      <c r="B286" s="11"/>
    </row>
    <row r="287" spans="1:2" ht="15">
      <c r="A287" s="11"/>
      <c r="B287" s="11"/>
    </row>
    <row r="288" spans="1:2" ht="15">
      <c r="A288" s="11"/>
      <c r="B288" s="11"/>
    </row>
    <row r="289" spans="1:2" ht="15">
      <c r="A289" s="11"/>
      <c r="B289" s="11"/>
    </row>
    <row r="290" spans="1:2" ht="15">
      <c r="A290" s="11"/>
      <c r="B290" s="11"/>
    </row>
    <row r="291" spans="1:2" ht="15">
      <c r="A291" s="11"/>
      <c r="B291" s="11"/>
    </row>
    <row r="292" spans="1:2" ht="15">
      <c r="A292" s="11"/>
      <c r="B292" s="11"/>
    </row>
    <row r="293" spans="1:2" ht="15">
      <c r="A293" s="11"/>
      <c r="B293" s="11"/>
    </row>
    <row r="294" spans="1:2" ht="15">
      <c r="A294" s="11"/>
      <c r="B294" s="11"/>
    </row>
    <row r="295" spans="1:2" ht="15">
      <c r="A295" s="11"/>
      <c r="B295" s="11"/>
    </row>
    <row r="296" spans="1:2" ht="15">
      <c r="A296" s="11"/>
      <c r="B296" s="11"/>
    </row>
    <row r="297" spans="1:2" ht="15">
      <c r="A297" s="11"/>
      <c r="B297" s="11"/>
    </row>
    <row r="298" spans="1:2" ht="15">
      <c r="A298" s="11"/>
      <c r="B298" s="11"/>
    </row>
    <row r="299" spans="1:2" ht="15">
      <c r="A299" s="11"/>
      <c r="B299" s="11"/>
    </row>
    <row r="300" spans="1:2" ht="15">
      <c r="A300" s="11"/>
      <c r="B300" s="11"/>
    </row>
    <row r="301" spans="1:2" ht="15">
      <c r="A301" s="11"/>
      <c r="B301" s="11"/>
    </row>
    <row r="302" spans="1:2" ht="15">
      <c r="A302" s="11"/>
      <c r="B302" s="11"/>
    </row>
    <row r="303" spans="1:2" ht="15">
      <c r="A303" s="11"/>
      <c r="B303" s="11"/>
    </row>
    <row r="304" spans="1:2" ht="15">
      <c r="A304" s="11"/>
      <c r="B304" s="11"/>
    </row>
    <row r="305" spans="1:2" ht="15">
      <c r="A305" s="11"/>
      <c r="B305" s="11"/>
    </row>
    <row r="306" spans="1:2" ht="15">
      <c r="A306" s="11"/>
      <c r="B306" s="11"/>
    </row>
    <row r="307" spans="1:2" ht="15">
      <c r="A307" s="11"/>
      <c r="B307" s="11"/>
    </row>
    <row r="308" spans="1:2" ht="15">
      <c r="A308" s="11"/>
      <c r="B308" s="11"/>
    </row>
    <row r="309" spans="1:2" ht="15">
      <c r="A309" s="11"/>
      <c r="B309" s="11"/>
    </row>
    <row r="310" spans="1:2" ht="15">
      <c r="A310" s="11"/>
      <c r="B310" s="11"/>
    </row>
    <row r="311" spans="1:2" ht="15">
      <c r="A311" s="11"/>
      <c r="B311" s="11"/>
    </row>
    <row r="312" spans="1:2" ht="15">
      <c r="A312" s="11"/>
      <c r="B312" s="11"/>
    </row>
    <row r="313" spans="1:2" ht="15">
      <c r="A313" s="11"/>
      <c r="B313" s="11"/>
    </row>
    <row r="314" spans="1:2" ht="15">
      <c r="A314" s="11"/>
      <c r="B314" s="11"/>
    </row>
    <row r="315" spans="1:2" ht="15">
      <c r="A315" s="11"/>
      <c r="B315" s="11"/>
    </row>
    <row r="316" spans="1:2" ht="15">
      <c r="A316" s="11"/>
      <c r="B316" s="11"/>
    </row>
    <row r="317" spans="1:2" ht="15">
      <c r="A317" s="11"/>
      <c r="B317" s="11"/>
    </row>
    <row r="318" spans="1:2" ht="15">
      <c r="A318" s="11"/>
      <c r="B318" s="11"/>
    </row>
    <row r="319" spans="1:2" ht="15">
      <c r="A319" s="11"/>
      <c r="B319" s="11"/>
    </row>
    <row r="320" spans="1:2" ht="15">
      <c r="A320" s="11"/>
      <c r="B320" s="11"/>
    </row>
    <row r="321" spans="1:2" ht="15">
      <c r="A321" s="11"/>
      <c r="B321" s="11"/>
    </row>
    <row r="322" spans="1:2" ht="15">
      <c r="A322" s="11"/>
      <c r="B322" s="11"/>
    </row>
    <row r="323" spans="1:2" ht="15">
      <c r="A323" s="11"/>
      <c r="B323" s="11"/>
    </row>
    <row r="324" spans="1:2" ht="15">
      <c r="A324" s="11"/>
      <c r="B324" s="11"/>
    </row>
    <row r="325" spans="1:2" ht="15">
      <c r="A325" s="11"/>
      <c r="B325" s="11"/>
    </row>
    <row r="326" spans="1:2" ht="15">
      <c r="A326" s="11"/>
      <c r="B326" s="11"/>
    </row>
    <row r="327" spans="1:2" ht="15">
      <c r="A327" s="11"/>
      <c r="B327" s="11"/>
    </row>
    <row r="328" spans="1:2" ht="15">
      <c r="A328" s="11"/>
      <c r="B328" s="11"/>
    </row>
    <row r="329" spans="1:2" ht="15">
      <c r="A329" s="11"/>
      <c r="B329" s="11"/>
    </row>
    <row r="330" spans="1:2" ht="15">
      <c r="A330" s="11"/>
      <c r="B330" s="11"/>
    </row>
  </sheetData>
  <mergeCells count="36">
    <mergeCell ref="A3:B3"/>
    <mergeCell ref="A4:B4"/>
    <mergeCell ref="A6:B6"/>
    <mergeCell ref="A1:B1"/>
    <mergeCell ref="A2:B2"/>
    <mergeCell ref="A44:B44"/>
    <mergeCell ref="A67:B67"/>
    <mergeCell ref="A68:B68"/>
    <mergeCell ref="A72:B72"/>
    <mergeCell ref="A45:B45"/>
    <mergeCell ref="A25:B25"/>
    <mergeCell ref="A26:B26"/>
    <mergeCell ref="A32:B32"/>
    <mergeCell ref="A33:B33"/>
    <mergeCell ref="A73:B73"/>
    <mergeCell ref="A86:B86"/>
    <mergeCell ref="A87:B87"/>
    <mergeCell ref="A112:B112"/>
    <mergeCell ref="A113:B113"/>
    <mergeCell ref="A152:B152"/>
    <mergeCell ref="A173:B173"/>
    <mergeCell ref="A174:B174"/>
    <mergeCell ref="A145:B145"/>
    <mergeCell ref="A134:B134"/>
    <mergeCell ref="A153:B153"/>
    <mergeCell ref="A133:B133"/>
    <mergeCell ref="A144:B144"/>
    <mergeCell ref="A184:B184"/>
    <mergeCell ref="A185:B185"/>
    <mergeCell ref="A197:B197"/>
    <mergeCell ref="A198:B198"/>
    <mergeCell ref="A213:B213"/>
    <mergeCell ref="A201:B201"/>
    <mergeCell ref="A202:B202"/>
    <mergeCell ref="A206:B206"/>
    <mergeCell ref="A207:B207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portrait" scale="96" r:id="rId1"/>
  <headerFooter alignWithMargins="0">
    <oddFooter>&amp;L&amp;A</oddFooter>
  </headerFooter>
  <rowBreaks count="5" manualBreakCount="5">
    <brk id="44" max="255" man="1"/>
    <brk id="86" max="255" man="1"/>
    <brk id="112" max="255" man="1"/>
    <brk id="152" max="255" man="1"/>
    <brk id="19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C353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73.28125" style="30" customWidth="1"/>
    <col min="2" max="2" width="20.8515625" style="0" customWidth="1"/>
    <col min="3" max="16384" width="9.140625" style="21" customWidth="1"/>
  </cols>
  <sheetData>
    <row r="1" spans="1:2" ht="12.75">
      <c r="A1" s="441" t="str">
        <f>'Trial Balance'!A1:J1</f>
        <v>North Bay Hydro Distribution Ltd.</v>
      </c>
      <c r="B1" s="441"/>
    </row>
    <row r="2" spans="1:2" ht="12.75">
      <c r="A2" s="441" t="str">
        <f>'Trial Balance'!A2:J2</f>
        <v>License Number ED-2003-0024, File Number EB-2009-0270</v>
      </c>
      <c r="B2" s="441"/>
    </row>
    <row r="3" spans="1:2" ht="15.75">
      <c r="A3" s="433" t="str">
        <f>Notes!B4</f>
        <v>North Bay Hydro Distribution Ltd.</v>
      </c>
      <c r="B3" s="433"/>
    </row>
    <row r="4" spans="1:2" ht="15.75">
      <c r="A4" s="433" t="s">
        <v>166</v>
      </c>
      <c r="B4" s="433"/>
    </row>
    <row r="5" spans="1:2" ht="15" customHeight="1">
      <c r="A5" s="71" t="s">
        <v>545</v>
      </c>
      <c r="B5" s="71" t="s">
        <v>153</v>
      </c>
    </row>
    <row r="6" spans="1:2" ht="15" customHeight="1">
      <c r="A6" s="434" t="s">
        <v>148</v>
      </c>
      <c r="B6" s="434"/>
    </row>
    <row r="7" spans="1:2" ht="15" customHeight="1">
      <c r="A7" s="32" t="str">
        <f>'Trial Balance'!A8&amp;"-"&amp;'Trial Balance'!B8</f>
        <v>1005-Cash</v>
      </c>
      <c r="B7" s="23">
        <f>'Trial Balance'!H8</f>
        <v>9818844.67</v>
      </c>
    </row>
    <row r="8" spans="1:2" ht="15" customHeight="1">
      <c r="A8" s="32" t="str">
        <f>'Trial Balance'!A9&amp;"-"&amp;'Trial Balance'!B9</f>
        <v>1010-Cash Advances and Working Funds</v>
      </c>
      <c r="B8" s="23">
        <f>'Trial Balance'!H9</f>
        <v>0</v>
      </c>
    </row>
    <row r="9" spans="1:2" ht="15" customHeight="1">
      <c r="A9" s="32" t="str">
        <f>'Trial Balance'!A10&amp;"-"&amp;'Trial Balance'!B10</f>
        <v>1020-Interest Special Deposits</v>
      </c>
      <c r="B9" s="23">
        <f>'Trial Balance'!H10</f>
        <v>0</v>
      </c>
    </row>
    <row r="10" spans="1:2" ht="15" customHeight="1">
      <c r="A10" s="32" t="str">
        <f>'Trial Balance'!A11&amp;"-"&amp;'Trial Balance'!B11</f>
        <v>1030-Dividend Special Deposits</v>
      </c>
      <c r="B10" s="23">
        <f>'Trial Balance'!H11</f>
        <v>0</v>
      </c>
    </row>
    <row r="11" spans="1:2" ht="15" customHeight="1">
      <c r="A11" s="32" t="str">
        <f>'Trial Balance'!A12&amp;"-"&amp;'Trial Balance'!B12</f>
        <v>1040-Other Special Deposits</v>
      </c>
      <c r="B11" s="23">
        <f>'Trial Balance'!H12</f>
        <v>0</v>
      </c>
    </row>
    <row r="12" spans="1:2" ht="15" customHeight="1">
      <c r="A12" s="32" t="str">
        <f>'Trial Balance'!A13&amp;"-"&amp;'Trial Balance'!B13</f>
        <v>1060-Term Deposits</v>
      </c>
      <c r="B12" s="23">
        <f>'Trial Balance'!H13</f>
        <v>2393932.32</v>
      </c>
    </row>
    <row r="13" spans="1:2" ht="15" customHeight="1">
      <c r="A13" s="32" t="str">
        <f>'Trial Balance'!A14&amp;"-"&amp;'Trial Balance'!B14</f>
        <v>1070-Current Investments</v>
      </c>
      <c r="B13" s="23">
        <f>'Trial Balance'!H14</f>
        <v>0</v>
      </c>
    </row>
    <row r="14" spans="1:2" ht="15" customHeight="1">
      <c r="A14" s="32" t="str">
        <f>'Trial Balance'!A15&amp;"-"&amp;'Trial Balance'!B15</f>
        <v>1100-Customer Accounts Receivable</v>
      </c>
      <c r="B14" s="23">
        <f>'Trial Balance'!H15</f>
        <v>4578419.62</v>
      </c>
    </row>
    <row r="15" spans="1:2" ht="15" customHeight="1">
      <c r="A15" s="32" t="str">
        <f>'Trial Balance'!A16&amp;"-"&amp;'Trial Balance'!B16</f>
        <v>1102-Accounts Receivable - Services</v>
      </c>
      <c r="B15" s="23">
        <f>'Trial Balance'!H16</f>
        <v>-237277.92</v>
      </c>
    </row>
    <row r="16" spans="1:2" ht="15" customHeight="1">
      <c r="A16" s="32" t="str">
        <f>'Trial Balance'!A17&amp;"-"&amp;'Trial Balance'!B17</f>
        <v>1104-Accounts Receivable - Recoverable Work</v>
      </c>
      <c r="B16" s="23">
        <f>'Trial Balance'!H17</f>
        <v>302144.46</v>
      </c>
    </row>
    <row r="17" spans="1:2" ht="15" customHeight="1">
      <c r="A17" s="32" t="str">
        <f>'Trial Balance'!A18&amp;"-"&amp;'Trial Balance'!B18</f>
        <v>1105-Accounts Receivable - Merchandise, Jobbing, etc.</v>
      </c>
      <c r="B17" s="23">
        <f>'Trial Balance'!H18</f>
        <v>2405.4</v>
      </c>
    </row>
    <row r="18" spans="1:2" ht="15" customHeight="1">
      <c r="A18" s="32" t="str">
        <f>'Trial Balance'!A19&amp;"-"&amp;'Trial Balance'!B19</f>
        <v>1110-Other Accounts Receivable</v>
      </c>
      <c r="B18" s="23">
        <f>'Trial Balance'!H19</f>
        <v>809620.97</v>
      </c>
    </row>
    <row r="19" spans="1:2" ht="15" customHeight="1">
      <c r="A19" s="32" t="str">
        <f>'Trial Balance'!A20&amp;"-"&amp;'Trial Balance'!B20</f>
        <v>1120-Accrued Utility Revenues</v>
      </c>
      <c r="B19" s="23">
        <f>'Trial Balance'!H20</f>
        <v>5702480.28</v>
      </c>
    </row>
    <row r="20" spans="1:2" ht="15" customHeight="1">
      <c r="A20" s="32" t="str">
        <f>'Trial Balance'!A21&amp;"-"&amp;'Trial Balance'!B21</f>
        <v>1130-Accumulated Provision for Uncollectable Accounts -- Credit</v>
      </c>
      <c r="B20" s="23">
        <f>'Trial Balance'!H21</f>
        <v>-475806.89</v>
      </c>
    </row>
    <row r="21" spans="1:2" ht="15" customHeight="1">
      <c r="A21" s="32" t="str">
        <f>'Trial Balance'!A22&amp;"-"&amp;'Trial Balance'!B22</f>
        <v>1140-Interest and Dividends Receivable</v>
      </c>
      <c r="B21" s="23">
        <f>'Trial Balance'!H22</f>
        <v>0</v>
      </c>
    </row>
    <row r="22" spans="1:2" ht="15" customHeight="1">
      <c r="A22" s="32" t="str">
        <f>'Trial Balance'!A23&amp;"-"&amp;'Trial Balance'!B23</f>
        <v>1150-Rents Receivable</v>
      </c>
      <c r="B22" s="23">
        <f>'Trial Balance'!H23</f>
        <v>0</v>
      </c>
    </row>
    <row r="23" spans="1:2" ht="15" customHeight="1">
      <c r="A23" s="32" t="str">
        <f>'Trial Balance'!A24&amp;"-"&amp;'Trial Balance'!B24</f>
        <v>1170-Notes Receivable</v>
      </c>
      <c r="B23" s="23">
        <f>'Trial Balance'!H24</f>
        <v>0</v>
      </c>
    </row>
    <row r="24" spans="1:2" ht="15" customHeight="1">
      <c r="A24" s="32" t="str">
        <f>'Trial Balance'!A25&amp;"-"&amp;'Trial Balance'!B25</f>
        <v>1180-Prepayments</v>
      </c>
      <c r="B24" s="23">
        <f>'Trial Balance'!H25</f>
        <v>226073.94</v>
      </c>
    </row>
    <row r="25" spans="1:2" ht="15" customHeight="1">
      <c r="A25" s="32" t="str">
        <f>'Trial Balance'!A26&amp;"-"&amp;'Trial Balance'!B26</f>
        <v>1190-Miscellaneous Current and Accrued Assets</v>
      </c>
      <c r="B25" s="23">
        <f>'Trial Balance'!H26</f>
        <v>0</v>
      </c>
    </row>
    <row r="26" spans="1:2" ht="15" customHeight="1">
      <c r="A26" s="32" t="str">
        <f>'Trial Balance'!A27&amp;"-"&amp;'Trial Balance'!B27</f>
        <v>1200-Accounts Receivable from Associated Companies</v>
      </c>
      <c r="B26" s="23">
        <f>'Trial Balance'!H27</f>
        <v>339044.69</v>
      </c>
    </row>
    <row r="27" spans="1:2" ht="15" customHeight="1" thickBot="1">
      <c r="A27" s="32" t="str">
        <f>'Trial Balance'!A28&amp;"-"&amp;'Trial Balance'!B28</f>
        <v>1210-Notes  Receivable from Associated Companies</v>
      </c>
      <c r="B27" s="23">
        <f>'Trial Balance'!H28</f>
        <v>1332950</v>
      </c>
    </row>
    <row r="28" spans="1:2" ht="15" customHeight="1" thickBot="1">
      <c r="A28" s="34" t="s">
        <v>149</v>
      </c>
      <c r="B28" s="31">
        <f>SUM(B7:B27)</f>
        <v>24792831.54</v>
      </c>
    </row>
    <row r="29" spans="1:2" ht="8.25" customHeight="1">
      <c r="A29" s="435"/>
      <c r="B29" s="435"/>
    </row>
    <row r="30" spans="1:2" ht="15" customHeight="1">
      <c r="A30" s="432" t="s">
        <v>150</v>
      </c>
      <c r="B30" s="432"/>
    </row>
    <row r="31" spans="1:2" ht="15" customHeight="1">
      <c r="A31" s="32" t="str">
        <f>'Trial Balance'!A30&amp;"-"&amp;'Trial Balance'!B30</f>
        <v>1305-Fuel Stock</v>
      </c>
      <c r="B31" s="23">
        <f>'Trial Balance'!H30</f>
        <v>0</v>
      </c>
    </row>
    <row r="32" spans="1:2" ht="15" customHeight="1">
      <c r="A32" s="32" t="str">
        <f>'Trial Balance'!A31&amp;"-"&amp;'Trial Balance'!B31</f>
        <v>1330-Plant Materials and Operating Supplies</v>
      </c>
      <c r="B32" s="23">
        <f>'Trial Balance'!H31</f>
        <v>762696.62</v>
      </c>
    </row>
    <row r="33" spans="1:2" ht="15" customHeight="1">
      <c r="A33" s="32" t="str">
        <f>'Trial Balance'!A32&amp;"-"&amp;'Trial Balance'!B32</f>
        <v>1340-Merchandise</v>
      </c>
      <c r="B33" s="23">
        <f>'Trial Balance'!H32</f>
        <v>0</v>
      </c>
    </row>
    <row r="34" spans="1:2" ht="15" customHeight="1" thickBot="1">
      <c r="A34" s="32" t="str">
        <f>'Trial Balance'!A33&amp;"-"&amp;'Trial Balance'!B33</f>
        <v>1350-Other Material and Supplies</v>
      </c>
      <c r="B34" s="23">
        <f>'Trial Balance'!H33</f>
        <v>0</v>
      </c>
    </row>
    <row r="35" spans="1:2" ht="15" customHeight="1" thickBot="1">
      <c r="A35" s="35" t="s">
        <v>102</v>
      </c>
      <c r="B35" s="31">
        <f>SUM(B31:B34)</f>
        <v>762696.62</v>
      </c>
    </row>
    <row r="36" spans="1:2" ht="15" customHeight="1">
      <c r="A36" s="28"/>
      <c r="B36" s="12"/>
    </row>
    <row r="37" spans="1:2" ht="15" customHeight="1">
      <c r="A37" s="432" t="s">
        <v>103</v>
      </c>
      <c r="B37" s="432"/>
    </row>
    <row r="38" spans="1:2" ht="15" customHeight="1">
      <c r="A38" s="32" t="str">
        <f>'Trial Balance'!A35&amp;"-"&amp;'Trial Balance'!B35</f>
        <v>1405-Long Term Investments in Non-Associated Companies</v>
      </c>
      <c r="B38" s="23">
        <f>'Trial Balance'!H35</f>
        <v>0</v>
      </c>
    </row>
    <row r="39" spans="1:2" ht="15" customHeight="1">
      <c r="A39" s="32" t="str">
        <f>'Trial Balance'!A36&amp;"-"&amp;'Trial Balance'!B36</f>
        <v>1408-Long Term Receivable - Street Lighting Transfer</v>
      </c>
      <c r="B39" s="23">
        <f>'Trial Balance'!H36</f>
        <v>0</v>
      </c>
    </row>
    <row r="40" spans="1:2" ht="15" customHeight="1">
      <c r="A40" s="32" t="str">
        <f>'Trial Balance'!A37&amp;"-"&amp;'Trial Balance'!B37</f>
        <v>1410-Other Special or Collateral Funds</v>
      </c>
      <c r="B40" s="23">
        <f>'Trial Balance'!H37</f>
        <v>0</v>
      </c>
    </row>
    <row r="41" spans="1:2" ht="15" customHeight="1">
      <c r="A41" s="32" t="str">
        <f>'Trial Balance'!A38&amp;"-"&amp;'Trial Balance'!B38</f>
        <v>1415-Sinking Funds</v>
      </c>
      <c r="B41" s="23">
        <f>'Trial Balance'!H38</f>
        <v>0</v>
      </c>
    </row>
    <row r="42" spans="1:2" ht="15" customHeight="1">
      <c r="A42" s="32" t="str">
        <f>'Trial Balance'!A39&amp;"-"&amp;'Trial Balance'!B39</f>
        <v>1425-Unamortized Debt Expense</v>
      </c>
      <c r="B42" s="23">
        <f>'Trial Balance'!H39</f>
        <v>0</v>
      </c>
    </row>
    <row r="43" spans="1:2" ht="15" customHeight="1">
      <c r="A43" s="32" t="str">
        <f>'Trial Balance'!A40&amp;"-"&amp;'Trial Balance'!B40</f>
        <v>1445-Unamortized Discount on Long-Term Debt--Debit</v>
      </c>
      <c r="B43" s="23">
        <f>'Trial Balance'!H40</f>
        <v>0</v>
      </c>
    </row>
    <row r="44" spans="1:2" ht="15" customHeight="1">
      <c r="A44" s="32" t="str">
        <f>'Trial Balance'!A41&amp;"-"&amp;'Trial Balance'!B41</f>
        <v>1455-Unamortized Deferred Foreign Currency Translation Gains and Losses</v>
      </c>
      <c r="B44" s="23">
        <f>'Trial Balance'!H41</f>
        <v>0</v>
      </c>
    </row>
    <row r="45" spans="1:2" ht="15" customHeight="1">
      <c r="A45" s="32" t="str">
        <f>'Trial Balance'!A42&amp;"-"&amp;'Trial Balance'!B42</f>
        <v>1460-Other Non-Current Assets</v>
      </c>
      <c r="B45" s="23">
        <f>'Trial Balance'!H42</f>
        <v>0</v>
      </c>
    </row>
    <row r="46" spans="1:2" ht="15" customHeight="1">
      <c r="A46" s="32" t="str">
        <f>'Trial Balance'!A43&amp;"-"&amp;'Trial Balance'!B43</f>
        <v>1465-O.M.E.R.S. Past Service Costs</v>
      </c>
      <c r="B46" s="23">
        <f>'Trial Balance'!H43</f>
        <v>0</v>
      </c>
    </row>
    <row r="47" spans="1:2" ht="15" customHeight="1">
      <c r="A47" s="32" t="str">
        <f>'Trial Balance'!A44&amp;"-"&amp;'Trial Balance'!B44</f>
        <v>1470-Past Service Costs - Employee Future Benefits</v>
      </c>
      <c r="B47" s="23">
        <f>'Trial Balance'!H44</f>
        <v>0</v>
      </c>
    </row>
    <row r="48" spans="1:2" ht="15" customHeight="1">
      <c r="A48" s="32" t="str">
        <f>'Trial Balance'!A45&amp;"-"&amp;'Trial Balance'!B45</f>
        <v>1475-Past Service Costs -Other Pension Plans</v>
      </c>
      <c r="B48" s="23">
        <f>'Trial Balance'!H45</f>
        <v>0</v>
      </c>
    </row>
    <row r="49" spans="1:2" ht="15" customHeight="1">
      <c r="A49" s="32" t="str">
        <f>'Trial Balance'!A46&amp;"-"&amp;'Trial Balance'!B46</f>
        <v>1480-Portfolio Investments - Associated Companies</v>
      </c>
      <c r="B49" s="23">
        <f>'Trial Balance'!H46</f>
        <v>0</v>
      </c>
    </row>
    <row r="50" spans="1:2" ht="15" customHeight="1">
      <c r="A50" s="32" t="str">
        <f>'Trial Balance'!A47&amp;"-"&amp;'Trial Balance'!B47</f>
        <v>1485-Investment In Subsidiary Companies - Significant Influence</v>
      </c>
      <c r="B50" s="23">
        <f>'Trial Balance'!H47</f>
        <v>0</v>
      </c>
    </row>
    <row r="51" spans="1:2" ht="15" customHeight="1" thickBot="1">
      <c r="A51" s="32" t="str">
        <f>'Trial Balance'!A48&amp;"-"&amp;'Trial Balance'!B48</f>
        <v>1490-Investment in Subsidiary Companies</v>
      </c>
      <c r="B51" s="23">
        <f>'Trial Balance'!H48</f>
        <v>0</v>
      </c>
    </row>
    <row r="52" spans="1:2" ht="15" customHeight="1" thickBot="1">
      <c r="A52" s="35" t="s">
        <v>104</v>
      </c>
      <c r="B52" s="31">
        <f>SUM(B38:B51)</f>
        <v>0</v>
      </c>
    </row>
    <row r="53" spans="1:2" ht="15" customHeight="1">
      <c r="A53" s="28"/>
      <c r="B53" s="12"/>
    </row>
    <row r="54" spans="1:2" ht="15" customHeight="1">
      <c r="A54" s="432" t="s">
        <v>874</v>
      </c>
      <c r="B54" s="432"/>
    </row>
    <row r="55" spans="1:2" ht="15" customHeight="1">
      <c r="A55" s="32" t="str">
        <f>'Trial Balance'!A392&amp;"-"&amp;'Trial Balance'!B392</f>
        <v>1606-Intangible Plant - Organization</v>
      </c>
      <c r="B55" s="23">
        <f>+'Trial Balance'!H392</f>
        <v>6361.01</v>
      </c>
    </row>
    <row r="56" spans="1:2" ht="15" customHeight="1" thickBot="1">
      <c r="A56" s="32" t="str">
        <f>'Trial Balance'!A393&amp;"-"&amp;'Trial Balance'!B393</f>
        <v>1610-Intangible Plant - Misc. Intangible Plant</v>
      </c>
      <c r="B56" s="23">
        <f>+'Trial Balance'!H393</f>
        <v>22150</v>
      </c>
    </row>
    <row r="57" spans="1:2" ht="15" customHeight="1" thickBot="1">
      <c r="A57" s="35" t="s">
        <v>875</v>
      </c>
      <c r="B57" s="31">
        <f>SUM(B55:B56)</f>
        <v>28511.010000000002</v>
      </c>
    </row>
    <row r="58" spans="1:2" ht="15" customHeight="1">
      <c r="A58" s="28"/>
      <c r="B58" s="12"/>
    </row>
    <row r="59" spans="1:2" ht="15" customHeight="1">
      <c r="A59" s="432" t="s">
        <v>105</v>
      </c>
      <c r="B59" s="432"/>
    </row>
    <row r="60" spans="1:2" ht="15" customHeight="1">
      <c r="A60" s="32" t="str">
        <f>'Trial Balance'!A50&amp;"-"&amp;'Trial Balance'!B50</f>
        <v>1505-Unrecovered Plant and Regulatory Study Costs</v>
      </c>
      <c r="B60" s="23">
        <f>'Trial Balance'!H50</f>
        <v>0</v>
      </c>
    </row>
    <row r="61" spans="1:2" ht="15" customHeight="1">
      <c r="A61" s="32" t="str">
        <f>'Trial Balance'!A51&amp;"-"&amp;'Trial Balance'!B51</f>
        <v>1508-Other Regulatory Assets</v>
      </c>
      <c r="B61" s="23">
        <f>'Trial Balance'!H51</f>
        <v>299474.73</v>
      </c>
    </row>
    <row r="62" spans="1:2" ht="15" customHeight="1">
      <c r="A62" s="32" t="str">
        <f>'Trial Balance'!A52&amp;"-"&amp;'Trial Balance'!B52</f>
        <v>1510-Preliminary Survey and Investigation Charges</v>
      </c>
      <c r="B62" s="23">
        <f>'Trial Balance'!H52</f>
        <v>0</v>
      </c>
    </row>
    <row r="63" spans="1:2" ht="15" customHeight="1">
      <c r="A63" s="32" t="str">
        <f>'Trial Balance'!A53&amp;"-"&amp;'Trial Balance'!B53</f>
        <v>1515-Emission Allowance Inventory</v>
      </c>
      <c r="B63" s="23">
        <f>'Trial Balance'!H53</f>
        <v>0</v>
      </c>
    </row>
    <row r="64" spans="1:2" ht="15" customHeight="1">
      <c r="A64" s="32" t="str">
        <f>'Trial Balance'!A54&amp;"-"&amp;'Trial Balance'!B54</f>
        <v>1516-Emission Allowance Withheld</v>
      </c>
      <c r="B64" s="23">
        <f>'Trial Balance'!H54</f>
        <v>0</v>
      </c>
    </row>
    <row r="65" spans="1:2" ht="15" customHeight="1">
      <c r="A65" s="32" t="str">
        <f>'Trial Balance'!A55&amp;"-"&amp;'Trial Balance'!B55</f>
        <v>1518-RCVA - Retail</v>
      </c>
      <c r="B65" s="23">
        <f>'Trial Balance'!H55</f>
        <v>-132242.5</v>
      </c>
    </row>
    <row r="66" spans="1:2" ht="15" customHeight="1">
      <c r="A66" s="32" t="str">
        <f>'Trial Balance'!A56&amp;"-"&amp;'Trial Balance'!B56</f>
        <v>1525-Miscellaneous Deferred Debits</v>
      </c>
      <c r="B66" s="23">
        <f>'Trial Balance'!H56</f>
        <v>1867.95</v>
      </c>
    </row>
    <row r="67" spans="1:2" ht="15" customHeight="1">
      <c r="A67" s="32" t="str">
        <f>'Trial Balance'!A57&amp;"-"&amp;'Trial Balance'!B57</f>
        <v>1530-Deferred Losses from Disposition of Utility Plant</v>
      </c>
      <c r="B67" s="23">
        <f>'Trial Balance'!H57</f>
        <v>0</v>
      </c>
    </row>
    <row r="68" spans="1:2" ht="15" customHeight="1">
      <c r="A68" s="32" t="str">
        <f>'Trial Balance'!A58&amp;"-"&amp;'Trial Balance'!B58</f>
        <v>1540-Deferred Losses from Disposition of Utility Plant</v>
      </c>
      <c r="B68" s="23">
        <f>'Trial Balance'!H58</f>
        <v>0</v>
      </c>
    </row>
    <row r="69" spans="1:2" ht="15" customHeight="1">
      <c r="A69" s="32" t="str">
        <f>'Trial Balance'!A59&amp;"-"&amp;'Trial Balance'!B59</f>
        <v>1545-Development Charge Deposits/ Receivables</v>
      </c>
      <c r="B69" s="23">
        <f>'Trial Balance'!H59</f>
        <v>0</v>
      </c>
    </row>
    <row r="70" spans="1:2" ht="15" customHeight="1">
      <c r="A70" s="32" t="str">
        <f>'Trial Balance'!A60&amp;"-"&amp;'Trial Balance'!B60</f>
        <v>1548-RCVA - Service Transaction Request (STR)</v>
      </c>
      <c r="B70" s="23">
        <f>'Trial Balance'!H60</f>
        <v>70666.02</v>
      </c>
    </row>
    <row r="71" spans="1:2" ht="15" customHeight="1">
      <c r="A71" s="32" t="str">
        <f>'Trial Balance'!A61&amp;"-"&amp;'Trial Balance'!B61</f>
        <v>1550-LV Charges - Variance</v>
      </c>
      <c r="B71" s="23">
        <f>'Trial Balance'!H61</f>
        <v>66621.13</v>
      </c>
    </row>
    <row r="72" spans="1:2" ht="15" customHeight="1">
      <c r="A72" s="32" t="str">
        <f>'Trial Balance'!A62&amp;"-"&amp;'Trial Balance'!B62</f>
        <v>1555-Smart Meters Recovery</v>
      </c>
      <c r="B72" s="23">
        <f>'Trial Balance'!H62</f>
        <v>-169558.92</v>
      </c>
    </row>
    <row r="73" spans="1:2" ht="15" customHeight="1">
      <c r="A73" s="32" t="str">
        <f>'Trial Balance'!A63&amp;"-"&amp;'Trial Balance'!B63</f>
        <v>1556-Smart Meters OM &amp; A</v>
      </c>
      <c r="B73" s="23">
        <f>'Trial Balance'!H63</f>
        <v>15027</v>
      </c>
    </row>
    <row r="74" spans="1:2" ht="15" customHeight="1">
      <c r="A74" s="32" t="str">
        <f>'Trial Balance'!A64&amp;"-"&amp;'Trial Balance'!B64</f>
        <v>1562-Deferred PILs</v>
      </c>
      <c r="B74" s="23">
        <f>'Trial Balance'!H64</f>
        <v>-348934.83</v>
      </c>
    </row>
    <row r="75" spans="1:2" ht="15" customHeight="1">
      <c r="A75" s="32" t="str">
        <f>'Trial Balance'!A65&amp;"-"&amp;'Trial Balance'!B65</f>
        <v>1563-Deferred PILs - Contra</v>
      </c>
      <c r="B75" s="23">
        <f>'Trial Balance'!H65</f>
        <v>0</v>
      </c>
    </row>
    <row r="76" spans="1:2" ht="15" customHeight="1">
      <c r="A76" s="32" t="str">
        <f>'Trial Balance'!A66&amp;"-"&amp;'Trial Balance'!B66</f>
        <v>1565-C &amp; DM Costs</v>
      </c>
      <c r="B76" s="23">
        <f>'Trial Balance'!H66</f>
        <v>0</v>
      </c>
    </row>
    <row r="77" spans="1:2" ht="15" customHeight="1">
      <c r="A77" s="32" t="str">
        <f>'Trial Balance'!A67&amp;"-"&amp;'Trial Balance'!B67</f>
        <v>1566-C &amp; DM Costs Contra</v>
      </c>
      <c r="B77" s="23">
        <f>'Trial Balance'!H67</f>
        <v>0</v>
      </c>
    </row>
    <row r="78" spans="1:2" ht="15" customHeight="1">
      <c r="A78" s="32" t="str">
        <f>'Trial Balance'!A68&amp;"-"&amp;'Trial Balance'!B68</f>
        <v>1570-Qualifying Transition Costs</v>
      </c>
      <c r="B78" s="23">
        <f>'Trial Balance'!H68</f>
        <v>0</v>
      </c>
    </row>
    <row r="79" spans="1:2" ht="15" customHeight="1">
      <c r="A79" s="32" t="str">
        <f>'Trial Balance'!A69&amp;"-"&amp;'Trial Balance'!B69</f>
        <v>1571-Pre Market CofP Variance</v>
      </c>
      <c r="B79" s="23">
        <f>'Trial Balance'!H69</f>
        <v>0</v>
      </c>
    </row>
    <row r="80" spans="1:2" ht="15" customHeight="1">
      <c r="A80" s="32" t="str">
        <f>'Trial Balance'!A70&amp;"-"&amp;'Trial Balance'!B70</f>
        <v>1572-Extraordinary Event Losses</v>
      </c>
      <c r="B80" s="23">
        <f>'Trial Balance'!H70</f>
        <v>329722.24</v>
      </c>
    </row>
    <row r="81" spans="1:2" ht="15" customHeight="1">
      <c r="A81" s="32" t="str">
        <f>'Trial Balance'!A71&amp;"-"&amp;'Trial Balance'!B71</f>
        <v>1574-Deferred Rate Impact Amounts</v>
      </c>
      <c r="B81" s="23">
        <f>'Trial Balance'!H71</f>
        <v>0</v>
      </c>
    </row>
    <row r="82" spans="1:2" ht="15" customHeight="1">
      <c r="A82" s="32" t="str">
        <f>'Trial Balance'!A72&amp;"-"&amp;'Trial Balance'!B72</f>
        <v>1580-RSVA - Wholesale Market Services</v>
      </c>
      <c r="B82" s="23">
        <f>'Trial Balance'!H72</f>
        <v>-1436723.37</v>
      </c>
    </row>
    <row r="83" spans="1:2" ht="15" customHeight="1">
      <c r="A83" s="32" t="str">
        <f>'Trial Balance'!A73&amp;"-"&amp;'Trial Balance'!B73</f>
        <v>1582-RSVA - One-Time</v>
      </c>
      <c r="B83" s="23">
        <f>'Trial Balance'!H73</f>
        <v>36874.89</v>
      </c>
    </row>
    <row r="84" spans="1:2" ht="15" customHeight="1">
      <c r="A84" s="32" t="str">
        <f>'Trial Balance'!A74&amp;"-"&amp;'Trial Balance'!B74</f>
        <v>1584-RSVA - Network Charges</v>
      </c>
      <c r="B84" s="23">
        <f>'Trial Balance'!H74</f>
        <v>-330873.03</v>
      </c>
    </row>
    <row r="85" spans="1:2" ht="15" customHeight="1">
      <c r="A85" s="32" t="str">
        <f>'Trial Balance'!A75&amp;"-"&amp;'Trial Balance'!B75</f>
        <v>1586-RSVA - Connection Charges</v>
      </c>
      <c r="B85" s="23">
        <f>'Trial Balance'!H75</f>
        <v>10076.1</v>
      </c>
    </row>
    <row r="86" spans="1:2" ht="15" customHeight="1">
      <c r="A86" s="32" t="str">
        <f>'Trial Balance'!A76&amp;"-"&amp;'Trial Balance'!B76</f>
        <v>1588-RSVA - Commodity (Power)</v>
      </c>
      <c r="B86" s="23">
        <f>'Trial Balance'!H76</f>
        <v>3750470.87</v>
      </c>
    </row>
    <row r="87" spans="1:2" ht="15" customHeight="1">
      <c r="A87" s="32" t="str">
        <f>'Trial Balance'!A77&amp;"-"&amp;'Trial Balance'!B77</f>
        <v>1590-Recovery of Regulatory Assets (25% of 2002 bal.)</v>
      </c>
      <c r="B87" s="23">
        <f>'Trial Balance'!H77</f>
        <v>9356.13</v>
      </c>
    </row>
    <row r="88" spans="1:2" ht="15" customHeight="1" thickBot="1">
      <c r="A88" s="32" t="str">
        <f>'Trial Balance'!A394&amp;"-"&amp;'Trial Balance'!B394</f>
        <v>1595-Recovery of Regulatory Asset Balances</v>
      </c>
      <c r="B88" s="23">
        <f>+'Trial Balance'!H394</f>
        <v>0</v>
      </c>
    </row>
    <row r="89" spans="1:2" ht="15" customHeight="1" thickBot="1">
      <c r="A89" s="35" t="s">
        <v>154</v>
      </c>
      <c r="B89" s="31">
        <f>SUM(B60:B88)</f>
        <v>2171824.41</v>
      </c>
    </row>
    <row r="90" spans="1:2" ht="15" customHeight="1">
      <c r="A90" s="28"/>
      <c r="B90" s="12"/>
    </row>
    <row r="91" spans="1:2" ht="15" customHeight="1">
      <c r="A91" s="432" t="s">
        <v>155</v>
      </c>
      <c r="B91" s="432"/>
    </row>
    <row r="92" spans="1:2" ht="15" customHeight="1">
      <c r="A92" s="32" t="str">
        <f>'Trial Balance'!A80&amp;"-"&amp;'Trial Balance'!B80</f>
        <v>1805-Land</v>
      </c>
      <c r="B92" s="23">
        <f>'Trial Balance'!H80</f>
        <v>312176.47000000003</v>
      </c>
    </row>
    <row r="93" spans="1:2" ht="15" customHeight="1">
      <c r="A93" s="32" t="str">
        <f>'Trial Balance'!A81&amp;"-"&amp;'Trial Balance'!B81</f>
        <v>1806-Land Rights</v>
      </c>
      <c r="B93" s="23">
        <f>'Trial Balance'!H81</f>
        <v>0</v>
      </c>
    </row>
    <row r="94" spans="1:2" ht="15" customHeight="1">
      <c r="A94" s="32" t="str">
        <f>'Trial Balance'!A82&amp;"-"&amp;'Trial Balance'!B82</f>
        <v>1808-Buildings and Fixtures</v>
      </c>
      <c r="B94" s="23">
        <f>'Trial Balance'!H82</f>
        <v>769640.81</v>
      </c>
    </row>
    <row r="95" spans="1:2" ht="15" customHeight="1">
      <c r="A95" s="32" t="str">
        <f>'Trial Balance'!A83&amp;"-"&amp;'Trial Balance'!B83</f>
        <v>1810-Leasehold Improvements</v>
      </c>
      <c r="B95" s="23">
        <f>'Trial Balance'!H83</f>
        <v>0</v>
      </c>
    </row>
    <row r="96" spans="1:2" ht="15" customHeight="1">
      <c r="A96" s="32" t="str">
        <f>'Trial Balance'!A84&amp;"-"&amp;'Trial Balance'!B84</f>
        <v>1815-Transformer Station Equipment -  &gt; 50 kV</v>
      </c>
      <c r="B96" s="23">
        <f>'Trial Balance'!H84</f>
        <v>0</v>
      </c>
    </row>
    <row r="97" spans="1:2" ht="15" customHeight="1">
      <c r="A97" s="32" t="str">
        <f>'Trial Balance'!A85&amp;"-"&amp;'Trial Balance'!B85</f>
        <v>1820-Distribution Station Equipment - &lt; 50 kV</v>
      </c>
      <c r="B97" s="23">
        <f>'Trial Balance'!H85</f>
        <v>7922982.149999999</v>
      </c>
    </row>
    <row r="98" spans="1:2" ht="15" customHeight="1">
      <c r="A98" s="32" t="str">
        <f>'Trial Balance'!A86&amp;"-"&amp;'Trial Balance'!B86</f>
        <v>1825-Storage Battery Equipment</v>
      </c>
      <c r="B98" s="23">
        <f>'Trial Balance'!H86</f>
        <v>0</v>
      </c>
    </row>
    <row r="99" spans="1:2" ht="15" customHeight="1">
      <c r="A99" s="32" t="str">
        <f>'Trial Balance'!A87&amp;"-"&amp;'Trial Balance'!B87</f>
        <v>1830-Poles, Towers and Fixtures</v>
      </c>
      <c r="B99" s="23">
        <f>'Trial Balance'!H87</f>
        <v>15948603.809999999</v>
      </c>
    </row>
    <row r="100" spans="1:2" ht="15" customHeight="1">
      <c r="A100" s="32" t="str">
        <f>'Trial Balance'!A88&amp;"-"&amp;'Trial Balance'!B88</f>
        <v>1835-Overhead Conductors and Devices</v>
      </c>
      <c r="B100" s="23">
        <f>'Trial Balance'!H88</f>
        <v>12672714.110000001</v>
      </c>
    </row>
    <row r="101" spans="1:2" ht="15" customHeight="1">
      <c r="A101" s="32" t="str">
        <f>'Trial Balance'!A89&amp;"-"&amp;'Trial Balance'!B89</f>
        <v>1840-Underground Conduit</v>
      </c>
      <c r="B101" s="23">
        <f>'Trial Balance'!H89</f>
        <v>387944.44</v>
      </c>
    </row>
    <row r="102" spans="1:2" ht="15" customHeight="1">
      <c r="A102" s="32" t="str">
        <f>'Trial Balance'!A90&amp;"-"&amp;'Trial Balance'!B90</f>
        <v>1845-Underground Conductors and Devices</v>
      </c>
      <c r="B102" s="23">
        <f>'Trial Balance'!H90</f>
        <v>5984831.010000001</v>
      </c>
    </row>
    <row r="103" spans="1:2" ht="15" customHeight="1">
      <c r="A103" s="32" t="str">
        <f>'Trial Balance'!A91&amp;"-"&amp;'Trial Balance'!B91</f>
        <v>1850-Line Transformers</v>
      </c>
      <c r="B103" s="23">
        <f>'Trial Balance'!H91</f>
        <v>13293535.67</v>
      </c>
    </row>
    <row r="104" spans="1:2" ht="15" customHeight="1">
      <c r="A104" s="32" t="str">
        <f>'Trial Balance'!A92&amp;"-"&amp;'Trial Balance'!B92</f>
        <v>1855-Services</v>
      </c>
      <c r="B104" s="23">
        <f>'Trial Balance'!H92</f>
        <v>9999790.67</v>
      </c>
    </row>
    <row r="105" spans="1:2" ht="15" customHeight="1">
      <c r="A105" s="32" t="str">
        <f>'Trial Balance'!A93&amp;"-"&amp;'Trial Balance'!B93</f>
        <v>1860-Meters</v>
      </c>
      <c r="B105" s="23">
        <f>'Trial Balance'!H93</f>
        <v>3528355.9899999998</v>
      </c>
    </row>
    <row r="106" spans="1:2" ht="15" customHeight="1" thickBot="1">
      <c r="A106" s="32" t="str">
        <f>'Trial Balance'!A94&amp;"-"&amp;'Trial Balance'!B94</f>
        <v>1865-Other Installations on Customer's Premises</v>
      </c>
      <c r="B106" s="23">
        <f>'Trial Balance'!H94</f>
        <v>0</v>
      </c>
    </row>
    <row r="107" spans="1:2" ht="15" customHeight="1" thickBot="1">
      <c r="A107" s="36" t="s">
        <v>79</v>
      </c>
      <c r="B107" s="31">
        <f>SUM(B92:B106)</f>
        <v>70820575.13</v>
      </c>
    </row>
    <row r="108" spans="1:2" ht="15" customHeight="1">
      <c r="A108" s="27"/>
      <c r="B108" s="12"/>
    </row>
    <row r="109" spans="1:2" ht="15" customHeight="1">
      <c r="A109" s="432" t="s">
        <v>80</v>
      </c>
      <c r="B109" s="432"/>
    </row>
    <row r="110" spans="1:2" ht="15" customHeight="1">
      <c r="A110" s="32" t="str">
        <f>'Trial Balance'!A95&amp;"-"&amp;'Trial Balance'!B95</f>
        <v>1905-Land</v>
      </c>
      <c r="B110" s="23">
        <f>'Trial Balance'!H95</f>
        <v>86550.51</v>
      </c>
    </row>
    <row r="111" spans="1:2" ht="15" customHeight="1">
      <c r="A111" s="32" t="str">
        <f>'Trial Balance'!A96&amp;"-"&amp;'Trial Balance'!B96</f>
        <v>1906-Land Rights</v>
      </c>
      <c r="B111" s="23">
        <f>'Trial Balance'!H96</f>
        <v>0</v>
      </c>
    </row>
    <row r="112" spans="1:2" ht="15" customHeight="1">
      <c r="A112" s="32" t="str">
        <f>'Trial Balance'!A97&amp;"-"&amp;'Trial Balance'!B97</f>
        <v>1908-Buildings and Fixtures</v>
      </c>
      <c r="B112" s="23">
        <f>'Trial Balance'!H97</f>
        <v>1888764.73</v>
      </c>
    </row>
    <row r="113" spans="1:2" ht="15" customHeight="1">
      <c r="A113" s="32" t="str">
        <f>'Trial Balance'!A98&amp;"-"&amp;'Trial Balance'!B98</f>
        <v>1910-Leasehold Improvements</v>
      </c>
      <c r="B113" s="23">
        <f>'Trial Balance'!H98</f>
        <v>0</v>
      </c>
    </row>
    <row r="114" spans="1:2" ht="15" customHeight="1">
      <c r="A114" s="32" t="str">
        <f>'Trial Balance'!A99&amp;"-"&amp;'Trial Balance'!B99</f>
        <v>1915-Office Furniture and Equipment</v>
      </c>
      <c r="B114" s="23">
        <f>'Trial Balance'!H99</f>
        <v>310685.81</v>
      </c>
    </row>
    <row r="115" spans="1:2" ht="15" customHeight="1">
      <c r="A115" s="32" t="str">
        <f>'Trial Balance'!A100&amp;"-"&amp;'Trial Balance'!B100</f>
        <v>1920-Computer Equipment - Hardware</v>
      </c>
      <c r="B115" s="23">
        <f>'Trial Balance'!H100</f>
        <v>572148.62</v>
      </c>
    </row>
    <row r="116" spans="1:2" ht="15" customHeight="1">
      <c r="A116" s="32" t="str">
        <f>'Trial Balance'!A101&amp;"-"&amp;'Trial Balance'!B101</f>
        <v>1925-Computer Software</v>
      </c>
      <c r="B116" s="23">
        <f>'Trial Balance'!H101</f>
        <v>876576.0900000001</v>
      </c>
    </row>
    <row r="117" spans="1:2" ht="15" customHeight="1">
      <c r="A117" s="32" t="str">
        <f>'Trial Balance'!A102&amp;"-"&amp;'Trial Balance'!B102</f>
        <v>1930-Transportation Equipment</v>
      </c>
      <c r="B117" s="23">
        <f>'Trial Balance'!H102</f>
        <v>2135325.24</v>
      </c>
    </row>
    <row r="118" spans="1:2" ht="15" customHeight="1">
      <c r="A118" s="32" t="str">
        <f>'Trial Balance'!A103&amp;"-"&amp;'Trial Balance'!B103</f>
        <v>1935-Stores Equipment</v>
      </c>
      <c r="B118" s="23">
        <f>'Trial Balance'!H103</f>
        <v>75195.87</v>
      </c>
    </row>
    <row r="119" spans="1:2" ht="15" customHeight="1">
      <c r="A119" s="32" t="str">
        <f>'Trial Balance'!A104&amp;"-"&amp;'Trial Balance'!B104</f>
        <v>1940-Tools, Shop and Garage Equipment</v>
      </c>
      <c r="B119" s="23">
        <f>'Trial Balance'!H104</f>
        <v>1082849.96</v>
      </c>
    </row>
    <row r="120" spans="1:2" ht="15" customHeight="1">
      <c r="A120" s="32" t="str">
        <f>'Trial Balance'!A105&amp;"-"&amp;'Trial Balance'!B105</f>
        <v>1945-Measurement and Testing Equipment</v>
      </c>
      <c r="B120" s="23">
        <f>'Trial Balance'!H105</f>
        <v>0</v>
      </c>
    </row>
    <row r="121" spans="1:2" ht="15" customHeight="1">
      <c r="A121" s="32" t="str">
        <f>'Trial Balance'!A106&amp;"-"&amp;'Trial Balance'!B106</f>
        <v>1950-Power Operated Equipment</v>
      </c>
      <c r="B121" s="23">
        <f>'Trial Balance'!H106</f>
        <v>0</v>
      </c>
    </row>
    <row r="122" spans="1:2" ht="15" customHeight="1">
      <c r="A122" s="32" t="str">
        <f>'Trial Balance'!A107&amp;"-"&amp;'Trial Balance'!B107</f>
        <v>1955-Communication Equipment</v>
      </c>
      <c r="B122" s="23">
        <f>'Trial Balance'!H107</f>
        <v>85917.44</v>
      </c>
    </row>
    <row r="123" spans="1:2" ht="15" customHeight="1">
      <c r="A123" s="32" t="str">
        <f>'Trial Balance'!A108&amp;"-"&amp;'Trial Balance'!B108</f>
        <v>1960-Miscellaneous Equipment</v>
      </c>
      <c r="B123" s="23">
        <f>'Trial Balance'!H108</f>
        <v>18079.15</v>
      </c>
    </row>
    <row r="124" spans="1:2" ht="15" customHeight="1">
      <c r="A124" s="32" t="str">
        <f>'Trial Balance'!A109&amp;"-"&amp;'Trial Balance'!B109</f>
        <v>1970-Load Management Controls - Customer Premises </v>
      </c>
      <c r="B124" s="23">
        <f>'Trial Balance'!H109</f>
        <v>403930.62</v>
      </c>
    </row>
    <row r="125" spans="1:2" ht="15" customHeight="1">
      <c r="A125" s="32" t="str">
        <f>'Trial Balance'!A110&amp;"-"&amp;'Trial Balance'!B110</f>
        <v>1975-Load Management Controls - Utility Premises</v>
      </c>
      <c r="B125" s="23">
        <f>'Trial Balance'!H110</f>
        <v>165151.45</v>
      </c>
    </row>
    <row r="126" spans="1:2" ht="15" customHeight="1">
      <c r="A126" s="32" t="str">
        <f>'Trial Balance'!A111&amp;"-"&amp;'Trial Balance'!B111</f>
        <v>1980-System Supervisory Equipment</v>
      </c>
      <c r="B126" s="23">
        <f>'Trial Balance'!H111</f>
        <v>1137718.26</v>
      </c>
    </row>
    <row r="127" spans="1:2" ht="15" customHeight="1">
      <c r="A127" s="32" t="str">
        <f>'Trial Balance'!A112&amp;"-"&amp;'Trial Balance'!B112</f>
        <v>1985-Sentinel Lighting Rentals</v>
      </c>
      <c r="B127" s="23">
        <f>'Trial Balance'!H112</f>
        <v>0</v>
      </c>
    </row>
    <row r="128" spans="1:2" ht="15" customHeight="1">
      <c r="A128" s="32" t="str">
        <f>'Trial Balance'!A113&amp;"-"&amp;'Trial Balance'!B113</f>
        <v>1990-Other Tangible Property</v>
      </c>
      <c r="B128" s="23">
        <f>'Trial Balance'!H113</f>
        <v>53060.28</v>
      </c>
    </row>
    <row r="129" spans="1:2" ht="15" customHeight="1" thickBot="1">
      <c r="A129" s="32" t="str">
        <f>'Trial Balance'!A114&amp;"-"&amp;'Trial Balance'!B114</f>
        <v>1995-Contributions and Grants</v>
      </c>
      <c r="B129" s="23">
        <f>'Trial Balance'!H114</f>
        <v>-5267808.15</v>
      </c>
    </row>
    <row r="130" spans="1:2" ht="15" customHeight="1" thickBot="1">
      <c r="A130" s="36" t="s">
        <v>144</v>
      </c>
      <c r="B130" s="31">
        <f>SUM(B110:B129)</f>
        <v>3624145.880000001</v>
      </c>
    </row>
    <row r="131" spans="1:2" ht="15" customHeight="1">
      <c r="A131" s="27"/>
      <c r="B131" s="12"/>
    </row>
    <row r="132" spans="1:2" ht="15" customHeight="1">
      <c r="A132" s="432" t="s">
        <v>145</v>
      </c>
      <c r="B132" s="432"/>
    </row>
    <row r="133" spans="1:2" ht="15" customHeight="1">
      <c r="A133" s="32" t="str">
        <f>'Trial Balance'!A116&amp;"-"&amp;'Trial Balance'!B116</f>
        <v>2005-Property Under Capital Leases</v>
      </c>
      <c r="B133" s="23">
        <f>'Trial Balance'!H116</f>
        <v>0</v>
      </c>
    </row>
    <row r="134" spans="1:2" ht="15" customHeight="1">
      <c r="A134" s="32" t="str">
        <f>'Trial Balance'!A117&amp;"-"&amp;'Trial Balance'!B117</f>
        <v>2010-Electric Plant Purchased or Sold</v>
      </c>
      <c r="B134" s="23">
        <f>'Trial Balance'!H117</f>
        <v>0</v>
      </c>
    </row>
    <row r="135" spans="1:2" ht="15" customHeight="1">
      <c r="A135" s="32" t="str">
        <f>'Trial Balance'!A118&amp;"-"&amp;'Trial Balance'!B118</f>
        <v>2020-Experimental Electric Plant Unclassified</v>
      </c>
      <c r="B135" s="23">
        <f>'Trial Balance'!H118</f>
        <v>0</v>
      </c>
    </row>
    <row r="136" spans="1:2" ht="15" customHeight="1">
      <c r="A136" s="32" t="str">
        <f>'Trial Balance'!A119&amp;"-"&amp;'Trial Balance'!B119</f>
        <v>2030-Electric Plant and Equipment Leased to Others</v>
      </c>
      <c r="B136" s="23">
        <f>'Trial Balance'!H119</f>
        <v>0</v>
      </c>
    </row>
    <row r="137" spans="1:2" ht="15" customHeight="1">
      <c r="A137" s="32" t="str">
        <f>'Trial Balance'!A120&amp;"-"&amp;'Trial Balance'!B120</f>
        <v>2040-Electric Plant Held for Future Use</v>
      </c>
      <c r="B137" s="23">
        <f>'Trial Balance'!H120</f>
        <v>0</v>
      </c>
    </row>
    <row r="138" spans="1:2" ht="15" customHeight="1">
      <c r="A138" s="32" t="str">
        <f>'Trial Balance'!A121&amp;"-"&amp;'Trial Balance'!B121</f>
        <v>2050-Completed Construction Not Classified--Electric</v>
      </c>
      <c r="B138" s="23">
        <f>'Trial Balance'!H121</f>
        <v>0</v>
      </c>
    </row>
    <row r="139" spans="1:2" ht="15" customHeight="1">
      <c r="A139" s="32" t="str">
        <f>'Trial Balance'!A122&amp;"-"&amp;'Trial Balance'!B122</f>
        <v>2055-Construction Work in Progress--Electric</v>
      </c>
      <c r="B139" s="23">
        <f>'Trial Balance'!H122</f>
        <v>0</v>
      </c>
    </row>
    <row r="140" spans="1:2" ht="15" customHeight="1">
      <c r="A140" s="32" t="str">
        <f>'Trial Balance'!A123&amp;"-"&amp;'Trial Balance'!B123</f>
        <v>2060-Electric Plant Acquisition Adjustment</v>
      </c>
      <c r="B140" s="23">
        <f>'Trial Balance'!H123</f>
        <v>0</v>
      </c>
    </row>
    <row r="141" spans="1:2" ht="15" customHeight="1">
      <c r="A141" s="32" t="str">
        <f>'Trial Balance'!A124&amp;"-"&amp;'Trial Balance'!B124</f>
        <v>2065-Other Electric Plant Adjustment</v>
      </c>
      <c r="B141" s="23">
        <f>'Trial Balance'!H124</f>
        <v>0</v>
      </c>
    </row>
    <row r="142" spans="1:2" ht="15" customHeight="1">
      <c r="A142" s="32" t="str">
        <f>'Trial Balance'!A125&amp;"-"&amp;'Trial Balance'!B125</f>
        <v>2070-Other Utility Plant</v>
      </c>
      <c r="B142" s="23">
        <f>'Trial Balance'!H125</f>
        <v>0</v>
      </c>
    </row>
    <row r="143" spans="1:2" ht="15" customHeight="1" thickBot="1">
      <c r="A143" s="32" t="str">
        <f>'Trial Balance'!A126&amp;"-"&amp;'Trial Balance'!B126</f>
        <v>2075-Non-Utility Property Owned or Under Capital Lease</v>
      </c>
      <c r="B143" s="23">
        <f>'Trial Balance'!H126</f>
        <v>0</v>
      </c>
    </row>
    <row r="144" spans="1:2" ht="15" customHeight="1" thickBot="1">
      <c r="A144" s="36" t="s">
        <v>146</v>
      </c>
      <c r="B144" s="31">
        <f>SUM(B133:B143)</f>
        <v>0</v>
      </c>
    </row>
    <row r="145" spans="1:2" ht="15" customHeight="1">
      <c r="A145" s="27"/>
      <c r="B145" s="12"/>
    </row>
    <row r="146" spans="1:2" ht="15" customHeight="1">
      <c r="A146" s="432" t="s">
        <v>147</v>
      </c>
      <c r="B146" s="432"/>
    </row>
    <row r="147" spans="1:2" ht="15" customHeight="1">
      <c r="A147" s="32" t="str">
        <f>'Trial Balance'!A128&amp;"-"&amp;'Trial Balance'!B128</f>
        <v>2105-Accumulated Amortization of Electric Utility Plant - Property, Plant and Equipment</v>
      </c>
      <c r="B147" s="23">
        <f>'Trial Balance'!H128</f>
        <v>-43929480.12</v>
      </c>
    </row>
    <row r="148" spans="1:2" ht="15" customHeight="1">
      <c r="A148" s="32" t="str">
        <f>'Trial Balance'!A129&amp;"-"&amp;'Trial Balance'!B129</f>
        <v>2120-Accumulated Amortization of Electric Utility Plant - Intangibles</v>
      </c>
      <c r="B148" s="23">
        <f>'Trial Balance'!H129</f>
        <v>0</v>
      </c>
    </row>
    <row r="149" spans="1:2" ht="15" customHeight="1">
      <c r="A149" s="32" t="str">
        <f>'Trial Balance'!A130&amp;"-"&amp;'Trial Balance'!B130</f>
        <v>2140-Accumulated Amortization of Electric Plant Acquisition Adjustment</v>
      </c>
      <c r="B149" s="23">
        <f>'Trial Balance'!H130</f>
        <v>0</v>
      </c>
    </row>
    <row r="150" spans="1:2" ht="15" customHeight="1">
      <c r="A150" s="32" t="str">
        <f>'Trial Balance'!A131&amp;"-"&amp;'Trial Balance'!B131</f>
        <v>2160-Accumulated Amortization of Other Utility Plant</v>
      </c>
      <c r="B150" s="23">
        <f>'Trial Balance'!H131</f>
        <v>0</v>
      </c>
    </row>
    <row r="151" spans="1:2" ht="15" customHeight="1" thickBot="1">
      <c r="A151" s="32" t="str">
        <f>'Trial Balance'!A132&amp;"-"&amp;'Trial Balance'!B132</f>
        <v>2180-Accumulated Amortization of Non-Utility Property</v>
      </c>
      <c r="B151" s="23">
        <f>'Trial Balance'!H132</f>
        <v>0</v>
      </c>
    </row>
    <row r="152" spans="1:2" ht="15" customHeight="1" thickBot="1">
      <c r="A152" s="229" t="s">
        <v>151</v>
      </c>
      <c r="B152" s="228">
        <f>SUM(B147:B151)</f>
        <v>-43929480.12</v>
      </c>
    </row>
    <row r="153" spans="1:2" ht="15" customHeight="1" thickBot="1">
      <c r="A153" s="223"/>
      <c r="B153" s="12"/>
    </row>
    <row r="154" spans="1:2" ht="15" customHeight="1" thickBot="1">
      <c r="A154" s="224" t="s">
        <v>272</v>
      </c>
      <c r="B154" s="225">
        <f>B28+B35+B52+B57+B89+B107+B130+B144+B152</f>
        <v>58271104.46999999</v>
      </c>
    </row>
    <row r="155" spans="1:2" ht="15" customHeight="1">
      <c r="A155" s="28"/>
      <c r="B155" s="12"/>
    </row>
    <row r="156" spans="1:2" ht="15" customHeight="1">
      <c r="A156" s="432" t="s">
        <v>152</v>
      </c>
      <c r="B156" s="432"/>
    </row>
    <row r="157" spans="1:2" ht="15" customHeight="1">
      <c r="A157" s="32" t="str">
        <f>'Trial Balance'!A134&amp;"-"&amp;'Trial Balance'!B134</f>
        <v>2205-Accounts Payable</v>
      </c>
      <c r="B157" s="23">
        <f>-'Trial Balance'!H134</f>
        <v>5232269.15</v>
      </c>
    </row>
    <row r="158" spans="1:2" ht="15" customHeight="1">
      <c r="A158" s="32" t="str">
        <f>'Trial Balance'!A135&amp;"-"&amp;'Trial Balance'!B135</f>
        <v>2208-Customer Credit Balances</v>
      </c>
      <c r="B158" s="23">
        <f>-'Trial Balance'!H135</f>
        <v>952940.69</v>
      </c>
    </row>
    <row r="159" spans="1:2" ht="15" customHeight="1">
      <c r="A159" s="32" t="str">
        <f>'Trial Balance'!A136&amp;"-"&amp;'Trial Balance'!B136</f>
        <v>2210-Current Portion of Customer Deposits </v>
      </c>
      <c r="B159" s="23">
        <f>-'Trial Balance'!H136</f>
        <v>72363.61</v>
      </c>
    </row>
    <row r="160" spans="1:2" ht="15" customHeight="1">
      <c r="A160" s="32" t="str">
        <f>'Trial Balance'!A137&amp;"-"&amp;'Trial Balance'!B137</f>
        <v>2215-Dividends Declared</v>
      </c>
      <c r="B160" s="23">
        <f>-'Trial Balance'!H137</f>
        <v>0</v>
      </c>
    </row>
    <row r="161" spans="1:2" ht="15" customHeight="1">
      <c r="A161" s="32" t="str">
        <f>'Trial Balance'!A138&amp;"-"&amp;'Trial Balance'!B138</f>
        <v>2220-Miscellaneous Current and Accrued Liabilities</v>
      </c>
      <c r="B161" s="23">
        <f>-'Trial Balance'!H138</f>
        <v>906859.77</v>
      </c>
    </row>
    <row r="162" spans="1:2" ht="15" customHeight="1">
      <c r="A162" s="32" t="str">
        <f>'Trial Balance'!A139&amp;"-"&amp;'Trial Balance'!B139</f>
        <v>2225-Notes and Loans Payable</v>
      </c>
      <c r="B162" s="23">
        <f>-'Trial Balance'!H139</f>
        <v>0</v>
      </c>
    </row>
    <row r="163" spans="1:2" ht="15" customHeight="1">
      <c r="A163" s="32" t="str">
        <f>'Trial Balance'!A140&amp;"-"&amp;'Trial Balance'!B140</f>
        <v>2240-Accounts Payable to Associated Companies</v>
      </c>
      <c r="B163" s="23">
        <f>-'Trial Balance'!H140</f>
        <v>28132.47</v>
      </c>
    </row>
    <row r="164" spans="1:2" ht="15" customHeight="1">
      <c r="A164" s="32" t="str">
        <f>'Trial Balance'!A141&amp;"-"&amp;'Trial Balance'!B141</f>
        <v>2242-Notes Payable to Associated Companies</v>
      </c>
      <c r="B164" s="23">
        <f>-'Trial Balance'!H141</f>
        <v>0</v>
      </c>
    </row>
    <row r="165" spans="1:2" ht="15" customHeight="1">
      <c r="A165" s="32" t="str">
        <f>'Trial Balance'!A142&amp;"-"&amp;'Trial Balance'!B142</f>
        <v>2250-Competition Transition Charges Payable</v>
      </c>
      <c r="B165" s="23">
        <f>-'Trial Balance'!H142</f>
        <v>334261.74</v>
      </c>
    </row>
    <row r="166" spans="1:2" ht="15" customHeight="1">
      <c r="A166" s="32" t="str">
        <f>'Trial Balance'!A143&amp;"-"&amp;'Trial Balance'!B143</f>
        <v>2252-Transmission Charges Payable</v>
      </c>
      <c r="B166" s="23">
        <f>-'Trial Balance'!H143</f>
        <v>0</v>
      </c>
    </row>
    <row r="167" spans="1:2" ht="15" customHeight="1">
      <c r="A167" s="32" t="str">
        <f>'Trial Balance'!A144&amp;"-"&amp;'Trial Balance'!B144</f>
        <v>2254-Electric Safety Authority Fees Payable</v>
      </c>
      <c r="B167" s="23">
        <f>-'Trial Balance'!H144</f>
        <v>0</v>
      </c>
    </row>
    <row r="168" spans="1:2" ht="15" customHeight="1">
      <c r="A168" s="32" t="str">
        <f>'Trial Balance'!A145&amp;"-"&amp;'Trial Balance'!B145</f>
        <v>2256-Independent Market Operator Fees and Penalties Payable</v>
      </c>
      <c r="B168" s="23">
        <f>-'Trial Balance'!H145</f>
        <v>0</v>
      </c>
    </row>
    <row r="169" spans="1:2" ht="15" customHeight="1">
      <c r="A169" s="32" t="str">
        <f>'Trial Balance'!A146&amp;"-"&amp;'Trial Balance'!B146</f>
        <v>2260-Current Portion of Long Term Debt</v>
      </c>
      <c r="B169" s="23">
        <f>-'Trial Balance'!H146</f>
        <v>0</v>
      </c>
    </row>
    <row r="170" spans="1:2" ht="15" customHeight="1">
      <c r="A170" s="32" t="str">
        <f>'Trial Balance'!A147&amp;"-"&amp;'Trial Balance'!B147</f>
        <v>2262-Ontario Hydro Debt - Current Portion</v>
      </c>
      <c r="B170" s="23">
        <f>-'Trial Balance'!H147</f>
        <v>0</v>
      </c>
    </row>
    <row r="171" spans="1:2" ht="15" customHeight="1">
      <c r="A171" s="32" t="str">
        <f>'Trial Balance'!A148&amp;"-"&amp;'Trial Balance'!B148</f>
        <v>2264-Pensions and Employee Benefits - Current Portion</v>
      </c>
      <c r="B171" s="23">
        <f>-'Trial Balance'!H148</f>
        <v>0</v>
      </c>
    </row>
    <row r="172" spans="1:2" ht="15" customHeight="1">
      <c r="A172" s="32" t="str">
        <f>'Trial Balance'!A149&amp;"-"&amp;'Trial Balance'!B149</f>
        <v>2268-Accrued Interest on Long Term Debt</v>
      </c>
      <c r="B172" s="23">
        <f>-'Trial Balance'!H149</f>
        <v>0.27</v>
      </c>
    </row>
    <row r="173" spans="1:2" ht="15" customHeight="1">
      <c r="A173" s="32" t="str">
        <f>'Trial Balance'!A150&amp;"-"&amp;'Trial Balance'!B150</f>
        <v>2270-Matured Long Term Debt</v>
      </c>
      <c r="B173" s="23">
        <f>-'Trial Balance'!H150</f>
        <v>0</v>
      </c>
    </row>
    <row r="174" spans="1:2" ht="15" customHeight="1">
      <c r="A174" s="32" t="str">
        <f>'Trial Balance'!A151&amp;"-"&amp;'Trial Balance'!B151</f>
        <v>2272-Matured Interest on Long Term Debt</v>
      </c>
      <c r="B174" s="23">
        <f>-'Trial Balance'!H151</f>
        <v>0</v>
      </c>
    </row>
    <row r="175" spans="1:2" ht="15" customHeight="1">
      <c r="A175" s="32" t="str">
        <f>'Trial Balance'!A152&amp;"-"&amp;'Trial Balance'!B152</f>
        <v>2285-Obligations Under Capital Leases--Current</v>
      </c>
      <c r="B175" s="23">
        <f>-'Trial Balance'!H152</f>
        <v>0</v>
      </c>
    </row>
    <row r="176" spans="1:2" ht="15" customHeight="1">
      <c r="A176" s="32" t="str">
        <f>'Trial Balance'!A153&amp;"-"&amp;'Trial Balance'!B153</f>
        <v>2290-Commodity Taxes</v>
      </c>
      <c r="B176" s="23">
        <f>-'Trial Balance'!H153</f>
        <v>56098.75</v>
      </c>
    </row>
    <row r="177" spans="1:2" ht="15" customHeight="1">
      <c r="A177" s="32" t="str">
        <f>'Trial Balance'!A154&amp;"-"&amp;'Trial Balance'!B154</f>
        <v>2292-Payroll Deductions / Expenses Payable</v>
      </c>
      <c r="B177" s="23">
        <f>-'Trial Balance'!H154</f>
        <v>412580.01</v>
      </c>
    </row>
    <row r="178" spans="1:2" ht="15" customHeight="1">
      <c r="A178" s="32" t="str">
        <f>'Trial Balance'!A155&amp;"-"&amp;'Trial Balance'!B155</f>
        <v>2294-Accrual for Taxes, "Payments in Lieu" of Taxes, Etc.</v>
      </c>
      <c r="B178" s="23">
        <f>-'Trial Balance'!H155</f>
        <v>45143.42</v>
      </c>
    </row>
    <row r="179" spans="1:2" ht="15" customHeight="1" thickBot="1">
      <c r="A179" s="32" t="str">
        <f>'Trial Balance'!A156&amp;"-"&amp;'Trial Balance'!B156</f>
        <v>2296-Future Income Taxes - Current</v>
      </c>
      <c r="B179" s="23">
        <f>-'Trial Balance'!H156</f>
        <v>0</v>
      </c>
    </row>
    <row r="180" spans="1:2" ht="15" customHeight="1" thickBot="1">
      <c r="A180" s="36" t="s">
        <v>540</v>
      </c>
      <c r="B180" s="31">
        <f>SUM(B157:B179)</f>
        <v>8040649.88</v>
      </c>
    </row>
    <row r="181" spans="1:2" ht="15" customHeight="1">
      <c r="A181" s="27"/>
      <c r="B181" s="12"/>
    </row>
    <row r="182" spans="1:2" ht="15" customHeight="1">
      <c r="A182" s="432" t="s">
        <v>541</v>
      </c>
      <c r="B182" s="432"/>
    </row>
    <row r="183" spans="1:2" ht="15" customHeight="1">
      <c r="A183" s="32" t="str">
        <f>'Trial Balance'!A158&amp;"-"&amp;'Trial Balance'!B158</f>
        <v>2305-Accumulated Provision for Injuries and Damages</v>
      </c>
      <c r="B183" s="23">
        <f>-'Trial Balance'!H158</f>
        <v>0</v>
      </c>
    </row>
    <row r="184" spans="1:2" ht="15" customHeight="1">
      <c r="A184" s="32" t="str">
        <f>'Trial Balance'!A159&amp;"-"&amp;'Trial Balance'!B159</f>
        <v>2306-Employee Future Benefits</v>
      </c>
      <c r="B184" s="23">
        <f>-'Trial Balance'!H159</f>
        <v>4264214</v>
      </c>
    </row>
    <row r="185" spans="1:2" ht="15" customHeight="1">
      <c r="A185" s="32" t="str">
        <f>'Trial Balance'!A160&amp;"-"&amp;'Trial Balance'!B160</f>
        <v>2308-Other Pensions - Past Service Liability</v>
      </c>
      <c r="B185" s="23">
        <f>-'Trial Balance'!H160</f>
        <v>0</v>
      </c>
    </row>
    <row r="186" spans="1:2" ht="15" customHeight="1">
      <c r="A186" s="32" t="str">
        <f>'Trial Balance'!A161&amp;"-"&amp;'Trial Balance'!B161</f>
        <v>2310-Vested Sick Leave Liability</v>
      </c>
      <c r="B186" s="23">
        <f>-'Trial Balance'!H161</f>
        <v>0</v>
      </c>
    </row>
    <row r="187" spans="1:2" ht="15" customHeight="1">
      <c r="A187" s="32" t="str">
        <f>'Trial Balance'!A162&amp;"-"&amp;'Trial Balance'!B162</f>
        <v>2315-Accumulated Provision for Rate Refunds</v>
      </c>
      <c r="B187" s="23">
        <f>-'Trial Balance'!H162</f>
        <v>0</v>
      </c>
    </row>
    <row r="188" spans="1:2" ht="15" customHeight="1">
      <c r="A188" s="32" t="str">
        <f>'Trial Balance'!A163&amp;"-"&amp;'Trial Balance'!B163</f>
        <v>2320-Other Miscellaneous Non-Current Liabilities</v>
      </c>
      <c r="B188" s="23">
        <f>-'Trial Balance'!H163</f>
        <v>0</v>
      </c>
    </row>
    <row r="189" spans="1:2" ht="15" customHeight="1">
      <c r="A189" s="32" t="str">
        <f>'Trial Balance'!A164&amp;"-"&amp;'Trial Balance'!B164</f>
        <v>2325-Obligations Under Capital Lease--Non-Current</v>
      </c>
      <c r="B189" s="23">
        <f>-'Trial Balance'!H164</f>
        <v>0</v>
      </c>
    </row>
    <row r="190" spans="1:2" ht="15" customHeight="1">
      <c r="A190" s="32" t="str">
        <f>'Trial Balance'!A165&amp;"-"&amp;'Trial Balance'!B165</f>
        <v>2330-Devolpment Charge Fund</v>
      </c>
      <c r="B190" s="23">
        <f>-'Trial Balance'!H165</f>
        <v>0</v>
      </c>
    </row>
    <row r="191" spans="1:2" ht="15" customHeight="1">
      <c r="A191" s="32" t="str">
        <f>'Trial Balance'!A166&amp;"-"&amp;'Trial Balance'!B166</f>
        <v>2335-Long Term Customer Deposits</v>
      </c>
      <c r="B191" s="23">
        <f>-'Trial Balance'!H166</f>
        <v>693782.79</v>
      </c>
    </row>
    <row r="192" spans="1:2" ht="15" customHeight="1">
      <c r="A192" s="32" t="str">
        <f>'Trial Balance'!A167&amp;"-"&amp;'Trial Balance'!B167</f>
        <v>2340-Collateral Funds Liability</v>
      </c>
      <c r="B192" s="23">
        <f>-'Trial Balance'!H167</f>
        <v>0</v>
      </c>
    </row>
    <row r="193" spans="1:2" ht="15" customHeight="1">
      <c r="A193" s="32" t="str">
        <f>'Trial Balance'!A168&amp;"-"&amp;'Trial Balance'!B168</f>
        <v>2345-Unamortized Premium on Long Term Debt</v>
      </c>
      <c r="B193" s="23">
        <f>-'Trial Balance'!H168</f>
        <v>0</v>
      </c>
    </row>
    <row r="194" spans="1:2" ht="15" customHeight="1">
      <c r="A194" s="32" t="str">
        <f>'Trial Balance'!A169&amp;"-"&amp;'Trial Balance'!B169</f>
        <v>2348-O.M.E.R.S. - Past Service Liability - Long Term Portion</v>
      </c>
      <c r="B194" s="23">
        <f>-'Trial Balance'!H169</f>
        <v>0</v>
      </c>
    </row>
    <row r="195" spans="1:2" ht="15" customHeight="1">
      <c r="A195" s="32" t="str">
        <f>'Trial Balance'!A170&amp;"-"&amp;'Trial Balance'!B170</f>
        <v>2350-Future Income Tax - Non-Current</v>
      </c>
      <c r="B195" s="23">
        <f>-'Trial Balance'!H170</f>
        <v>0</v>
      </c>
    </row>
    <row r="196" spans="1:2" ht="15" customHeight="1">
      <c r="A196" s="32" t="str">
        <f>'Trial Balance'!A172&amp;"-"&amp;'Trial Balance'!B172</f>
        <v>2405-Other Regulatory Liabilities</v>
      </c>
      <c r="B196" s="23">
        <f>-'Trial Balance'!H172</f>
        <v>-1150</v>
      </c>
    </row>
    <row r="197" spans="1:2" ht="15" customHeight="1">
      <c r="A197" s="32" t="str">
        <f>'Trial Balance'!A173&amp;"-"&amp;'Trial Balance'!B173</f>
        <v>2410-Deferred Gains From Disposition of Utility Plant</v>
      </c>
      <c r="B197" s="23">
        <f>-'Trial Balance'!H173</f>
        <v>0</v>
      </c>
    </row>
    <row r="198" spans="1:2" ht="15" customHeight="1">
      <c r="A198" s="32" t="str">
        <f>'Trial Balance'!A174&amp;"-"&amp;'Trial Balance'!B174</f>
        <v>2415-Unamortized Gain on Reacquired Debt</v>
      </c>
      <c r="B198" s="23">
        <f>-'Trial Balance'!H174</f>
        <v>0</v>
      </c>
    </row>
    <row r="199" spans="1:2" ht="15" customHeight="1">
      <c r="A199" s="32" t="str">
        <f>'Trial Balance'!A175&amp;"-"&amp;'Trial Balance'!B175</f>
        <v>2425-Other Deferred Credits</v>
      </c>
      <c r="B199" s="23">
        <f>-'Trial Balance'!H175</f>
        <v>0</v>
      </c>
    </row>
    <row r="200" spans="1:2" ht="15" customHeight="1" thickBot="1">
      <c r="A200" s="32" t="str">
        <f>'Trial Balance'!A176&amp;"-"&amp;'Trial Balance'!B176</f>
        <v>2435-Accrued Rate-Payer Benefit</v>
      </c>
      <c r="B200" s="23">
        <f>-'Trial Balance'!H176</f>
        <v>0</v>
      </c>
    </row>
    <row r="201" spans="1:2" ht="15" customHeight="1" thickBot="1">
      <c r="A201" s="36" t="s">
        <v>156</v>
      </c>
      <c r="B201" s="31">
        <f>SUM(B183:B200)</f>
        <v>4956846.79</v>
      </c>
    </row>
    <row r="202" spans="1:2" ht="15" customHeight="1">
      <c r="A202" s="27"/>
      <c r="B202" s="12"/>
    </row>
    <row r="203" spans="1:2" ht="15" customHeight="1">
      <c r="A203" s="432" t="s">
        <v>157</v>
      </c>
      <c r="B203" s="432"/>
    </row>
    <row r="204" spans="1:2" ht="15" customHeight="1">
      <c r="A204" s="32" t="str">
        <f>'Trial Balance'!A178&amp;"-"&amp;'Trial Balance'!B178</f>
        <v>2505-Debentures Outstanding - Long Term Portion</v>
      </c>
      <c r="B204" s="23">
        <f>-'Trial Balance'!H178</f>
        <v>0</v>
      </c>
    </row>
    <row r="205" spans="1:2" ht="15" customHeight="1">
      <c r="A205" s="32" t="str">
        <f>'Trial Balance'!A179&amp;"-"&amp;'Trial Balance'!B179</f>
        <v>2510-Debenture Advances</v>
      </c>
      <c r="B205" s="23">
        <f>-'Trial Balance'!H179</f>
        <v>0</v>
      </c>
    </row>
    <row r="206" spans="1:2" ht="15" customHeight="1">
      <c r="A206" s="32" t="str">
        <f>'Trial Balance'!A180&amp;"-"&amp;'Trial Balance'!B180</f>
        <v>2515-Required Bonds</v>
      </c>
      <c r="B206" s="23">
        <f>-'Trial Balance'!H180</f>
        <v>0</v>
      </c>
    </row>
    <row r="207" spans="1:2" ht="15" customHeight="1">
      <c r="A207" s="32" t="str">
        <f>'Trial Balance'!A181&amp;"-"&amp;'Trial Balance'!B181</f>
        <v>2520-Other Long Term Debt</v>
      </c>
      <c r="B207" s="23">
        <f>-'Trial Balance'!H181</f>
        <v>0</v>
      </c>
    </row>
    <row r="208" spans="1:2" ht="15" customHeight="1">
      <c r="A208" s="32" t="str">
        <f>'Trial Balance'!A182&amp;"-"&amp;'Trial Balance'!B182</f>
        <v>2525-Term Bank Loans - Long Term Portion</v>
      </c>
      <c r="B208" s="23">
        <f>-'Trial Balance'!H182</f>
        <v>0</v>
      </c>
    </row>
    <row r="209" spans="1:2" ht="15" customHeight="1">
      <c r="A209" s="32" t="str">
        <f>'Trial Balance'!A183&amp;"-"&amp;'Trial Balance'!B183</f>
        <v>2530-Ontario Hydro Debt Outstanding - Long Term Portion</v>
      </c>
      <c r="B209" s="23">
        <f>-'Trial Balance'!H183</f>
        <v>0</v>
      </c>
    </row>
    <row r="210" spans="1:2" ht="15" customHeight="1" thickBot="1">
      <c r="A210" s="32" t="str">
        <f>'Trial Balance'!A184&amp;"-"&amp;'Trial Balance'!B184</f>
        <v>2550-Advances from Associated Companies</v>
      </c>
      <c r="B210" s="23">
        <f>-'Trial Balance'!H184</f>
        <v>19511601</v>
      </c>
    </row>
    <row r="211" spans="1:2" ht="15" customHeight="1" thickBot="1">
      <c r="A211" s="36" t="s">
        <v>158</v>
      </c>
      <c r="B211" s="31">
        <f>SUM(B204:B210)</f>
        <v>19511601</v>
      </c>
    </row>
    <row r="212" spans="1:2" ht="15" customHeight="1">
      <c r="A212" s="27"/>
      <c r="B212" s="12"/>
    </row>
    <row r="213" spans="1:2" ht="15" customHeight="1">
      <c r="A213" s="432" t="s">
        <v>159</v>
      </c>
      <c r="B213" s="432"/>
    </row>
    <row r="214" spans="1:2" ht="15" customHeight="1">
      <c r="A214" s="32" t="str">
        <f>'Trial Balance'!A186&amp;"-"&amp;'Trial Balance'!B186</f>
        <v>3005-Common Shares Issued</v>
      </c>
      <c r="B214" s="23">
        <f>-'Trial Balance'!H186</f>
        <v>19511601</v>
      </c>
    </row>
    <row r="215" spans="1:2" ht="15" customHeight="1">
      <c r="A215" s="32" t="str">
        <f>'Trial Balance'!A187&amp;"-"&amp;'Trial Balance'!B187</f>
        <v>3008-Preference Shares Issued</v>
      </c>
      <c r="B215" s="23">
        <f>-'Trial Balance'!H187</f>
        <v>0</v>
      </c>
    </row>
    <row r="216" spans="1:2" ht="15" customHeight="1">
      <c r="A216" s="32" t="str">
        <f>'Trial Balance'!A188&amp;"-"&amp;'Trial Balance'!B188</f>
        <v>3010-Contributed Surplus</v>
      </c>
      <c r="B216" s="23">
        <f>-'Trial Balance'!H188</f>
        <v>0</v>
      </c>
    </row>
    <row r="217" spans="1:2" ht="15" customHeight="1">
      <c r="A217" s="32" t="str">
        <f>'Trial Balance'!A189&amp;"-"&amp;'Trial Balance'!B189</f>
        <v>3020-Donations Received</v>
      </c>
      <c r="B217" s="23">
        <f>-'Trial Balance'!H189</f>
        <v>0</v>
      </c>
    </row>
    <row r="218" spans="1:2" ht="15" customHeight="1">
      <c r="A218" s="32" t="str">
        <f>'Trial Balance'!A190&amp;"-"&amp;'Trial Balance'!B190</f>
        <v>3022-Devolpment Charges Transferred to Equity</v>
      </c>
      <c r="B218" s="23">
        <f>-'Trial Balance'!H190</f>
        <v>0</v>
      </c>
    </row>
    <row r="219" spans="1:2" ht="15" customHeight="1">
      <c r="A219" s="32" t="str">
        <f>'Trial Balance'!A191&amp;"-"&amp;'Trial Balance'!B191</f>
        <v>3026-Capital Stock Held in Treasury</v>
      </c>
      <c r="B219" s="23">
        <f>-'Trial Balance'!H191</f>
        <v>0</v>
      </c>
    </row>
    <row r="220" spans="1:2" ht="15" customHeight="1">
      <c r="A220" s="32" t="str">
        <f>'Trial Balance'!A192&amp;"-"&amp;'Trial Balance'!B192</f>
        <v>3030-Miscellaneous Paid-In Capital</v>
      </c>
      <c r="B220" s="23">
        <f>-'Trial Balance'!H192</f>
        <v>0</v>
      </c>
    </row>
    <row r="221" spans="1:2" ht="15" customHeight="1">
      <c r="A221" s="32" t="str">
        <f>'Trial Balance'!A193&amp;"-"&amp;'Trial Balance'!B193</f>
        <v>3035-Installments Received on Capital Stock</v>
      </c>
      <c r="B221" s="23">
        <f>-'Trial Balance'!H193</f>
        <v>0</v>
      </c>
    </row>
    <row r="222" spans="1:2" ht="15" customHeight="1">
      <c r="A222" s="32" t="str">
        <f>'Trial Balance'!A194&amp;"-"&amp;'Trial Balance'!B194</f>
        <v>3040-Appropriated Retained Earnings</v>
      </c>
      <c r="B222" s="23">
        <f>-'Trial Balance'!H194</f>
        <v>0</v>
      </c>
    </row>
    <row r="223" spans="1:2" ht="15" customHeight="1">
      <c r="A223" s="32" t="str">
        <f>'Trial Balance'!A195&amp;"-"&amp;'Trial Balance'!B195</f>
        <v>3045-Unappropriated Retained Earnings</v>
      </c>
      <c r="B223" s="23">
        <f>-'Trial Balance'!H195</f>
        <v>5834547.13</v>
      </c>
    </row>
    <row r="224" spans="1:3" ht="15" customHeight="1">
      <c r="A224" s="32" t="s">
        <v>563</v>
      </c>
      <c r="B224" s="320">
        <f>-'2008 Income Statement'!B214</f>
        <v>1415858.6699999846</v>
      </c>
      <c r="C224" s="21" t="s">
        <v>544</v>
      </c>
    </row>
    <row r="225" spans="1:2" ht="15" customHeight="1">
      <c r="A225" s="32" t="str">
        <f>'Trial Balance'!A197&amp;"-"&amp;'Trial Balance'!B197</f>
        <v>3047-Appropriations of Retained Earnings - Current Period</v>
      </c>
      <c r="B225" s="23">
        <f>-'Trial Balance'!H197</f>
        <v>0</v>
      </c>
    </row>
    <row r="226" spans="1:2" ht="15" customHeight="1">
      <c r="A226" s="32" t="str">
        <f>'Trial Balance'!A198&amp;"-"&amp;'Trial Balance'!B198</f>
        <v>3048-Dividends Payable-Preference Shares</v>
      </c>
      <c r="B226" s="23">
        <f>-'Trial Balance'!H198</f>
        <v>0</v>
      </c>
    </row>
    <row r="227" spans="1:2" ht="15" customHeight="1">
      <c r="A227" s="32" t="str">
        <f>'Trial Balance'!A199&amp;"-"&amp;'Trial Balance'!B199</f>
        <v>3049-Dividends Payable-Common Shares</v>
      </c>
      <c r="B227" s="23">
        <f>-'Trial Balance'!H199</f>
        <v>-1000000</v>
      </c>
    </row>
    <row r="228" spans="1:2" ht="15" customHeight="1">
      <c r="A228" s="32" t="str">
        <f>'Trial Balance'!A200&amp;"-"&amp;'Trial Balance'!B200</f>
        <v>3055-Adjustment to Retained Earnings                 </v>
      </c>
      <c r="B228" s="23">
        <f>-'Trial Balance'!H200</f>
        <v>0</v>
      </c>
    </row>
    <row r="229" spans="1:2" ht="15" customHeight="1" thickBot="1">
      <c r="A229" s="32" t="str">
        <f>'Trial Balance'!A201&amp;"-"&amp;'Trial Balance'!B201</f>
        <v>3065-Unappropriated Undistributed Subsidiary Earnings</v>
      </c>
      <c r="B229" s="23">
        <f>-'Trial Balance'!H201</f>
        <v>0</v>
      </c>
    </row>
    <row r="230" spans="1:2" ht="15" customHeight="1" thickBot="1">
      <c r="A230" s="34" t="s">
        <v>564</v>
      </c>
      <c r="B230" s="31">
        <f>SUM(B214:B229)</f>
        <v>25762006.799999982</v>
      </c>
    </row>
    <row r="231" spans="1:2" s="13" customFormat="1" ht="15" customHeight="1">
      <c r="A231" s="28"/>
      <c r="B231" s="12"/>
    </row>
    <row r="232" spans="1:2" s="13" customFormat="1" ht="15" customHeight="1">
      <c r="A232" s="226" t="s">
        <v>282</v>
      </c>
      <c r="B232" s="227">
        <f>B180+B201+B211+B230</f>
        <v>58271104.469999984</v>
      </c>
    </row>
    <row r="233" spans="1:2" s="13" customFormat="1" ht="15" customHeight="1" thickBot="1">
      <c r="A233" s="28"/>
      <c r="B233" s="12"/>
    </row>
    <row r="234" spans="1:2" ht="15" customHeight="1" thickBot="1">
      <c r="A234" s="37" t="s">
        <v>281</v>
      </c>
      <c r="B234" s="254">
        <f>B154-B232</f>
        <v>0</v>
      </c>
    </row>
    <row r="235" spans="1:2" ht="15">
      <c r="A235" s="29"/>
      <c r="B235" s="10"/>
    </row>
    <row r="236" spans="1:2" ht="15">
      <c r="A236" s="29"/>
      <c r="B236" s="316"/>
    </row>
    <row r="237" spans="1:2" ht="15">
      <c r="A237" s="29"/>
      <c r="B237" s="10"/>
    </row>
    <row r="238" spans="1:2" ht="15">
      <c r="A238" s="29"/>
      <c r="B238" s="10"/>
    </row>
    <row r="239" spans="1:2" ht="15">
      <c r="A239" s="29"/>
      <c r="B239" s="10"/>
    </row>
    <row r="240" spans="1:2" ht="15">
      <c r="A240" s="29"/>
      <c r="B240" s="10"/>
    </row>
    <row r="241" spans="1:2" ht="15">
      <c r="A241" s="29"/>
      <c r="B241" s="10"/>
    </row>
    <row r="242" spans="1:2" ht="15">
      <c r="A242" s="29"/>
      <c r="B242" s="10"/>
    </row>
    <row r="243" spans="1:2" ht="15">
      <c r="A243" s="29"/>
      <c r="B243" s="10"/>
    </row>
    <row r="244" spans="1:2" ht="15">
      <c r="A244" s="29"/>
      <c r="B244" s="10"/>
    </row>
    <row r="245" spans="1:2" ht="15">
      <c r="A245" s="29"/>
      <c r="B245" s="10"/>
    </row>
    <row r="246" spans="1:2" ht="15">
      <c r="A246" s="29"/>
      <c r="B246" s="10"/>
    </row>
    <row r="247" spans="1:2" ht="15">
      <c r="A247" s="29"/>
      <c r="B247" s="10"/>
    </row>
    <row r="248" spans="1:2" ht="15">
      <c r="A248" s="29"/>
      <c r="B248" s="10"/>
    </row>
    <row r="249" spans="1:2" ht="15">
      <c r="A249" s="29"/>
      <c r="B249" s="10"/>
    </row>
    <row r="250" spans="1:2" ht="15">
      <c r="A250" s="29"/>
      <c r="B250" s="10"/>
    </row>
    <row r="251" spans="1:2" ht="15">
      <c r="A251" s="29"/>
      <c r="B251" s="10"/>
    </row>
    <row r="252" spans="1:2" ht="15">
      <c r="A252" s="29"/>
      <c r="B252" s="10"/>
    </row>
    <row r="253" spans="1:2" ht="15">
      <c r="A253" s="29"/>
      <c r="B253" s="10"/>
    </row>
    <row r="254" spans="1:2" ht="15">
      <c r="A254" s="29"/>
      <c r="B254" s="10"/>
    </row>
    <row r="255" spans="1:2" ht="15">
      <c r="A255" s="29"/>
      <c r="B255" s="10"/>
    </row>
    <row r="256" spans="1:2" ht="15">
      <c r="A256" s="29"/>
      <c r="B256" s="10"/>
    </row>
    <row r="257" spans="1:2" ht="15">
      <c r="A257" s="29"/>
      <c r="B257" s="10"/>
    </row>
    <row r="258" spans="1:2" ht="15">
      <c r="A258" s="29"/>
      <c r="B258" s="10"/>
    </row>
    <row r="259" spans="1:2" ht="15">
      <c r="A259" s="29"/>
      <c r="B259" s="10"/>
    </row>
    <row r="260" spans="1:2" ht="15">
      <c r="A260" s="29"/>
      <c r="B260" s="10"/>
    </row>
    <row r="261" spans="1:2" ht="15">
      <c r="A261" s="29"/>
      <c r="B261" s="10"/>
    </row>
    <row r="262" spans="1:2" ht="15">
      <c r="A262" s="29"/>
      <c r="B262" s="10"/>
    </row>
    <row r="263" spans="1:2" ht="15">
      <c r="A263" s="29"/>
      <c r="B263" s="10"/>
    </row>
    <row r="264" spans="1:2" ht="15">
      <c r="A264" s="29"/>
      <c r="B264" s="10"/>
    </row>
    <row r="265" spans="1:2" ht="15">
      <c r="A265" s="29"/>
      <c r="B265" s="10"/>
    </row>
    <row r="266" spans="1:2" ht="15">
      <c r="A266" s="29"/>
      <c r="B266" s="10"/>
    </row>
    <row r="267" spans="1:2" ht="15">
      <c r="A267" s="29"/>
      <c r="B267" s="10"/>
    </row>
    <row r="268" spans="1:2" ht="15">
      <c r="A268" s="29"/>
      <c r="B268" s="10"/>
    </row>
    <row r="269" spans="1:2" ht="15">
      <c r="A269" s="29"/>
      <c r="B269" s="10"/>
    </row>
    <row r="270" spans="1:2" ht="15">
      <c r="A270" s="29"/>
      <c r="B270" s="10"/>
    </row>
    <row r="271" spans="1:2" ht="15">
      <c r="A271" s="29"/>
      <c r="B271" s="10"/>
    </row>
    <row r="272" spans="1:2" ht="15">
      <c r="A272" s="29"/>
      <c r="B272" s="10"/>
    </row>
    <row r="273" spans="1:2" ht="15">
      <c r="A273" s="29"/>
      <c r="B273" s="10"/>
    </row>
    <row r="274" spans="1:2" ht="15">
      <c r="A274" s="29"/>
      <c r="B274" s="10"/>
    </row>
    <row r="275" spans="1:2" ht="15">
      <c r="A275" s="29"/>
      <c r="B275" s="10"/>
    </row>
    <row r="276" spans="1:2" ht="15">
      <c r="A276" s="29"/>
      <c r="B276" s="10"/>
    </row>
    <row r="277" spans="1:2" ht="15">
      <c r="A277" s="29"/>
      <c r="B277" s="10"/>
    </row>
    <row r="278" spans="1:2" ht="15">
      <c r="A278" s="29"/>
      <c r="B278" s="10"/>
    </row>
    <row r="279" spans="1:2" ht="15">
      <c r="A279" s="29"/>
      <c r="B279" s="10"/>
    </row>
    <row r="280" spans="1:2" ht="15">
      <c r="A280" s="29"/>
      <c r="B280" s="10"/>
    </row>
    <row r="281" spans="1:2" ht="15">
      <c r="A281" s="29"/>
      <c r="B281" s="10"/>
    </row>
    <row r="282" spans="1:2" ht="15">
      <c r="A282" s="29"/>
      <c r="B282" s="10"/>
    </row>
    <row r="283" spans="1:2" ht="15">
      <c r="A283" s="29"/>
      <c r="B283" s="10"/>
    </row>
    <row r="284" spans="1:2" ht="15">
      <c r="A284" s="29"/>
      <c r="B284" s="10"/>
    </row>
    <row r="285" spans="1:2" ht="15">
      <c r="A285" s="29"/>
      <c r="B285" s="10"/>
    </row>
    <row r="286" spans="1:2" ht="15">
      <c r="A286" s="29"/>
      <c r="B286" s="10"/>
    </row>
    <row r="287" spans="1:2" ht="15">
      <c r="A287" s="29"/>
      <c r="B287" s="10"/>
    </row>
    <row r="288" spans="1:2" ht="15">
      <c r="A288" s="29"/>
      <c r="B288" s="10"/>
    </row>
    <row r="289" spans="1:2" ht="15">
      <c r="A289" s="29"/>
      <c r="B289" s="10"/>
    </row>
    <row r="290" spans="1:2" ht="15">
      <c r="A290" s="29"/>
      <c r="B290" s="10"/>
    </row>
    <row r="291" spans="1:2" ht="15">
      <c r="A291" s="29"/>
      <c r="B291" s="10"/>
    </row>
    <row r="292" spans="1:2" ht="15">
      <c r="A292" s="29"/>
      <c r="B292" s="10"/>
    </row>
    <row r="293" spans="1:2" ht="15">
      <c r="A293" s="29"/>
      <c r="B293" s="10"/>
    </row>
    <row r="294" spans="1:2" ht="15">
      <c r="A294" s="29"/>
      <c r="B294" s="10"/>
    </row>
    <row r="295" spans="1:2" ht="15">
      <c r="A295" s="29"/>
      <c r="B295" s="10"/>
    </row>
    <row r="296" spans="1:2" ht="15">
      <c r="A296" s="29"/>
      <c r="B296" s="10"/>
    </row>
    <row r="297" spans="1:2" ht="15">
      <c r="A297" s="29"/>
      <c r="B297" s="10"/>
    </row>
    <row r="298" spans="1:2" ht="15">
      <c r="A298" s="29"/>
      <c r="B298" s="10"/>
    </row>
    <row r="299" spans="1:2" ht="15">
      <c r="A299" s="29"/>
      <c r="B299" s="10"/>
    </row>
    <row r="300" spans="1:2" ht="15">
      <c r="A300" s="29"/>
      <c r="B300" s="10"/>
    </row>
    <row r="301" spans="1:2" ht="15">
      <c r="A301" s="29"/>
      <c r="B301" s="10"/>
    </row>
    <row r="302" spans="1:2" ht="15">
      <c r="A302" s="29"/>
      <c r="B302" s="10"/>
    </row>
    <row r="303" spans="1:2" ht="15">
      <c r="A303" s="29"/>
      <c r="B303" s="10"/>
    </row>
    <row r="304" spans="1:2" ht="15">
      <c r="A304" s="29"/>
      <c r="B304" s="10"/>
    </row>
    <row r="305" spans="1:2" ht="15">
      <c r="A305" s="29"/>
      <c r="B305" s="10"/>
    </row>
    <row r="306" spans="1:2" ht="15">
      <c r="A306" s="29"/>
      <c r="B306" s="10"/>
    </row>
    <row r="307" spans="1:2" ht="15">
      <c r="A307" s="29"/>
      <c r="B307" s="10"/>
    </row>
    <row r="308" spans="1:2" ht="15">
      <c r="A308" s="29"/>
      <c r="B308" s="10"/>
    </row>
    <row r="309" spans="1:2" ht="15">
      <c r="A309" s="29"/>
      <c r="B309" s="10"/>
    </row>
    <row r="310" spans="1:2" ht="15">
      <c r="A310" s="29"/>
      <c r="B310" s="10"/>
    </row>
    <row r="311" spans="1:2" ht="15">
      <c r="A311" s="29"/>
      <c r="B311" s="10"/>
    </row>
    <row r="312" spans="1:2" ht="15">
      <c r="A312" s="29"/>
      <c r="B312" s="10"/>
    </row>
    <row r="313" spans="1:2" ht="15">
      <c r="A313" s="29"/>
      <c r="B313" s="10"/>
    </row>
    <row r="314" spans="1:2" ht="15">
      <c r="A314" s="29"/>
      <c r="B314" s="10"/>
    </row>
    <row r="315" spans="1:2" ht="15">
      <c r="A315" s="29"/>
      <c r="B315" s="10"/>
    </row>
    <row r="316" spans="1:2" ht="15">
      <c r="A316" s="29"/>
      <c r="B316" s="10"/>
    </row>
    <row r="317" spans="1:2" ht="15">
      <c r="A317" s="29"/>
      <c r="B317" s="10"/>
    </row>
    <row r="318" spans="1:2" ht="15">
      <c r="A318" s="29"/>
      <c r="B318" s="10"/>
    </row>
    <row r="319" spans="1:2" ht="15">
      <c r="A319" s="29"/>
      <c r="B319" s="10"/>
    </row>
    <row r="320" spans="1:2" ht="15">
      <c r="A320" s="29"/>
      <c r="B320" s="10"/>
    </row>
    <row r="321" spans="1:2" ht="15">
      <c r="A321" s="29"/>
      <c r="B321" s="10"/>
    </row>
    <row r="322" spans="1:2" ht="15">
      <c r="A322" s="29"/>
      <c r="B322" s="10"/>
    </row>
    <row r="323" spans="1:2" ht="15">
      <c r="A323" s="29"/>
      <c r="B323" s="10"/>
    </row>
    <row r="324" spans="1:2" ht="15">
      <c r="A324" s="29"/>
      <c r="B324" s="10"/>
    </row>
    <row r="325" spans="1:2" ht="15">
      <c r="A325" s="29"/>
      <c r="B325" s="10"/>
    </row>
    <row r="326" spans="1:2" ht="15">
      <c r="A326" s="29"/>
      <c r="B326" s="10"/>
    </row>
    <row r="327" spans="1:2" ht="15">
      <c r="A327" s="29"/>
      <c r="B327" s="10"/>
    </row>
    <row r="328" spans="1:2" ht="15">
      <c r="A328" s="29"/>
      <c r="B328" s="10"/>
    </row>
    <row r="329" spans="1:2" ht="15">
      <c r="A329" s="29"/>
      <c r="B329" s="10"/>
    </row>
    <row r="330" spans="1:2" ht="15">
      <c r="A330" s="29"/>
      <c r="B330" s="10"/>
    </row>
    <row r="331" spans="1:2" ht="15">
      <c r="A331" s="29"/>
      <c r="B331" s="10"/>
    </row>
    <row r="332" spans="1:2" ht="15">
      <c r="A332" s="29"/>
      <c r="B332" s="10"/>
    </row>
    <row r="333" spans="1:2" ht="15">
      <c r="A333" s="29"/>
      <c r="B333" s="10"/>
    </row>
    <row r="334" spans="1:2" ht="15">
      <c r="A334" s="29"/>
      <c r="B334" s="10"/>
    </row>
    <row r="335" spans="1:2" ht="15">
      <c r="A335" s="29"/>
      <c r="B335" s="10"/>
    </row>
    <row r="336" spans="1:2" ht="15">
      <c r="A336" s="29"/>
      <c r="B336" s="10"/>
    </row>
    <row r="337" spans="1:2" ht="15">
      <c r="A337" s="29"/>
      <c r="B337" s="10"/>
    </row>
    <row r="338" spans="1:2" ht="15">
      <c r="A338" s="29"/>
      <c r="B338" s="10"/>
    </row>
    <row r="339" spans="1:2" ht="15">
      <c r="A339" s="29"/>
      <c r="B339" s="10"/>
    </row>
    <row r="340" spans="1:2" ht="15">
      <c r="A340" s="29"/>
      <c r="B340" s="10"/>
    </row>
    <row r="341" spans="1:2" ht="15">
      <c r="A341" s="29"/>
      <c r="B341" s="10"/>
    </row>
    <row r="342" spans="1:2" ht="15">
      <c r="A342" s="29"/>
      <c r="B342" s="10"/>
    </row>
    <row r="343" spans="1:2" ht="15">
      <c r="A343" s="29"/>
      <c r="B343" s="10"/>
    </row>
    <row r="344" spans="1:2" ht="15">
      <c r="A344" s="29"/>
      <c r="B344" s="10"/>
    </row>
    <row r="345" spans="1:2" ht="15">
      <c r="A345" s="29"/>
      <c r="B345" s="10"/>
    </row>
    <row r="346" spans="1:2" ht="15">
      <c r="A346" s="29"/>
      <c r="B346" s="10"/>
    </row>
    <row r="347" spans="1:2" ht="15">
      <c r="A347" s="29"/>
      <c r="B347" s="10"/>
    </row>
    <row r="348" spans="1:2" ht="15">
      <c r="A348" s="29"/>
      <c r="B348" s="10"/>
    </row>
    <row r="349" spans="1:2" ht="15">
      <c r="A349" s="29"/>
      <c r="B349" s="10"/>
    </row>
    <row r="350" spans="1:2" ht="15">
      <c r="A350" s="29"/>
      <c r="B350" s="10"/>
    </row>
    <row r="351" spans="1:2" ht="15">
      <c r="A351" s="29"/>
      <c r="B351" s="10"/>
    </row>
    <row r="352" spans="1:2" ht="15">
      <c r="A352" s="29"/>
      <c r="B352" s="10"/>
    </row>
    <row r="353" spans="1:2" ht="15">
      <c r="A353" s="29"/>
      <c r="B353" s="10"/>
    </row>
  </sheetData>
  <mergeCells count="18">
    <mergeCell ref="A1:B1"/>
    <mergeCell ref="A2:B2"/>
    <mergeCell ref="A3:B3"/>
    <mergeCell ref="A4:B4"/>
    <mergeCell ref="A37:B37"/>
    <mergeCell ref="A59:B59"/>
    <mergeCell ref="A6:B6"/>
    <mergeCell ref="A29:B29"/>
    <mergeCell ref="A30:B30"/>
    <mergeCell ref="A54:B54"/>
    <mergeCell ref="A91:B91"/>
    <mergeCell ref="A109:B109"/>
    <mergeCell ref="A132:B132"/>
    <mergeCell ref="A146:B146"/>
    <mergeCell ref="A156:B156"/>
    <mergeCell ref="A182:B182"/>
    <mergeCell ref="A203:B203"/>
    <mergeCell ref="A213:B213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portrait" scale="75" r:id="rId1"/>
  <headerFooter alignWithMargins="0">
    <oddFooter>&amp;L&amp;A</oddFooter>
  </headerFooter>
  <rowBreaks count="4" manualBreakCount="4">
    <brk id="58" max="255" man="1"/>
    <brk id="108" max="255" man="1"/>
    <brk id="155" max="255" man="1"/>
    <brk id="20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0"/>
  <sheetViews>
    <sheetView workbookViewId="0" topLeftCell="A1">
      <selection activeCell="A1" sqref="A1:B1"/>
    </sheetView>
  </sheetViews>
  <sheetFormatPr defaultColWidth="9.140625" defaultRowHeight="12.75"/>
  <cols>
    <col min="1" max="1" width="72.28125" style="0" customWidth="1"/>
    <col min="2" max="2" width="21.8515625" style="0" customWidth="1"/>
    <col min="5" max="5" width="3.57421875" style="0" customWidth="1"/>
    <col min="6" max="6" width="2.421875" style="0" customWidth="1"/>
    <col min="7" max="7" width="14.57421875" style="0" bestFit="1" customWidth="1"/>
  </cols>
  <sheetData>
    <row r="1" spans="1:2" ht="12.75">
      <c r="A1" s="441" t="str">
        <f>'Trial Balance'!A1:J1</f>
        <v>North Bay Hydro Distribution Ltd.</v>
      </c>
      <c r="B1" s="441"/>
    </row>
    <row r="2" spans="1:2" ht="12.75">
      <c r="A2" s="441" t="str">
        <f>'Trial Balance'!A2:J2</f>
        <v>License Number ED-2003-0024, File Number EB-2009-0270</v>
      </c>
      <c r="B2" s="441"/>
    </row>
    <row r="3" spans="1:2" s="25" customFormat="1" ht="15.75">
      <c r="A3" s="433" t="str">
        <f>Notes!B4</f>
        <v>North Bay Hydro Distribution Ltd.</v>
      </c>
      <c r="B3" s="433"/>
    </row>
    <row r="4" spans="1:2" s="25" customFormat="1" ht="15.75">
      <c r="A4" s="427" t="s">
        <v>165</v>
      </c>
      <c r="B4" s="427"/>
    </row>
    <row r="5" spans="1:2" ht="15" customHeight="1">
      <c r="A5" s="72" t="s">
        <v>545</v>
      </c>
      <c r="B5" s="72" t="s">
        <v>153</v>
      </c>
    </row>
    <row r="6" spans="1:2" ht="15" customHeight="1">
      <c r="A6" s="428" t="s">
        <v>141</v>
      </c>
      <c r="B6" s="428"/>
    </row>
    <row r="7" spans="1:7" ht="15" customHeight="1">
      <c r="A7" s="32" t="str">
        <f>'Trial Balance'!A203&amp;"-"&amp;'Trial Balance'!B203</f>
        <v>4006-Residential Energy Sales</v>
      </c>
      <c r="B7" s="23">
        <f>'Trial Balance'!H203</f>
        <v>-10039459.53</v>
      </c>
      <c r="D7" s="14"/>
      <c r="E7" s="15"/>
      <c r="F7" s="16"/>
      <c r="G7" s="18"/>
    </row>
    <row r="8" spans="1:7" ht="15" customHeight="1">
      <c r="A8" s="32" t="str">
        <f>'Trial Balance'!A204&amp;"-"&amp;'Trial Balance'!B204</f>
        <v>4010-Commercial Energy Sales</v>
      </c>
      <c r="B8" s="23">
        <f>'Trial Balance'!H204</f>
        <v>-4704556.83</v>
      </c>
      <c r="D8" s="14"/>
      <c r="E8" s="15"/>
      <c r="F8" s="16"/>
      <c r="G8" s="18"/>
    </row>
    <row r="9" spans="1:7" ht="15" customHeight="1">
      <c r="A9" s="32" t="str">
        <f>'Trial Balance'!A205&amp;"-"&amp;'Trial Balance'!B205</f>
        <v>4015-Industrial Energy Sales</v>
      </c>
      <c r="B9" s="23">
        <f>'Trial Balance'!H205</f>
        <v>0</v>
      </c>
      <c r="D9" s="14"/>
      <c r="E9" s="15"/>
      <c r="F9" s="16"/>
      <c r="G9" s="18"/>
    </row>
    <row r="10" spans="1:7" ht="15" customHeight="1">
      <c r="A10" s="32" t="str">
        <f>'Trial Balance'!A206&amp;"-"&amp;'Trial Balance'!B206</f>
        <v>4020-Energy Sales to Large Users</v>
      </c>
      <c r="B10" s="23">
        <f>'Trial Balance'!H206</f>
        <v>0</v>
      </c>
      <c r="D10" s="14"/>
      <c r="E10" s="15"/>
      <c r="F10" s="16"/>
      <c r="G10" s="18"/>
    </row>
    <row r="11" spans="1:7" ht="15" customHeight="1">
      <c r="A11" s="32" t="str">
        <f>'Trial Balance'!A207&amp;"-"&amp;'Trial Balance'!B207</f>
        <v>4025-Street Lighting Energy Sales</v>
      </c>
      <c r="B11" s="23">
        <f>'Trial Balance'!H207</f>
        <v>-148938.45</v>
      </c>
      <c r="D11" s="14"/>
      <c r="E11" s="15"/>
      <c r="F11" s="16"/>
      <c r="G11" s="18"/>
    </row>
    <row r="12" spans="1:7" ht="15" customHeight="1">
      <c r="A12" s="32" t="str">
        <f>'Trial Balance'!A208&amp;"-"&amp;'Trial Balance'!B208</f>
        <v>4030-Sentinel Energy Sales</v>
      </c>
      <c r="B12" s="23">
        <f>'Trial Balance'!H208</f>
        <v>-28141.7</v>
      </c>
      <c r="D12" s="14"/>
      <c r="E12" s="15"/>
      <c r="F12" s="16"/>
      <c r="G12" s="18"/>
    </row>
    <row r="13" spans="1:7" ht="15" customHeight="1">
      <c r="A13" s="32" t="str">
        <f>'Trial Balance'!A209&amp;"-"&amp;'Trial Balance'!B209</f>
        <v>4035-General Energy Sales</v>
      </c>
      <c r="B13" s="23">
        <f>'Trial Balance'!H209</f>
        <v>-11453425.25</v>
      </c>
      <c r="D13" s="14"/>
      <c r="E13" s="15"/>
      <c r="F13" s="16"/>
      <c r="G13" s="18"/>
    </row>
    <row r="14" spans="1:7" ht="15" customHeight="1">
      <c r="A14" s="32" t="str">
        <f>'Trial Balance'!A210&amp;"-"&amp;'Trial Balance'!B210</f>
        <v>4040-Other Energy Sales to Public Authorities</v>
      </c>
      <c r="B14" s="23">
        <f>'Trial Balance'!H210</f>
        <v>0</v>
      </c>
      <c r="D14" s="14"/>
      <c r="E14" s="15"/>
      <c r="F14" s="16"/>
      <c r="G14" s="18"/>
    </row>
    <row r="15" spans="1:7" ht="15" customHeight="1">
      <c r="A15" s="32" t="str">
        <f>'Trial Balance'!A211&amp;"-"&amp;'Trial Balance'!B211</f>
        <v>4045-Energy Sales to Railroads and Railways</v>
      </c>
      <c r="B15" s="23">
        <f>'Trial Balance'!H211</f>
        <v>0</v>
      </c>
      <c r="D15" s="14"/>
      <c r="E15" s="15"/>
      <c r="F15" s="16"/>
      <c r="G15" s="18"/>
    </row>
    <row r="16" spans="1:7" ht="15" customHeight="1">
      <c r="A16" s="32" t="str">
        <f>'Trial Balance'!A212&amp;"-"&amp;'Trial Balance'!B212</f>
        <v>4050-Revenue Adjustment</v>
      </c>
      <c r="B16" s="23">
        <f>'Trial Balance'!H212</f>
        <v>0</v>
      </c>
      <c r="D16" s="14"/>
      <c r="E16" s="15"/>
      <c r="F16" s="16"/>
      <c r="G16" s="18"/>
    </row>
    <row r="17" spans="1:7" ht="15" customHeight="1">
      <c r="A17" s="32" t="str">
        <f>'Trial Balance'!A213&amp;"-"&amp;'Trial Balance'!B213</f>
        <v>4055-Energy Sales for Resale</v>
      </c>
      <c r="B17" s="23">
        <f>'Trial Balance'!H213</f>
        <v>-6577704.65</v>
      </c>
      <c r="D17" s="14"/>
      <c r="E17" s="17"/>
      <c r="F17" s="16"/>
      <c r="G17" s="18"/>
    </row>
    <row r="18" spans="1:7" ht="15" customHeight="1">
      <c r="A18" s="32" t="str">
        <f>'Trial Balance'!A214&amp;"-"&amp;'Trial Balance'!B214</f>
        <v>4060-Interdepartmental Energy Sales</v>
      </c>
      <c r="B18" s="23">
        <f>'Trial Balance'!H214</f>
        <v>0</v>
      </c>
      <c r="D18" s="14"/>
      <c r="E18" s="15"/>
      <c r="F18" s="16"/>
      <c r="G18" s="18"/>
    </row>
    <row r="19" spans="1:7" ht="15" customHeight="1">
      <c r="A19" s="32" t="str">
        <f>'Trial Balance'!A215&amp;"-"&amp;'Trial Balance'!B215</f>
        <v>4062-WMS</v>
      </c>
      <c r="B19" s="23">
        <f>'Trial Balance'!H215</f>
        <v>-3328633.87</v>
      </c>
      <c r="D19" s="14"/>
      <c r="E19" s="15"/>
      <c r="F19" s="16"/>
      <c r="G19" s="18"/>
    </row>
    <row r="20" spans="1:7" ht="15" customHeight="1">
      <c r="A20" s="32" t="str">
        <f>'Trial Balance'!A216&amp;"-"&amp;'Trial Balance'!B216</f>
        <v>4064-Billed WMS-One Time</v>
      </c>
      <c r="B20" s="23">
        <f>'Trial Balance'!H216</f>
        <v>0</v>
      </c>
      <c r="D20" s="14"/>
      <c r="E20" s="15"/>
      <c r="F20" s="16"/>
      <c r="G20" s="18"/>
    </row>
    <row r="21" spans="1:7" ht="15" customHeight="1">
      <c r="A21" s="32" t="str">
        <f>'Trial Balance'!A217&amp;"-"&amp;'Trial Balance'!B217</f>
        <v>4066-NS</v>
      </c>
      <c r="B21" s="23">
        <f>'Trial Balance'!H217</f>
        <v>-2422649.1</v>
      </c>
      <c r="D21" s="14"/>
      <c r="E21" s="15"/>
      <c r="F21" s="16"/>
      <c r="G21" s="18"/>
    </row>
    <row r="22" spans="1:7" ht="15" customHeight="1">
      <c r="A22" s="32" t="str">
        <f>'Trial Balance'!A218&amp;"-"&amp;'Trial Balance'!B218</f>
        <v>4068-CS</v>
      </c>
      <c r="B22" s="23">
        <f>'Trial Balance'!H218</f>
        <v>-2373685.71</v>
      </c>
      <c r="D22" s="14"/>
      <c r="E22" s="15"/>
      <c r="F22" s="16"/>
      <c r="G22" s="18"/>
    </row>
    <row r="23" spans="1:7" ht="15" customHeight="1" thickBot="1">
      <c r="A23" s="32" t="str">
        <f>'Trial Balance'!A219&amp;"-"&amp;'Trial Balance'!B219</f>
        <v>4075-LV Charges</v>
      </c>
      <c r="B23" s="23">
        <f>'Trial Balance'!H219</f>
        <v>0</v>
      </c>
      <c r="D23" s="14"/>
      <c r="E23" s="15"/>
      <c r="F23" s="16"/>
      <c r="G23" s="18"/>
    </row>
    <row r="24" spans="1:7" ht="15" customHeight="1" thickBot="1">
      <c r="A24" s="38" t="s">
        <v>142</v>
      </c>
      <c r="B24" s="24">
        <f>SUM(B7:B23)</f>
        <v>-41077195.089999996</v>
      </c>
      <c r="D24" s="14"/>
      <c r="E24" s="17"/>
      <c r="F24" s="16"/>
      <c r="G24" s="18"/>
    </row>
    <row r="25" spans="1:7" s="21" customFormat="1" ht="15" customHeight="1">
      <c r="A25" s="423"/>
      <c r="B25" s="424"/>
      <c r="D25" s="22"/>
      <c r="E25" s="15"/>
      <c r="F25" s="18"/>
      <c r="G25" s="18"/>
    </row>
    <row r="26" spans="1:7" s="21" customFormat="1" ht="15" customHeight="1">
      <c r="A26" s="428" t="s">
        <v>143</v>
      </c>
      <c r="B26" s="428"/>
      <c r="D26" s="22"/>
      <c r="E26" s="15"/>
      <c r="F26" s="18"/>
      <c r="G26" s="18"/>
    </row>
    <row r="27" spans="1:7" ht="15" customHeight="1">
      <c r="A27" s="32" t="str">
        <f>'Trial Balance'!A221&amp;"-"&amp;'Trial Balance'!B221</f>
        <v>4080-Distribution Services Revenue</v>
      </c>
      <c r="B27" s="23">
        <f>'Trial Balance'!H221</f>
        <v>-9936308.15</v>
      </c>
      <c r="D27" s="14"/>
      <c r="E27" s="17"/>
      <c r="F27" s="16"/>
      <c r="G27" s="18"/>
    </row>
    <row r="28" spans="1:7" ht="15" customHeight="1">
      <c r="A28" s="32" t="str">
        <f>'Trial Balance'!A222&amp;"-"&amp;'Trial Balance'!B222</f>
        <v>4082-RS Rev</v>
      </c>
      <c r="B28" s="23">
        <f>'Trial Balance'!H222</f>
        <v>0</v>
      </c>
      <c r="D28" s="14"/>
      <c r="E28" s="17"/>
      <c r="F28" s="16"/>
      <c r="G28" s="18"/>
    </row>
    <row r="29" spans="1:7" ht="15" customHeight="1">
      <c r="A29" s="32" t="str">
        <f>'Trial Balance'!A223&amp;"-"&amp;'Trial Balance'!B223</f>
        <v>4084-Serv Tx Requests</v>
      </c>
      <c r="B29" s="23">
        <f>'Trial Balance'!H223</f>
        <v>0</v>
      </c>
      <c r="D29" s="14"/>
      <c r="E29" s="17"/>
      <c r="F29" s="16"/>
      <c r="G29" s="18"/>
    </row>
    <row r="30" spans="1:7" ht="15" customHeight="1" thickBot="1">
      <c r="A30" s="32" t="str">
        <f>'Trial Balance'!A224&amp;"-"&amp;'Trial Balance'!B224</f>
        <v>4090-Electric Services Incidental to Energy Sales</v>
      </c>
      <c r="B30" s="23">
        <f>'Trial Balance'!H224</f>
        <v>0</v>
      </c>
      <c r="D30" s="14"/>
      <c r="E30" s="17"/>
      <c r="F30" s="16"/>
      <c r="G30" s="18"/>
    </row>
    <row r="31" spans="1:7" ht="15" customHeight="1" thickBot="1">
      <c r="A31" s="38" t="s">
        <v>73</v>
      </c>
      <c r="B31" s="24">
        <f>SUM(B27:B30)</f>
        <v>-9936308.15</v>
      </c>
      <c r="D31" s="14"/>
      <c r="E31" s="15"/>
      <c r="F31" s="16"/>
      <c r="G31" s="18"/>
    </row>
    <row r="32" spans="1:7" s="21" customFormat="1" ht="15" customHeight="1">
      <c r="A32" s="423"/>
      <c r="B32" s="424"/>
      <c r="D32" s="22"/>
      <c r="E32" s="15"/>
      <c r="F32" s="18"/>
      <c r="G32" s="18"/>
    </row>
    <row r="33" spans="1:7" s="21" customFormat="1" ht="15" customHeight="1">
      <c r="A33" s="428" t="s">
        <v>74</v>
      </c>
      <c r="B33" s="428"/>
      <c r="D33" s="22"/>
      <c r="E33" s="15"/>
      <c r="F33" s="18"/>
      <c r="G33" s="18"/>
    </row>
    <row r="34" spans="1:7" ht="15" customHeight="1">
      <c r="A34" s="32" t="str">
        <f>'Trial Balance'!A226&amp;"-"&amp;'Trial Balance'!B226</f>
        <v>4205-Interdepartmental Rents</v>
      </c>
      <c r="B34" s="23">
        <f>'Trial Balance'!H226</f>
        <v>0</v>
      </c>
      <c r="D34" s="14"/>
      <c r="E34" s="17"/>
      <c r="F34" s="16"/>
      <c r="G34" s="18"/>
    </row>
    <row r="35" spans="1:2" ht="15" customHeight="1">
      <c r="A35" s="32" t="str">
        <f>'Trial Balance'!A227&amp;"-"&amp;'Trial Balance'!B227</f>
        <v>4210-Rent from Electric Property</v>
      </c>
      <c r="B35" s="23">
        <f>'Trial Balance'!H227</f>
        <v>-181918.36</v>
      </c>
    </row>
    <row r="36" spans="1:2" ht="15" customHeight="1">
      <c r="A36" s="32" t="str">
        <f>'Trial Balance'!A228&amp;"-"&amp;'Trial Balance'!B228</f>
        <v>4215-Other Utility Operating Income</v>
      </c>
      <c r="B36" s="23">
        <f>'Trial Balance'!H228</f>
        <v>0</v>
      </c>
    </row>
    <row r="37" spans="1:2" ht="15" customHeight="1">
      <c r="A37" s="32" t="str">
        <f>'Trial Balance'!A229&amp;"-"&amp;'Trial Balance'!B229</f>
        <v>4220-Other Electric Revenues</v>
      </c>
      <c r="B37" s="23">
        <f>'Trial Balance'!H229</f>
        <v>0</v>
      </c>
    </row>
    <row r="38" spans="1:2" ht="15" customHeight="1">
      <c r="A38" s="32" t="str">
        <f>'Trial Balance'!A230&amp;"-"&amp;'Trial Balance'!B230</f>
        <v>4225-Late Payment Charges</v>
      </c>
      <c r="B38" s="23">
        <f>'Trial Balance'!H230</f>
        <v>-132767.63</v>
      </c>
    </row>
    <row r="39" spans="1:2" ht="15" customHeight="1">
      <c r="A39" s="32" t="str">
        <f>'Trial Balance'!A231&amp;"-"&amp;'Trial Balance'!B231</f>
        <v>4230-Sales of Water and Water Power</v>
      </c>
      <c r="B39" s="23">
        <f>'Trial Balance'!H231</f>
        <v>0</v>
      </c>
    </row>
    <row r="40" spans="1:2" ht="15" customHeight="1">
      <c r="A40" s="32" t="str">
        <f>'Trial Balance'!A232&amp;"-"&amp;'Trial Balance'!B232</f>
        <v>4235-Miscellaneous Service Revenues</v>
      </c>
      <c r="B40" s="23">
        <f>'Trial Balance'!H232</f>
        <v>-297555.17</v>
      </c>
    </row>
    <row r="41" spans="1:2" ht="15" customHeight="1">
      <c r="A41" s="32" t="str">
        <f>'Trial Balance'!A233&amp;"-"&amp;'Trial Balance'!B233</f>
        <v>4240-Provision for Rate Refunds</v>
      </c>
      <c r="B41" s="23">
        <f>'Trial Balance'!H233</f>
        <v>0</v>
      </c>
    </row>
    <row r="42" spans="1:2" ht="15" customHeight="1" thickBot="1">
      <c r="A42" s="32" t="str">
        <f>'Trial Balance'!A234&amp;"-"&amp;'Trial Balance'!B234</f>
        <v>4245-Government Assistance Directly Credited to Income</v>
      </c>
      <c r="B42" s="23">
        <f>'Trial Balance'!H234</f>
        <v>0</v>
      </c>
    </row>
    <row r="43" spans="1:2" ht="15" customHeight="1" thickBot="1">
      <c r="A43" s="38" t="s">
        <v>86</v>
      </c>
      <c r="B43" s="24">
        <f>SUM(B34:B42)</f>
        <v>-612241.1599999999</v>
      </c>
    </row>
    <row r="44" spans="1:2" s="21" customFormat="1" ht="15" customHeight="1">
      <c r="A44" s="423"/>
      <c r="B44" s="424"/>
    </row>
    <row r="45" spans="1:2" s="21" customFormat="1" ht="15" customHeight="1">
      <c r="A45" s="428" t="s">
        <v>87</v>
      </c>
      <c r="B45" s="428"/>
    </row>
    <row r="46" spans="1:2" ht="15" customHeight="1">
      <c r="A46" s="32" t="str">
        <f>'Trial Balance'!A236&amp;"-"&amp;'Trial Balance'!B236</f>
        <v>4305-Regulatory Debits</v>
      </c>
      <c r="B46" s="23">
        <f>'Trial Balance'!H236</f>
        <v>0</v>
      </c>
    </row>
    <row r="47" spans="1:2" ht="15" customHeight="1">
      <c r="A47" s="32" t="str">
        <f>'Trial Balance'!A237&amp;"-"&amp;'Trial Balance'!B237</f>
        <v>4310-Regulatory Credits</v>
      </c>
      <c r="B47" s="23">
        <f>'Trial Balance'!H237</f>
        <v>0</v>
      </c>
    </row>
    <row r="48" spans="1:2" ht="15" customHeight="1">
      <c r="A48" s="32" t="str">
        <f>'Trial Balance'!A238&amp;"-"&amp;'Trial Balance'!B238</f>
        <v>4315-Revenues from Electric Plant Leased to Others</v>
      </c>
      <c r="B48" s="23">
        <f>'Trial Balance'!H238</f>
        <v>0</v>
      </c>
    </row>
    <row r="49" spans="1:2" ht="15" customHeight="1">
      <c r="A49" s="32" t="str">
        <f>'Trial Balance'!A239&amp;"-"&amp;'Trial Balance'!B239</f>
        <v>4320-Expenses of Electric Plant Leased to Others</v>
      </c>
      <c r="B49" s="23">
        <f>'Trial Balance'!H239</f>
        <v>0</v>
      </c>
    </row>
    <row r="50" spans="1:2" ht="15" customHeight="1">
      <c r="A50" s="32" t="str">
        <f>'Trial Balance'!A240&amp;"-"&amp;'Trial Balance'!B240</f>
        <v>4325-Revenues from Merchandise, Jobbing, Etc.</v>
      </c>
      <c r="B50" s="23">
        <f>'Trial Balance'!H240</f>
        <v>-14711.2</v>
      </c>
    </row>
    <row r="51" spans="1:2" ht="15" customHeight="1">
      <c r="A51" s="32" t="str">
        <f>'Trial Balance'!A241&amp;"-"&amp;'Trial Balance'!B241</f>
        <v>4330-Costs and Expenses of Merchandising, Jobbing, Etc</v>
      </c>
      <c r="B51" s="23">
        <f>'Trial Balance'!H241</f>
        <v>5468.65</v>
      </c>
    </row>
    <row r="52" spans="1:2" ht="15" customHeight="1">
      <c r="A52" s="32" t="str">
        <f>'Trial Balance'!A242&amp;"-"&amp;'Trial Balance'!B242</f>
        <v>4335-Profits and Losses from Financial Instrument Hedges</v>
      </c>
      <c r="B52" s="23">
        <f>'Trial Balance'!H242</f>
        <v>0</v>
      </c>
    </row>
    <row r="53" spans="1:2" ht="15" customHeight="1">
      <c r="A53" s="32" t="str">
        <f>'Trial Balance'!A243&amp;"-"&amp;'Trial Balance'!B243</f>
        <v>4340-Profits and Losses from Financial Instrument Investments</v>
      </c>
      <c r="B53" s="23">
        <f>'Trial Balance'!H243</f>
        <v>0</v>
      </c>
    </row>
    <row r="54" spans="1:2" ht="15" customHeight="1">
      <c r="A54" s="32" t="str">
        <f>'Trial Balance'!A244&amp;"-"&amp;'Trial Balance'!B244</f>
        <v>4345-Gains from Disposition of Future Use Utility Plant</v>
      </c>
      <c r="B54" s="23">
        <f>'Trial Balance'!H244</f>
        <v>0</v>
      </c>
    </row>
    <row r="55" spans="1:2" ht="15" customHeight="1">
      <c r="A55" s="32" t="str">
        <f>'Trial Balance'!A245&amp;"-"&amp;'Trial Balance'!B245</f>
        <v>4350-Losses from Disposition of Future Use Utility Plant</v>
      </c>
      <c r="B55" s="23">
        <f>'Trial Balance'!H245</f>
        <v>0</v>
      </c>
    </row>
    <row r="56" spans="1:2" ht="15" customHeight="1">
      <c r="A56" s="32" t="str">
        <f>'Trial Balance'!A246&amp;"-"&amp;'Trial Balance'!B246</f>
        <v>4355-Gain on Disposition of Utility and Other Property</v>
      </c>
      <c r="B56" s="23">
        <f>'Trial Balance'!H246</f>
        <v>-2925.5</v>
      </c>
    </row>
    <row r="57" spans="1:2" ht="15" customHeight="1">
      <c r="A57" s="32" t="str">
        <f>'Trial Balance'!A247&amp;"-"&amp;'Trial Balance'!B247</f>
        <v>4360-Loss on Disposition of Utility and Other Property</v>
      </c>
      <c r="B57" s="23">
        <f>'Trial Balance'!H247</f>
        <v>21628.44</v>
      </c>
    </row>
    <row r="58" spans="1:2" ht="15" customHeight="1">
      <c r="A58" s="32" t="str">
        <f>'Trial Balance'!A248&amp;"-"&amp;'Trial Balance'!B248</f>
        <v>4365-Gains from Disposition of Allowances for Emission</v>
      </c>
      <c r="B58" s="23">
        <f>'Trial Balance'!H248</f>
        <v>0</v>
      </c>
    </row>
    <row r="59" spans="1:2" ht="15" customHeight="1">
      <c r="A59" s="32" t="str">
        <f>'Trial Balance'!A249&amp;"-"&amp;'Trial Balance'!B249</f>
        <v>4370-Losses from Disposition of Allowances for Emission</v>
      </c>
      <c r="B59" s="23">
        <f>'Trial Balance'!H249</f>
        <v>0</v>
      </c>
    </row>
    <row r="60" spans="1:2" ht="15" customHeight="1">
      <c r="A60" s="32" t="str">
        <f>'Trial Balance'!A250&amp;"-"&amp;'Trial Balance'!B250</f>
        <v>4375-Revenues from Non-Utility Operations</v>
      </c>
      <c r="B60" s="23">
        <f>'Trial Balance'!H250</f>
        <v>-249961</v>
      </c>
    </row>
    <row r="61" spans="1:2" ht="15" customHeight="1">
      <c r="A61" s="32" t="str">
        <f>'Trial Balance'!A251&amp;"-"&amp;'Trial Balance'!B251</f>
        <v>4380-Expenses of Non-Utility Operations</v>
      </c>
      <c r="B61" s="23">
        <f>'Trial Balance'!H251</f>
        <v>185388.67</v>
      </c>
    </row>
    <row r="62" spans="1:2" ht="15" customHeight="1">
      <c r="A62" s="32" t="str">
        <f>'Trial Balance'!A252&amp;"-"&amp;'Trial Balance'!B252</f>
        <v>4385-Non-Utility Rental Income</v>
      </c>
      <c r="B62" s="23">
        <f>'Trial Balance'!H252</f>
        <v>122.47</v>
      </c>
    </row>
    <row r="63" spans="1:2" ht="15" customHeight="1">
      <c r="A63" s="32" t="str">
        <f>'Trial Balance'!A253&amp;"-"&amp;'Trial Balance'!B253</f>
        <v>4390-Miscellaneous Non-Operating Income</v>
      </c>
      <c r="B63" s="23">
        <f>'Trial Balance'!H253</f>
        <v>-12959.9</v>
      </c>
    </row>
    <row r="64" spans="1:2" ht="15" customHeight="1">
      <c r="A64" s="32" t="str">
        <f>'Trial Balance'!A254&amp;"-"&amp;'Trial Balance'!B254</f>
        <v>4395-Rate-Payer Benefit Including Interest</v>
      </c>
      <c r="B64" s="23">
        <f>'Trial Balance'!H254</f>
        <v>0</v>
      </c>
    </row>
    <row r="65" spans="1:2" ht="15" customHeight="1" thickBot="1">
      <c r="A65" s="32" t="str">
        <f>'Trial Balance'!A255&amp;"-"&amp;'Trial Balance'!B255</f>
        <v>4398-Foreign Exchange Gains and Losses, Including Amortization</v>
      </c>
      <c r="B65" s="23">
        <f>'Trial Balance'!H255</f>
        <v>0</v>
      </c>
    </row>
    <row r="66" spans="1:2" ht="15" customHeight="1" thickBot="1">
      <c r="A66" s="38" t="s">
        <v>82</v>
      </c>
      <c r="B66" s="24">
        <f>SUM(B46:B65)</f>
        <v>-67949.37</v>
      </c>
    </row>
    <row r="67" spans="1:2" s="21" customFormat="1" ht="15" customHeight="1">
      <c r="A67" s="423"/>
      <c r="B67" s="424"/>
    </row>
    <row r="68" spans="1:2" s="21" customFormat="1" ht="15" customHeight="1">
      <c r="A68" s="428" t="s">
        <v>83</v>
      </c>
      <c r="B68" s="428"/>
    </row>
    <row r="69" spans="1:2" s="21" customFormat="1" ht="15" customHeight="1">
      <c r="A69" s="32" t="str">
        <f>'Trial Balance'!A257&amp;"-"&amp;'Trial Balance'!B257</f>
        <v>4405-Interest and Dividend Income</v>
      </c>
      <c r="B69" s="23">
        <f>'Trial Balance'!H257</f>
        <v>-727239.39</v>
      </c>
    </row>
    <row r="70" spans="1:2" ht="15" customHeight="1" thickBot="1">
      <c r="A70" s="32" t="str">
        <f>'Trial Balance'!A258&amp;"-"&amp;'Trial Balance'!B258</f>
        <v>4415-Equity in Earnings of Subsidiary Companies</v>
      </c>
      <c r="B70" s="23">
        <f>'Trial Balance'!H258</f>
        <v>0</v>
      </c>
    </row>
    <row r="71" spans="1:2" ht="15" customHeight="1" thickBot="1">
      <c r="A71" s="38" t="s">
        <v>84</v>
      </c>
      <c r="B71" s="24">
        <f>SUM(B69:B70)</f>
        <v>-727239.39</v>
      </c>
    </row>
    <row r="72" spans="1:2" s="21" customFormat="1" ht="15" customHeight="1">
      <c r="A72" s="423"/>
      <c r="B72" s="424"/>
    </row>
    <row r="73" spans="1:2" s="21" customFormat="1" ht="15" customHeight="1">
      <c r="A73" s="428" t="s">
        <v>85</v>
      </c>
      <c r="B73" s="428"/>
    </row>
    <row r="74" spans="1:2" ht="15" customHeight="1">
      <c r="A74" s="32" t="str">
        <f>'Trial Balance'!A260&amp;"-"&amp;'Trial Balance'!B260</f>
        <v>4705-Power Purchased</v>
      </c>
      <c r="B74" s="23">
        <f>'Trial Balance'!H260</f>
        <v>32952226.41</v>
      </c>
    </row>
    <row r="75" spans="1:2" ht="15" customHeight="1">
      <c r="A75" s="32" t="str">
        <f>'Trial Balance'!A261&amp;"-"&amp;'Trial Balance'!B261</f>
        <v>4708-WMS</v>
      </c>
      <c r="B75" s="23">
        <f>'Trial Balance'!H261</f>
        <v>2733729.86</v>
      </c>
    </row>
    <row r="76" spans="1:2" ht="15" customHeight="1">
      <c r="A76" s="32" t="str">
        <f>'Trial Balance'!A262&amp;"-"&amp;'Trial Balance'!B262</f>
        <v>4710-Cost of Power Adjustments</v>
      </c>
      <c r="B76" s="23">
        <f>'Trial Balance'!H262</f>
        <v>0</v>
      </c>
    </row>
    <row r="77" spans="1:2" ht="15" customHeight="1">
      <c r="A77" s="32" t="str">
        <f>'Trial Balance'!A263&amp;"-"&amp;'Trial Balance'!B263</f>
        <v>4712-0</v>
      </c>
      <c r="B77" s="23">
        <f>'Trial Balance'!H263</f>
        <v>0</v>
      </c>
    </row>
    <row r="78" spans="1:2" ht="15" customHeight="1">
      <c r="A78" s="32" t="str">
        <f>'Trial Balance'!A264&amp;"-"&amp;'Trial Balance'!B264</f>
        <v>4714-NW</v>
      </c>
      <c r="B78" s="23">
        <f>'Trial Balance'!H264</f>
        <v>2422649.1</v>
      </c>
    </row>
    <row r="79" spans="1:2" ht="15" customHeight="1">
      <c r="A79" s="32" t="str">
        <f>'Trial Balance'!A265&amp;"-"&amp;'Trial Balance'!B265</f>
        <v>4715-System Control and Load Dispatching</v>
      </c>
      <c r="B79" s="23">
        <f>'Trial Balance'!H265</f>
        <v>0</v>
      </c>
    </row>
    <row r="80" spans="1:2" ht="15" customHeight="1">
      <c r="A80" s="32" t="str">
        <f>'Trial Balance'!A266&amp;"-"&amp;'Trial Balance'!B266</f>
        <v>4716-NCN</v>
      </c>
      <c r="B80" s="23">
        <f>'Trial Balance'!H266</f>
        <v>2373685.71</v>
      </c>
    </row>
    <row r="81" spans="1:2" ht="15" customHeight="1">
      <c r="A81" s="32" t="str">
        <f>'Trial Balance'!A267&amp;"-"&amp;'Trial Balance'!B267</f>
        <v>4720-Other Expenses</v>
      </c>
      <c r="B81" s="23">
        <f>'Trial Balance'!H267</f>
        <v>0</v>
      </c>
    </row>
    <row r="82" spans="1:2" ht="15" customHeight="1">
      <c r="A82" s="32" t="str">
        <f>'Trial Balance'!A268&amp;"-"&amp;'Trial Balance'!B268</f>
        <v>4725-Competition Transition Expense</v>
      </c>
      <c r="B82" s="23">
        <f>'Trial Balance'!H268</f>
        <v>0</v>
      </c>
    </row>
    <row r="83" spans="1:2" ht="15" customHeight="1">
      <c r="A83" s="32" t="str">
        <f>'Trial Balance'!A269&amp;"-"&amp;'Trial Balance'!B269</f>
        <v>4730-Rural Rate Assistance Expense</v>
      </c>
      <c r="B83" s="23">
        <f>'Trial Balance'!H269</f>
        <v>594904.01</v>
      </c>
    </row>
    <row r="84" spans="1:2" ht="15" customHeight="1" thickBot="1">
      <c r="A84" s="32" t="str">
        <f>'Trial Balance'!A270&amp;"-"&amp;'Trial Balance'!B270</f>
        <v>4750-LV Charges</v>
      </c>
      <c r="B84" s="23">
        <f>'Trial Balance'!H270</f>
        <v>0</v>
      </c>
    </row>
    <row r="85" spans="1:2" ht="15" customHeight="1" thickBot="1">
      <c r="A85" s="38" t="s">
        <v>554</v>
      </c>
      <c r="B85" s="24">
        <f>SUM(B74:B84)</f>
        <v>41077195.09</v>
      </c>
    </row>
    <row r="86" spans="1:2" s="21" customFormat="1" ht="15" customHeight="1">
      <c r="A86" s="423"/>
      <c r="B86" s="424"/>
    </row>
    <row r="87" spans="1:2" s="21" customFormat="1" ht="15" customHeight="1">
      <c r="A87" s="428" t="s">
        <v>555</v>
      </c>
      <c r="B87" s="428"/>
    </row>
    <row r="88" spans="1:2" ht="15" customHeight="1">
      <c r="A88" s="32" t="str">
        <f>'Trial Balance'!A272&amp;"-"&amp;'Trial Balance'!B272</f>
        <v>5005-Operation Supervision and Engineering</v>
      </c>
      <c r="B88" s="23">
        <f>'Trial Balance'!H272</f>
        <v>253126.3</v>
      </c>
    </row>
    <row r="89" spans="1:2" ht="15" customHeight="1">
      <c r="A89" s="32" t="str">
        <f>'Trial Balance'!A273&amp;"-"&amp;'Trial Balance'!B273</f>
        <v>5010-Load Dispatching</v>
      </c>
      <c r="B89" s="23">
        <f>'Trial Balance'!H273</f>
        <v>71260.72</v>
      </c>
    </row>
    <row r="90" spans="1:2" ht="15" customHeight="1">
      <c r="A90" s="32" t="str">
        <f>'Trial Balance'!A274&amp;"-"&amp;'Trial Balance'!B274</f>
        <v>5012-Station Buildings and Fixtures Expense</v>
      </c>
      <c r="B90" s="23">
        <f>'Trial Balance'!H274</f>
        <v>33208.89</v>
      </c>
    </row>
    <row r="91" spans="1:2" ht="15" customHeight="1">
      <c r="A91" s="32" t="str">
        <f>'Trial Balance'!A275&amp;"-"&amp;'Trial Balance'!B275</f>
        <v>5014-Transformer Station Equipment - Operation Labour</v>
      </c>
      <c r="B91" s="23">
        <f>'Trial Balance'!H275</f>
        <v>0</v>
      </c>
    </row>
    <row r="92" spans="1:2" ht="15" customHeight="1">
      <c r="A92" s="32" t="str">
        <f>'Trial Balance'!A276&amp;"-"&amp;'Trial Balance'!B276</f>
        <v>5015-Transformer Station Equipment - Operation Supplies and Expenses</v>
      </c>
      <c r="B92" s="23">
        <f>'Trial Balance'!H276</f>
        <v>0</v>
      </c>
    </row>
    <row r="93" spans="1:2" ht="15" customHeight="1">
      <c r="A93" s="32" t="str">
        <f>'Trial Balance'!A277&amp;"-"&amp;'Trial Balance'!B277</f>
        <v>5016-Distribution Station Equipment - Operation Labour</v>
      </c>
      <c r="B93" s="23">
        <f>'Trial Balance'!H277</f>
        <v>0</v>
      </c>
    </row>
    <row r="94" spans="1:2" ht="15" customHeight="1">
      <c r="A94" s="32" t="str">
        <f>'Trial Balance'!A278&amp;"-"&amp;'Trial Balance'!B278</f>
        <v>5017-Distribution Station Equipment - Operation Supplies and Expenses</v>
      </c>
      <c r="B94" s="23">
        <f>'Trial Balance'!H278</f>
        <v>0</v>
      </c>
    </row>
    <row r="95" spans="1:2" ht="15" customHeight="1">
      <c r="A95" s="32" t="str">
        <f>'Trial Balance'!A279&amp;"-"&amp;'Trial Balance'!B279</f>
        <v>5020-Overhead Distribution Lines and Feeders - Operation Labour</v>
      </c>
      <c r="B95" s="23">
        <f>'Trial Balance'!H279</f>
        <v>286.91</v>
      </c>
    </row>
    <row r="96" spans="1:2" ht="15" customHeight="1">
      <c r="A96" s="32" t="str">
        <f>'Trial Balance'!A280&amp;"-"&amp;'Trial Balance'!B280</f>
        <v>5025-Overhead Distribution Lines and Feeders - Operation Supplies and Expenses</v>
      </c>
      <c r="B96" s="23">
        <f>'Trial Balance'!H280</f>
        <v>231.88</v>
      </c>
    </row>
    <row r="97" spans="1:2" ht="15" customHeight="1">
      <c r="A97" s="32" t="str">
        <f>'Trial Balance'!A281&amp;"-"&amp;'Trial Balance'!B281</f>
        <v>5030-Overhead Subtransmission Feeders - Operation</v>
      </c>
      <c r="B97" s="23">
        <f>'Trial Balance'!H281</f>
        <v>721.86</v>
      </c>
    </row>
    <row r="98" spans="1:2" ht="15" customHeight="1">
      <c r="A98" s="32" t="str">
        <f>'Trial Balance'!A282&amp;"-"&amp;'Trial Balance'!B282</f>
        <v>5035-Overhead Distribution Transformers - Operation</v>
      </c>
      <c r="B98" s="23">
        <f>'Trial Balance'!H282</f>
        <v>12.96</v>
      </c>
    </row>
    <row r="99" spans="1:2" ht="15" customHeight="1">
      <c r="A99" s="32" t="str">
        <f>'Trial Balance'!A283&amp;"-"&amp;'Trial Balance'!B283</f>
        <v>5040-Underground Distribution Lines and Feeders - Operation Labour</v>
      </c>
      <c r="B99" s="23">
        <f>'Trial Balance'!H283</f>
        <v>47400.29</v>
      </c>
    </row>
    <row r="100" spans="1:2" ht="15" customHeight="1">
      <c r="A100" s="32" t="str">
        <f>'Trial Balance'!A284&amp;"-"&amp;'Trial Balance'!B284</f>
        <v>5045-Underground Distribution Lines and Feeders - Operation Supplies and Expenses</v>
      </c>
      <c r="B100" s="23">
        <f>'Trial Balance'!H284</f>
        <v>12817.34</v>
      </c>
    </row>
    <row r="101" spans="1:2" ht="15" customHeight="1">
      <c r="A101" s="32" t="str">
        <f>'Trial Balance'!A285&amp;"-"&amp;'Trial Balance'!B285</f>
        <v>5050-Underground Subtransmission Feeders - Operation</v>
      </c>
      <c r="B101" s="23">
        <f>'Trial Balance'!H285</f>
        <v>0</v>
      </c>
    </row>
    <row r="102" spans="1:2" ht="15" customHeight="1">
      <c r="A102" s="32" t="str">
        <f>'Trial Balance'!A286&amp;"-"&amp;'Trial Balance'!B286</f>
        <v>5055-Underground Distribution Transformers - Operation</v>
      </c>
      <c r="B102" s="23">
        <f>'Trial Balance'!H286</f>
        <v>0</v>
      </c>
    </row>
    <row r="103" spans="1:2" ht="15" customHeight="1">
      <c r="A103" s="32" t="str">
        <f>'Trial Balance'!A287&amp;"-"&amp;'Trial Balance'!B287</f>
        <v>5060-Street Lighting and Signal System Expense</v>
      </c>
      <c r="B103" s="23">
        <f>'Trial Balance'!H287</f>
        <v>0</v>
      </c>
    </row>
    <row r="104" spans="1:2" ht="15" customHeight="1">
      <c r="A104" s="32" t="str">
        <f>'Trial Balance'!A288&amp;"-"&amp;'Trial Balance'!B288</f>
        <v>5065-Meter Expense</v>
      </c>
      <c r="B104" s="23">
        <f>'Trial Balance'!H288</f>
        <v>150711.54</v>
      </c>
    </row>
    <row r="105" spans="1:2" ht="15" customHeight="1">
      <c r="A105" s="32" t="str">
        <f>'Trial Balance'!A289&amp;"-"&amp;'Trial Balance'!B289</f>
        <v>5070-Customer Premises - Operation Labour</v>
      </c>
      <c r="B105" s="23">
        <f>'Trial Balance'!H289</f>
        <v>0</v>
      </c>
    </row>
    <row r="106" spans="1:2" ht="15" customHeight="1">
      <c r="A106" s="32" t="str">
        <f>'Trial Balance'!A290&amp;"-"&amp;'Trial Balance'!B290</f>
        <v>5075-Customer Premises - Materials and Expenses</v>
      </c>
      <c r="B106" s="23">
        <f>'Trial Balance'!H290</f>
        <v>0</v>
      </c>
    </row>
    <row r="107" spans="1:2" ht="15" customHeight="1">
      <c r="A107" s="32" t="str">
        <f>'Trial Balance'!A291&amp;"-"&amp;'Trial Balance'!B291</f>
        <v>5085-Miscellaneous Distribution Expense</v>
      </c>
      <c r="B107" s="23">
        <f>'Trial Balance'!H291</f>
        <v>163131.93</v>
      </c>
    </row>
    <row r="108" spans="1:2" ht="15" customHeight="1">
      <c r="A108" s="32" t="str">
        <f>'Trial Balance'!A292&amp;"-"&amp;'Trial Balance'!B292</f>
        <v>5090-Underground Distribution Lines and Feeders - Rental Paid</v>
      </c>
      <c r="B108" s="23">
        <f>'Trial Balance'!H292</f>
        <v>0</v>
      </c>
    </row>
    <row r="109" spans="1:2" ht="15" customHeight="1">
      <c r="A109" s="32" t="str">
        <f>'Trial Balance'!A293&amp;"-"&amp;'Trial Balance'!B293</f>
        <v>5095-Overhead Distribution Lines and Feeders - Rental Paid</v>
      </c>
      <c r="B109" s="23">
        <f>'Trial Balance'!H293</f>
        <v>50857.26</v>
      </c>
    </row>
    <row r="110" spans="1:2" ht="15" customHeight="1" thickBot="1">
      <c r="A110" s="32" t="str">
        <f>'Trial Balance'!A294&amp;"-"&amp;'Trial Balance'!B294</f>
        <v>5096-Other Rent</v>
      </c>
      <c r="B110" s="23">
        <f>'Trial Balance'!H294</f>
        <v>0</v>
      </c>
    </row>
    <row r="111" spans="1:2" ht="15" customHeight="1" thickBot="1">
      <c r="A111" s="38" t="s">
        <v>558</v>
      </c>
      <c r="B111" s="24">
        <f>SUM(B88:B110)</f>
        <v>783767.8800000001</v>
      </c>
    </row>
    <row r="112" spans="1:2" s="21" customFormat="1" ht="15" customHeight="1">
      <c r="A112" s="423"/>
      <c r="B112" s="424"/>
    </row>
    <row r="113" spans="1:2" s="21" customFormat="1" ht="15" customHeight="1">
      <c r="A113" s="428" t="s">
        <v>559</v>
      </c>
      <c r="B113" s="428"/>
    </row>
    <row r="114" spans="1:2" ht="15" customHeight="1">
      <c r="A114" s="32" t="str">
        <f>'Trial Balance'!A296&amp;"-"&amp;'Trial Balance'!B296</f>
        <v>5105-Maintenance Supervision and Engineering</v>
      </c>
      <c r="B114" s="23">
        <f>'Trial Balance'!H296</f>
        <v>0</v>
      </c>
    </row>
    <row r="115" spans="1:2" ht="15" customHeight="1">
      <c r="A115" s="32" t="str">
        <f>'Trial Balance'!A297&amp;"-"&amp;'Trial Balance'!B297</f>
        <v>5110-Maintenance of Structures</v>
      </c>
      <c r="B115" s="23">
        <f>'Trial Balance'!H297</f>
        <v>23077.72</v>
      </c>
    </row>
    <row r="116" spans="1:2" ht="15" customHeight="1">
      <c r="A116" s="32" t="str">
        <f>'Trial Balance'!A298&amp;"-"&amp;'Trial Balance'!B298</f>
        <v>5112-Maintenance of Transformer Station Equipment</v>
      </c>
      <c r="B116" s="23">
        <f>'Trial Balance'!H298</f>
        <v>0</v>
      </c>
    </row>
    <row r="117" spans="1:2" ht="15" customHeight="1">
      <c r="A117" s="32" t="str">
        <f>'Trial Balance'!A299&amp;"-"&amp;'Trial Balance'!B299</f>
        <v>5114-Maintenance of Distribution Station Equipment</v>
      </c>
      <c r="B117" s="23">
        <f>'Trial Balance'!H299</f>
        <v>79507.44</v>
      </c>
    </row>
    <row r="118" spans="1:2" ht="15" customHeight="1">
      <c r="A118" s="32" t="str">
        <f>'Trial Balance'!A300&amp;"-"&amp;'Trial Balance'!B300</f>
        <v>5120-Maintenance of Poles, Towers and Fixtures</v>
      </c>
      <c r="B118" s="23">
        <f>'Trial Balance'!H300</f>
        <v>83890.24</v>
      </c>
    </row>
    <row r="119" spans="1:2" ht="15" customHeight="1">
      <c r="A119" s="32" t="str">
        <f>'Trial Balance'!A301&amp;"-"&amp;'Trial Balance'!B301</f>
        <v>5125-Maintenance of Overhead Conductors and Devices</v>
      </c>
      <c r="B119" s="23">
        <f>'Trial Balance'!H301</f>
        <v>215563.63</v>
      </c>
    </row>
    <row r="120" spans="1:2" ht="15" customHeight="1">
      <c r="A120" s="32" t="str">
        <f>'Trial Balance'!A302&amp;"-"&amp;'Trial Balance'!B302</f>
        <v>5130-Maintenance of Overhead Services</v>
      </c>
      <c r="B120" s="23">
        <f>'Trial Balance'!H302</f>
        <v>102899.11</v>
      </c>
    </row>
    <row r="121" spans="1:2" ht="15" customHeight="1">
      <c r="A121" s="32" t="str">
        <f>'Trial Balance'!A303&amp;"-"&amp;'Trial Balance'!B303</f>
        <v>5135-Overhead Distribution Lines and Feeders - Right of Way</v>
      </c>
      <c r="B121" s="23">
        <f>'Trial Balance'!H303</f>
        <v>272973.17</v>
      </c>
    </row>
    <row r="122" spans="1:2" ht="15" customHeight="1">
      <c r="A122" s="32" t="str">
        <f>'Trial Balance'!A304&amp;"-"&amp;'Trial Balance'!B304</f>
        <v>5145-Maintenance of Underground Conduit</v>
      </c>
      <c r="B122" s="23">
        <f>'Trial Balance'!H304</f>
        <v>166.59</v>
      </c>
    </row>
    <row r="123" spans="1:2" ht="15" customHeight="1">
      <c r="A123" s="32" t="str">
        <f>'Trial Balance'!A305&amp;"-"&amp;'Trial Balance'!B305</f>
        <v>5150-Maintenance of Underground Conductors and Devices</v>
      </c>
      <c r="B123" s="23">
        <f>'Trial Balance'!H305</f>
        <v>36788.82</v>
      </c>
    </row>
    <row r="124" spans="1:2" ht="15" customHeight="1">
      <c r="A124" s="32" t="str">
        <f>'Trial Balance'!A306&amp;"-"&amp;'Trial Balance'!B306</f>
        <v>5155-Maintenance of Underground Services</v>
      </c>
      <c r="B124" s="23">
        <f>'Trial Balance'!H306</f>
        <v>44959.87</v>
      </c>
    </row>
    <row r="125" spans="1:2" ht="15" customHeight="1">
      <c r="A125" s="32" t="str">
        <f>'Trial Balance'!A307&amp;"-"&amp;'Trial Balance'!B307</f>
        <v>5160-Maintenance of Line Transformers</v>
      </c>
      <c r="B125" s="23">
        <f>'Trial Balance'!H307</f>
        <v>99435.35</v>
      </c>
    </row>
    <row r="126" spans="1:2" ht="15" customHeight="1">
      <c r="A126" s="32" t="str">
        <f>'Trial Balance'!A308&amp;"-"&amp;'Trial Balance'!B308</f>
        <v>5165-Maintenance of Street Lighting and Signal Systems</v>
      </c>
      <c r="B126" s="23">
        <f>'Trial Balance'!H308</f>
        <v>0</v>
      </c>
    </row>
    <row r="127" spans="1:2" ht="15" customHeight="1">
      <c r="A127" s="32" t="str">
        <f>'Trial Balance'!A309&amp;"-"&amp;'Trial Balance'!B309</f>
        <v>5170-Sentinel Lights - Labour</v>
      </c>
      <c r="B127" s="23">
        <f>'Trial Balance'!H309</f>
        <v>0</v>
      </c>
    </row>
    <row r="128" spans="1:2" ht="15" customHeight="1">
      <c r="A128" s="32" t="str">
        <f>'Trial Balance'!A310&amp;"-"&amp;'Trial Balance'!B310</f>
        <v>5172-Sentinel Lights - Materials and Expenses</v>
      </c>
      <c r="B128" s="23">
        <f>'Trial Balance'!H310</f>
        <v>0</v>
      </c>
    </row>
    <row r="129" spans="1:2" ht="15" customHeight="1">
      <c r="A129" s="32" t="str">
        <f>'Trial Balance'!A311&amp;"-"&amp;'Trial Balance'!B311</f>
        <v>5175-Maintenance of Meters</v>
      </c>
      <c r="B129" s="23">
        <f>'Trial Balance'!H311</f>
        <v>9514.45</v>
      </c>
    </row>
    <row r="130" spans="1:2" ht="15" customHeight="1">
      <c r="A130" s="32" t="str">
        <f>'Trial Balance'!A312&amp;"-"&amp;'Trial Balance'!B312</f>
        <v>5178-Customer Installations Expenses - Leased Property</v>
      </c>
      <c r="B130" s="23">
        <f>'Trial Balance'!H312</f>
        <v>0</v>
      </c>
    </row>
    <row r="131" spans="1:2" ht="15" customHeight="1" thickBot="1">
      <c r="A131" s="32" t="str">
        <f>'Trial Balance'!A313&amp;"-"&amp;'Trial Balance'!B313</f>
        <v>5195-Maintenance of Other Installations on Customer Premises</v>
      </c>
      <c r="B131" s="23">
        <f>'Trial Balance'!H313</f>
        <v>0</v>
      </c>
    </row>
    <row r="132" spans="1:2" ht="15" customHeight="1" thickBot="1">
      <c r="A132" s="38" t="s">
        <v>88</v>
      </c>
      <c r="B132" s="24">
        <f>SUM(B114:B131)</f>
        <v>968776.3899999999</v>
      </c>
    </row>
    <row r="133" spans="1:2" s="21" customFormat="1" ht="15" customHeight="1">
      <c r="A133" s="423"/>
      <c r="B133" s="424"/>
    </row>
    <row r="134" spans="1:2" s="21" customFormat="1" ht="15" customHeight="1">
      <c r="A134" s="425" t="s">
        <v>89</v>
      </c>
      <c r="B134" s="426"/>
    </row>
    <row r="135" spans="1:2" ht="15" customHeight="1">
      <c r="A135" s="32" t="str">
        <f>'Trial Balance'!A319&amp;"-"&amp;'Trial Balance'!B319</f>
        <v>5305-Supervision</v>
      </c>
      <c r="B135" s="23">
        <f>'Trial Balance'!H319</f>
        <v>0</v>
      </c>
    </row>
    <row r="136" spans="1:2" ht="15" customHeight="1">
      <c r="A136" s="32" t="str">
        <f>'Trial Balance'!A320&amp;"-"&amp;'Trial Balance'!B320</f>
        <v>5310-Meter Reading Expense</v>
      </c>
      <c r="B136" s="23">
        <f>'Trial Balance'!H320</f>
        <v>261980.11</v>
      </c>
    </row>
    <row r="137" spans="1:2" ht="15" customHeight="1">
      <c r="A137" s="32" t="str">
        <f>'Trial Balance'!A321&amp;"-"&amp;'Trial Balance'!B321</f>
        <v>5315-Customer Billing</v>
      </c>
      <c r="B137" s="23">
        <f>'Trial Balance'!H321</f>
        <v>471589.75</v>
      </c>
    </row>
    <row r="138" spans="1:2" ht="15" customHeight="1">
      <c r="A138" s="32" t="str">
        <f>'Trial Balance'!A322&amp;"-"&amp;'Trial Balance'!B322</f>
        <v>5320-Collecting</v>
      </c>
      <c r="B138" s="23">
        <f>'Trial Balance'!H322</f>
        <v>208161.49</v>
      </c>
    </row>
    <row r="139" spans="1:2" ht="15" customHeight="1">
      <c r="A139" s="32" t="str">
        <f>'Trial Balance'!A323&amp;"-"&amp;'Trial Balance'!B323</f>
        <v>5325-Collecting - Cash Over and Short</v>
      </c>
      <c r="B139" s="23">
        <f>'Trial Balance'!H323</f>
        <v>-20.97</v>
      </c>
    </row>
    <row r="140" spans="1:2" ht="15" customHeight="1">
      <c r="A140" s="32" t="str">
        <f>'Trial Balance'!A324&amp;"-"&amp;'Trial Balance'!B324</f>
        <v>5330-Collection Charges</v>
      </c>
      <c r="B140" s="23">
        <f>'Trial Balance'!H324</f>
        <v>0</v>
      </c>
    </row>
    <row r="141" spans="1:2" ht="15" customHeight="1">
      <c r="A141" s="32" t="str">
        <f>'Trial Balance'!A325&amp;"-"&amp;'Trial Balance'!B325</f>
        <v>5335-Bad Debt Expense</v>
      </c>
      <c r="B141" s="23">
        <f>'Trial Balance'!H325</f>
        <v>272165.1</v>
      </c>
    </row>
    <row r="142" spans="1:2" ht="15" customHeight="1" thickBot="1">
      <c r="A142" s="32" t="str">
        <f>'Trial Balance'!A326&amp;"-"&amp;'Trial Balance'!B326</f>
        <v>5340-Miscellaneous Customer Accounts Expenses</v>
      </c>
      <c r="B142" s="23">
        <f>'Trial Balance'!H326</f>
        <v>20</v>
      </c>
    </row>
    <row r="143" spans="1:2" ht="15" customHeight="1" thickBot="1">
      <c r="A143" s="38" t="s">
        <v>98</v>
      </c>
      <c r="B143" s="24">
        <f>SUM(B135:B142)</f>
        <v>1213895.48</v>
      </c>
    </row>
    <row r="144" spans="1:2" s="21" customFormat="1" ht="15" customHeight="1">
      <c r="A144" s="423"/>
      <c r="B144" s="424"/>
    </row>
    <row r="145" spans="1:2" s="21" customFormat="1" ht="15" customHeight="1">
      <c r="A145" s="425" t="s">
        <v>99</v>
      </c>
      <c r="B145" s="426"/>
    </row>
    <row r="146" spans="1:2" ht="15" customHeight="1">
      <c r="A146" s="32" t="str">
        <f>'Trial Balance'!A328&amp;"-"&amp;'Trial Balance'!B328</f>
        <v>5405-Supervision</v>
      </c>
      <c r="B146" s="23">
        <f>'Trial Balance'!H328</f>
        <v>0</v>
      </c>
    </row>
    <row r="147" spans="1:2" ht="15" customHeight="1">
      <c r="A147" s="32" t="str">
        <f>'Trial Balance'!A329&amp;"-"&amp;'Trial Balance'!B329</f>
        <v>5410-Community Relations - Sundry</v>
      </c>
      <c r="B147" s="23">
        <f>'Trial Balance'!H329</f>
        <v>0</v>
      </c>
    </row>
    <row r="148" spans="1:2" ht="15" customHeight="1">
      <c r="A148" s="32" t="str">
        <f>'Trial Balance'!A330&amp;"-"&amp;'Trial Balance'!B330</f>
        <v>5415-Energy Conservation</v>
      </c>
      <c r="B148" s="23">
        <f>'Trial Balance'!H330</f>
        <v>463481.92</v>
      </c>
    </row>
    <row r="149" spans="1:2" ht="15" customHeight="1">
      <c r="A149" s="32" t="str">
        <f>'Trial Balance'!A331&amp;"-"&amp;'Trial Balance'!B331</f>
        <v>5420-Community Safety Program</v>
      </c>
      <c r="B149" s="23">
        <f>'Trial Balance'!H331</f>
        <v>0</v>
      </c>
    </row>
    <row r="150" spans="1:2" ht="15" customHeight="1" thickBot="1">
      <c r="A150" s="32" t="str">
        <f>'Trial Balance'!A332&amp;"-"&amp;'Trial Balance'!B332</f>
        <v>5425-Miscellaneous Customer Service and Informational Expenses</v>
      </c>
      <c r="B150" s="23">
        <f>'Trial Balance'!H332</f>
        <v>12772.18</v>
      </c>
    </row>
    <row r="151" spans="1:2" ht="15" customHeight="1" thickBot="1">
      <c r="A151" s="38" t="s">
        <v>100</v>
      </c>
      <c r="B151" s="24">
        <f>SUM(B146:B150)</f>
        <v>476254.1</v>
      </c>
    </row>
    <row r="152" spans="1:2" s="21" customFormat="1" ht="15" customHeight="1">
      <c r="A152" s="423"/>
      <c r="B152" s="424"/>
    </row>
    <row r="153" spans="1:2" s="21" customFormat="1" ht="15" customHeight="1">
      <c r="A153" s="425" t="s">
        <v>101</v>
      </c>
      <c r="B153" s="426"/>
    </row>
    <row r="154" spans="1:2" ht="15" customHeight="1">
      <c r="A154" s="32" t="str">
        <f>'Trial Balance'!A339&amp;"-"&amp;'Trial Balance'!B339</f>
        <v>5605-Executive Salaries and Expenses</v>
      </c>
      <c r="B154" s="23">
        <f>'Trial Balance'!H339</f>
        <v>0</v>
      </c>
    </row>
    <row r="155" spans="1:2" ht="15" customHeight="1">
      <c r="A155" s="32" t="str">
        <f>'Trial Balance'!A340&amp;"-"&amp;'Trial Balance'!B340</f>
        <v>5610-Management Salaries and Expenses</v>
      </c>
      <c r="B155" s="23">
        <f>'Trial Balance'!H340</f>
        <v>521747.81</v>
      </c>
    </row>
    <row r="156" spans="1:2" ht="15" customHeight="1">
      <c r="A156" s="32" t="str">
        <f>'Trial Balance'!A341&amp;"-"&amp;'Trial Balance'!B341</f>
        <v>5615-General Administrative Salaries and Expenses</v>
      </c>
      <c r="B156" s="23">
        <f>'Trial Balance'!H341</f>
        <v>401610.21</v>
      </c>
    </row>
    <row r="157" spans="1:2" ht="15" customHeight="1">
      <c r="A157" s="32" t="str">
        <f>'Trial Balance'!A342&amp;"-"&amp;'Trial Balance'!B342</f>
        <v>5620-Office Supplies and Expenses</v>
      </c>
      <c r="B157" s="23">
        <f>'Trial Balance'!H342</f>
        <v>1281.19</v>
      </c>
    </row>
    <row r="158" spans="1:2" ht="15" customHeight="1">
      <c r="A158" s="32" t="str">
        <f>'Trial Balance'!A343&amp;"-"&amp;'Trial Balance'!B343</f>
        <v>5625-Administrative Expense Transferred-Credit</v>
      </c>
      <c r="B158" s="23">
        <f>'Trial Balance'!H343</f>
        <v>0</v>
      </c>
    </row>
    <row r="159" spans="1:2" ht="15" customHeight="1">
      <c r="A159" s="32" t="str">
        <f>'Trial Balance'!A344&amp;"-"&amp;'Trial Balance'!B344</f>
        <v>5630-Outside Services Employed</v>
      </c>
      <c r="B159" s="23">
        <f>'Trial Balance'!H344</f>
        <v>265951.62</v>
      </c>
    </row>
    <row r="160" spans="1:2" ht="15" customHeight="1">
      <c r="A160" s="32" t="str">
        <f>'Trial Balance'!A345&amp;"-"&amp;'Trial Balance'!B345</f>
        <v>5635-Property Insurance</v>
      </c>
      <c r="B160" s="23">
        <f>'Trial Balance'!H345</f>
        <v>142258.36</v>
      </c>
    </row>
    <row r="161" spans="1:2" ht="15" customHeight="1">
      <c r="A161" s="32" t="str">
        <f>'Trial Balance'!A346&amp;"-"&amp;'Trial Balance'!B346</f>
        <v>5640-Injuries and Damages</v>
      </c>
      <c r="B161" s="23">
        <f>'Trial Balance'!H346</f>
        <v>0</v>
      </c>
    </row>
    <row r="162" spans="1:2" ht="15" customHeight="1">
      <c r="A162" s="32" t="str">
        <f>'Trial Balance'!A347&amp;"-"&amp;'Trial Balance'!B347</f>
        <v>5645-Employee Pensions and Benefits</v>
      </c>
      <c r="B162" s="23">
        <f>'Trial Balance'!H347</f>
        <v>389493.97</v>
      </c>
    </row>
    <row r="163" spans="1:2" ht="15" customHeight="1">
      <c r="A163" s="32" t="str">
        <f>'Trial Balance'!A348&amp;"-"&amp;'Trial Balance'!B348</f>
        <v>5650-Franchise Requirements</v>
      </c>
      <c r="B163" s="23">
        <f>'Trial Balance'!H348</f>
        <v>0</v>
      </c>
    </row>
    <row r="164" spans="1:2" ht="15" customHeight="1">
      <c r="A164" s="32" t="str">
        <f>'Trial Balance'!A349&amp;"-"&amp;'Trial Balance'!B349</f>
        <v>5655-Regulatory Expenses</v>
      </c>
      <c r="B164" s="23">
        <f>'Trial Balance'!H349</f>
        <v>175851.21</v>
      </c>
    </row>
    <row r="165" spans="1:2" ht="15" customHeight="1">
      <c r="A165" s="32" t="str">
        <f>'Trial Balance'!A350&amp;"-"&amp;'Trial Balance'!B350</f>
        <v>5660-General Advertising Expenses</v>
      </c>
      <c r="B165" s="23">
        <f>'Trial Balance'!H350</f>
        <v>2372.4</v>
      </c>
    </row>
    <row r="166" spans="1:2" ht="15" customHeight="1">
      <c r="A166" s="32" t="str">
        <f>'Trial Balance'!A351&amp;"-"&amp;'Trial Balance'!B351</f>
        <v>5665-Miscellaneous Expenses</v>
      </c>
      <c r="B166" s="23">
        <f>'Trial Balance'!H351</f>
        <v>127571.47</v>
      </c>
    </row>
    <row r="167" spans="1:2" ht="15" customHeight="1">
      <c r="A167" s="32" t="str">
        <f>'Trial Balance'!A352&amp;"-"&amp;'Trial Balance'!B352</f>
        <v>5670-Rent  </v>
      </c>
      <c r="B167" s="23">
        <f>'Trial Balance'!H352</f>
        <v>0</v>
      </c>
    </row>
    <row r="168" spans="1:2" ht="15" customHeight="1">
      <c r="A168" s="32" t="str">
        <f>'Trial Balance'!A353&amp;"-"&amp;'Trial Balance'!B353</f>
        <v>5675-Maintenance of General Plant</v>
      </c>
      <c r="B168" s="23">
        <f>'Trial Balance'!H353</f>
        <v>97289.43</v>
      </c>
    </row>
    <row r="169" spans="1:2" ht="15" customHeight="1">
      <c r="A169" s="32" t="str">
        <f>'Trial Balance'!A354&amp;"-"&amp;'Trial Balance'!B354</f>
        <v>5680-Electrical Safety Authority Fees</v>
      </c>
      <c r="B169" s="23">
        <f>'Trial Balance'!H354</f>
        <v>12395.54</v>
      </c>
    </row>
    <row r="170" spans="1:2" ht="15" customHeight="1">
      <c r="A170" s="32" t="str">
        <f>'Trial Balance'!A355&amp;"-"&amp;'Trial Balance'!B355</f>
        <v>5685-Independent Market Operator Fees and Penalties</v>
      </c>
      <c r="B170" s="23">
        <f>'Trial Balance'!H355</f>
        <v>0</v>
      </c>
    </row>
    <row r="171" spans="1:2" ht="15" customHeight="1" thickBot="1">
      <c r="A171" s="32" t="str">
        <f>'Trial Balance'!A356&amp;"-"&amp;'Trial Balance'!B356</f>
        <v>5695-OM&amp;A Contra Account</v>
      </c>
      <c r="B171" s="23">
        <f>'Trial Balance'!H356</f>
        <v>130.69</v>
      </c>
    </row>
    <row r="172" spans="1:2" ht="15" customHeight="1" thickBot="1">
      <c r="A172" s="38" t="s">
        <v>75</v>
      </c>
      <c r="B172" s="24">
        <f>SUM(B154:B171)</f>
        <v>2137953.9</v>
      </c>
    </row>
    <row r="173" spans="1:2" s="21" customFormat="1" ht="15" customHeight="1">
      <c r="A173" s="423"/>
      <c r="B173" s="424"/>
    </row>
    <row r="174" spans="1:2" s="21" customFormat="1" ht="15" customHeight="1">
      <c r="A174" s="425" t="s">
        <v>76</v>
      </c>
      <c r="B174" s="426"/>
    </row>
    <row r="175" spans="1:2" s="21" customFormat="1" ht="15" customHeight="1">
      <c r="A175" s="32" t="str">
        <f>'Trial Balance'!A358&amp;"-"&amp;'Trial Balance'!B358</f>
        <v>5705-Amortization Expense - Property, Plant and Equipment</v>
      </c>
      <c r="B175" s="23">
        <f>'Trial Balance'!H358</f>
        <v>2322968.399999999</v>
      </c>
    </row>
    <row r="176" spans="1:2" s="21" customFormat="1" ht="15" customHeight="1">
      <c r="A176" s="32" t="str">
        <f>'Trial Balance'!A359&amp;"-"&amp;'Trial Balance'!B359</f>
        <v>5710-Amortization of Limited Term Electric Plant</v>
      </c>
      <c r="B176" s="23">
        <f>'Trial Balance'!H359</f>
        <v>0</v>
      </c>
    </row>
    <row r="177" spans="1:2" s="21" customFormat="1" ht="15" customHeight="1">
      <c r="A177" s="32" t="str">
        <f>'Trial Balance'!A360&amp;"-"&amp;'Trial Balance'!B360</f>
        <v>5715-Amortization of Intangibles and Other Electric Plant</v>
      </c>
      <c r="B177" s="23">
        <f>'Trial Balance'!H360</f>
        <v>0</v>
      </c>
    </row>
    <row r="178" spans="1:2" s="21" customFormat="1" ht="15" customHeight="1">
      <c r="A178" s="32" t="str">
        <f>'Trial Balance'!A361&amp;"-"&amp;'Trial Balance'!B361</f>
        <v>5720-Amortization of Electric Plant Acquisition Adjustments</v>
      </c>
      <c r="B178" s="23">
        <f>'Trial Balance'!H361</f>
        <v>0</v>
      </c>
    </row>
    <row r="179" spans="1:2" s="21" customFormat="1" ht="15" customHeight="1">
      <c r="A179" s="32" t="str">
        <f>'Trial Balance'!A362&amp;"-"&amp;'Trial Balance'!B362</f>
        <v>5725-Miscellaneous Amortization</v>
      </c>
      <c r="B179" s="23">
        <f>'Trial Balance'!H362</f>
        <v>0</v>
      </c>
    </row>
    <row r="180" spans="1:2" s="21" customFormat="1" ht="15" customHeight="1">
      <c r="A180" s="32" t="str">
        <f>'Trial Balance'!A363&amp;"-"&amp;'Trial Balance'!B363</f>
        <v>5730-Amortization of Unrecovered Plant and Regulatory Study Costs</v>
      </c>
      <c r="B180" s="23">
        <f>'Trial Balance'!H363</f>
        <v>0</v>
      </c>
    </row>
    <row r="181" spans="1:2" s="21" customFormat="1" ht="15" customHeight="1">
      <c r="A181" s="32" t="str">
        <f>'Trial Balance'!A364&amp;"-"&amp;'Trial Balance'!B364</f>
        <v>5735-Amortization of Deferred Development Costs</v>
      </c>
      <c r="B181" s="23">
        <f>'Trial Balance'!H364</f>
        <v>0</v>
      </c>
    </row>
    <row r="182" spans="1:2" ht="15" customHeight="1" thickBot="1">
      <c r="A182" s="32" t="str">
        <f>'Trial Balance'!A365&amp;"-"&amp;'Trial Balance'!B365</f>
        <v>5740-Amortization of Deferred Charges</v>
      </c>
      <c r="B182" s="23">
        <f>'Trial Balance'!H365</f>
        <v>0</v>
      </c>
    </row>
    <row r="183" spans="1:2" ht="15" customHeight="1" thickBot="1">
      <c r="A183" s="38" t="s">
        <v>77</v>
      </c>
      <c r="B183" s="24">
        <f>SUM(B175:B182)</f>
        <v>2322968.399999999</v>
      </c>
    </row>
    <row r="184" spans="1:2" s="21" customFormat="1" ht="15" customHeight="1">
      <c r="A184" s="423"/>
      <c r="B184" s="424"/>
    </row>
    <row r="185" spans="1:2" s="21" customFormat="1" ht="15" customHeight="1">
      <c r="A185" s="425" t="s">
        <v>78</v>
      </c>
      <c r="B185" s="426"/>
    </row>
    <row r="186" spans="1:2" ht="15" customHeight="1">
      <c r="A186" s="32" t="str">
        <f>'Trial Balance'!A367&amp;"-"&amp;'Trial Balance'!B367</f>
        <v>6005-Interest on Long Term Debt</v>
      </c>
      <c r="B186" s="23">
        <f>'Trial Balance'!H367</f>
        <v>0</v>
      </c>
    </row>
    <row r="187" spans="1:2" ht="15" customHeight="1">
      <c r="A187" s="32" t="str">
        <f>'Trial Balance'!A368&amp;"-"&amp;'Trial Balance'!B368</f>
        <v>6010-Amortization of Debt Discount and Expense</v>
      </c>
      <c r="B187" s="23">
        <f>'Trial Balance'!H368</f>
        <v>0</v>
      </c>
    </row>
    <row r="188" spans="1:2" ht="15" customHeight="1">
      <c r="A188" s="32" t="str">
        <f>'Trial Balance'!A369&amp;"-"&amp;'Trial Balance'!B369</f>
        <v>6015-Amortization of Premium on Debt-Credit</v>
      </c>
      <c r="B188" s="23">
        <f>'Trial Balance'!H369</f>
        <v>0</v>
      </c>
    </row>
    <row r="189" spans="1:2" ht="15" customHeight="1">
      <c r="A189" s="32" t="str">
        <f>'Trial Balance'!A370&amp;"-"&amp;'Trial Balance'!B370</f>
        <v>6020-Amortization of Loss on Reacquired Debt</v>
      </c>
      <c r="B189" s="23">
        <f>'Trial Balance'!H370</f>
        <v>0</v>
      </c>
    </row>
    <row r="190" spans="1:2" ht="15" customHeight="1">
      <c r="A190" s="32" t="str">
        <f>'Trial Balance'!A371&amp;"-"&amp;'Trial Balance'!B371</f>
        <v>6025-Amortization of Gain on Reacquired Debt-Credit</v>
      </c>
      <c r="B190" s="23">
        <f>'Trial Balance'!H371</f>
        <v>0</v>
      </c>
    </row>
    <row r="191" spans="1:2" ht="15" customHeight="1">
      <c r="A191" s="32" t="str">
        <f>'Trial Balance'!A372&amp;"-"&amp;'Trial Balance'!B372</f>
        <v>6030-Interest on Debt to Associated Companies</v>
      </c>
      <c r="B191" s="23">
        <f>'Trial Balance'!H372</f>
        <v>975580.08</v>
      </c>
    </row>
    <row r="192" spans="1:2" ht="15" customHeight="1">
      <c r="A192" s="32" t="str">
        <f>'Trial Balance'!A373&amp;"-"&amp;'Trial Balance'!B373</f>
        <v>6035-Other Interest Expense</v>
      </c>
      <c r="B192" s="23">
        <f>'Trial Balance'!H373</f>
        <v>223854.44</v>
      </c>
    </row>
    <row r="193" spans="1:2" ht="15" customHeight="1">
      <c r="A193" s="32" t="str">
        <f>'Trial Balance'!A374&amp;"-"&amp;'Trial Balance'!B374</f>
        <v>6040-Allowance for Borrowed Funds Used During Construction-Credit</v>
      </c>
      <c r="B193" s="23">
        <f>'Trial Balance'!H374</f>
        <v>0</v>
      </c>
    </row>
    <row r="194" spans="1:2" ht="15" customHeight="1">
      <c r="A194" s="32" t="str">
        <f>'Trial Balance'!A375&amp;"-"&amp;'Trial Balance'!B375</f>
        <v>6042-Allowance for Other Funds Used During Construction</v>
      </c>
      <c r="B194" s="23">
        <f>'Trial Balance'!H375</f>
        <v>0</v>
      </c>
    </row>
    <row r="195" spans="1:2" ht="15" customHeight="1" thickBot="1">
      <c r="A195" s="32" t="str">
        <f>'Trial Balance'!A376&amp;"-"&amp;'Trial Balance'!B376</f>
        <v>6045-Interest Expense on Capital Lease Obligations</v>
      </c>
      <c r="B195" s="23">
        <f>'Trial Balance'!H376</f>
        <v>0</v>
      </c>
    </row>
    <row r="196" spans="1:2" ht="15" customHeight="1" thickBot="1">
      <c r="A196" s="38" t="s">
        <v>556</v>
      </c>
      <c r="B196" s="24">
        <f>SUM(B186:B195)</f>
        <v>1199434.52</v>
      </c>
    </row>
    <row r="197" spans="1:2" s="21" customFormat="1" ht="15" customHeight="1">
      <c r="A197" s="423"/>
      <c r="B197" s="424"/>
    </row>
    <row r="198" spans="1:2" s="21" customFormat="1" ht="15" customHeight="1">
      <c r="A198" s="425" t="s">
        <v>557</v>
      </c>
      <c r="B198" s="426"/>
    </row>
    <row r="199" spans="1:2" ht="15" customHeight="1" thickBot="1">
      <c r="A199" s="32" t="str">
        <f>'Trial Balance'!A378&amp;"-"&amp;'Trial Balance'!B378</f>
        <v>6105-Taxes Other Than Income Taxes</v>
      </c>
      <c r="B199" s="23">
        <f>'Trial Balance'!H378</f>
        <v>78421.73</v>
      </c>
    </row>
    <row r="200" spans="1:2" ht="15" customHeight="1" thickBot="1">
      <c r="A200" s="38" t="s">
        <v>560</v>
      </c>
      <c r="B200" s="24">
        <f>SUM(B199)</f>
        <v>78421.73</v>
      </c>
    </row>
    <row r="201" spans="1:2" s="21" customFormat="1" ht="15" customHeight="1">
      <c r="A201" s="423"/>
      <c r="B201" s="424"/>
    </row>
    <row r="202" spans="1:2" s="21" customFormat="1" ht="15" customHeight="1">
      <c r="A202" s="425" t="s">
        <v>561</v>
      </c>
      <c r="B202" s="426"/>
    </row>
    <row r="203" spans="1:2" ht="15" customHeight="1">
      <c r="A203" s="32" t="str">
        <f>'Trial Balance'!A379&amp;"-"&amp;'Trial Balance'!B379</f>
        <v>6110-Income Taxes</v>
      </c>
      <c r="B203" s="23">
        <f>'Trial Balance'!H379</f>
        <v>740407</v>
      </c>
    </row>
    <row r="204" spans="1:2" ht="15" customHeight="1" thickBot="1">
      <c r="A204" s="32" t="str">
        <f>'Trial Balance'!A380&amp;"-"&amp;'Trial Balance'!B380</f>
        <v>6115-Provision for Future Income Taxes</v>
      </c>
      <c r="B204" s="23">
        <f>'Trial Balance'!H380</f>
        <v>0</v>
      </c>
    </row>
    <row r="205" spans="1:2" ht="15" customHeight="1" thickBot="1">
      <c r="A205" s="38" t="s">
        <v>562</v>
      </c>
      <c r="B205" s="24">
        <f>SUM(B203:B204)</f>
        <v>740407</v>
      </c>
    </row>
    <row r="206" spans="1:2" s="21" customFormat="1" ht="15" customHeight="1">
      <c r="A206" s="423"/>
      <c r="B206" s="424"/>
    </row>
    <row r="207" spans="1:2" s="21" customFormat="1" ht="15" customHeight="1">
      <c r="A207" s="425" t="s">
        <v>542</v>
      </c>
      <c r="B207" s="426"/>
    </row>
    <row r="208" spans="1:2" ht="15" customHeight="1">
      <c r="A208" s="32" t="str">
        <f>'Trial Balance'!A382&amp;"-"&amp;'Trial Balance'!B382</f>
        <v>6205-Donations</v>
      </c>
      <c r="B208" s="23">
        <f>'Trial Balance'!H382</f>
        <v>6000</v>
      </c>
    </row>
    <row r="209" spans="1:2" ht="15" customHeight="1">
      <c r="A209" s="32" t="str">
        <f>'Trial Balance'!A383&amp;"-"&amp;'Trial Balance'!B383</f>
        <v>6210-Life Insurance</v>
      </c>
      <c r="B209" s="23">
        <f>'Trial Balance'!H383</f>
        <v>0</v>
      </c>
    </row>
    <row r="210" spans="1:2" ht="15" customHeight="1">
      <c r="A210" s="32" t="str">
        <f>'Trial Balance'!A384&amp;"-"&amp;'Trial Balance'!B384</f>
        <v>6215-Penalties</v>
      </c>
      <c r="B210" s="23">
        <f>'Trial Balance'!H384</f>
        <v>0</v>
      </c>
    </row>
    <row r="211" spans="1:7" ht="15" customHeight="1" thickBot="1">
      <c r="A211" s="32" t="str">
        <f>'Trial Balance'!A385&amp;"-"&amp;'Trial Balance'!B385</f>
        <v>6225-Other Deductions</v>
      </c>
      <c r="B211" s="23">
        <f>'Trial Balance'!H385</f>
        <v>0</v>
      </c>
      <c r="D211" s="13"/>
      <c r="E211" s="13"/>
      <c r="F211" s="13"/>
      <c r="G211" s="13"/>
    </row>
    <row r="212" spans="1:2" ht="15" customHeight="1" thickBot="1">
      <c r="A212" s="38" t="s">
        <v>543</v>
      </c>
      <c r="B212" s="24">
        <f>SUM(B208:B211)</f>
        <v>6000</v>
      </c>
    </row>
    <row r="213" spans="1:7" s="13" customFormat="1" ht="15" customHeight="1" thickBot="1">
      <c r="A213" s="423"/>
      <c r="B213" s="424"/>
      <c r="D213"/>
      <c r="E213"/>
      <c r="F213"/>
      <c r="G213"/>
    </row>
    <row r="214" spans="1:2" ht="18.75" customHeight="1" thickBot="1">
      <c r="A214" s="39" t="s">
        <v>817</v>
      </c>
      <c r="B214" s="26">
        <f>B24+B31+B43+B66+B71+B85+B111+B132+B143+B151+B172+B183+B196+B200+B205+B212</f>
        <v>-1415858.6699999846</v>
      </c>
    </row>
    <row r="215" spans="1:2" ht="15">
      <c r="A215" s="11"/>
      <c r="B215" s="11"/>
    </row>
    <row r="216" spans="1:2" ht="15">
      <c r="A216" s="11"/>
      <c r="B216" s="11"/>
    </row>
    <row r="217" spans="1:2" ht="15">
      <c r="A217" s="11"/>
      <c r="B217" s="11"/>
    </row>
    <row r="218" spans="1:2" ht="15">
      <c r="A218" s="11"/>
      <c r="B218" s="11"/>
    </row>
    <row r="219" spans="1:2" ht="15">
      <c r="A219" s="11"/>
      <c r="B219" s="11"/>
    </row>
    <row r="220" spans="1:2" ht="15">
      <c r="A220" s="11"/>
      <c r="B220" s="11"/>
    </row>
    <row r="221" spans="1:2" ht="15">
      <c r="A221" s="11"/>
      <c r="B221" s="11"/>
    </row>
    <row r="222" spans="1:2" ht="15">
      <c r="A222" s="11"/>
      <c r="B222" s="11"/>
    </row>
    <row r="223" spans="1:2" ht="15">
      <c r="A223" s="11"/>
      <c r="B223" s="11"/>
    </row>
    <row r="224" spans="1:2" ht="15">
      <c r="A224" s="11"/>
      <c r="B224" s="11"/>
    </row>
    <row r="225" spans="1:2" ht="15">
      <c r="A225" s="11"/>
      <c r="B225" s="11"/>
    </row>
    <row r="226" spans="1:2" ht="15">
      <c r="A226" s="11"/>
      <c r="B226" s="11"/>
    </row>
    <row r="227" spans="1:2" ht="15">
      <c r="A227" s="11"/>
      <c r="B227" s="11"/>
    </row>
    <row r="228" spans="1:2" ht="15">
      <c r="A228" s="11"/>
      <c r="B228" s="11"/>
    </row>
    <row r="229" spans="1:2" ht="15">
      <c r="A229" s="11"/>
      <c r="B229" s="11"/>
    </row>
    <row r="230" spans="1:2" ht="15">
      <c r="A230" s="11"/>
      <c r="B230" s="11"/>
    </row>
    <row r="231" spans="1:2" ht="15">
      <c r="A231" s="11"/>
      <c r="B231" s="11"/>
    </row>
    <row r="232" spans="1:2" ht="15">
      <c r="A232" s="11"/>
      <c r="B232" s="11"/>
    </row>
    <row r="233" spans="1:2" ht="15">
      <c r="A233" s="11"/>
      <c r="B233" s="11"/>
    </row>
    <row r="234" spans="1:2" ht="15">
      <c r="A234" s="11"/>
      <c r="B234" s="11"/>
    </row>
    <row r="235" spans="1:2" ht="15">
      <c r="A235" s="11"/>
      <c r="B235" s="11"/>
    </row>
    <row r="236" spans="1:2" ht="15">
      <c r="A236" s="11"/>
      <c r="B236" s="11"/>
    </row>
    <row r="237" spans="1:2" ht="15">
      <c r="A237" s="11"/>
      <c r="B237" s="11"/>
    </row>
    <row r="238" spans="1:2" ht="15">
      <c r="A238" s="11"/>
      <c r="B238" s="11"/>
    </row>
    <row r="239" spans="1:2" ht="15">
      <c r="A239" s="11"/>
      <c r="B239" s="11"/>
    </row>
    <row r="240" spans="1:2" ht="15">
      <c r="A240" s="11"/>
      <c r="B240" s="11"/>
    </row>
    <row r="241" spans="1:2" ht="15">
      <c r="A241" s="11"/>
      <c r="B241" s="11"/>
    </row>
    <row r="242" spans="1:2" ht="15">
      <c r="A242" s="11"/>
      <c r="B242" s="11"/>
    </row>
    <row r="243" spans="1:2" ht="15">
      <c r="A243" s="11"/>
      <c r="B243" s="11"/>
    </row>
    <row r="244" spans="1:2" ht="15">
      <c r="A244" s="11"/>
      <c r="B244" s="11"/>
    </row>
    <row r="245" spans="1:2" ht="15">
      <c r="A245" s="11"/>
      <c r="B245" s="11"/>
    </row>
    <row r="246" spans="1:2" ht="15">
      <c r="A246" s="11"/>
      <c r="B246" s="11"/>
    </row>
    <row r="247" spans="1:2" ht="15">
      <c r="A247" s="11"/>
      <c r="B247" s="11"/>
    </row>
    <row r="248" spans="1:2" ht="15">
      <c r="A248" s="11"/>
      <c r="B248" s="11"/>
    </row>
    <row r="249" spans="1:2" ht="15">
      <c r="A249" s="11"/>
      <c r="B249" s="11"/>
    </row>
    <row r="250" spans="1:2" ht="15">
      <c r="A250" s="11"/>
      <c r="B250" s="11"/>
    </row>
    <row r="251" spans="1:2" ht="15">
      <c r="A251" s="11"/>
      <c r="B251" s="11"/>
    </row>
    <row r="252" spans="1:2" ht="15">
      <c r="A252" s="11"/>
      <c r="B252" s="11"/>
    </row>
    <row r="253" spans="1:2" ht="15">
      <c r="A253" s="11"/>
      <c r="B253" s="11"/>
    </row>
    <row r="254" spans="1:2" ht="15">
      <c r="A254" s="11"/>
      <c r="B254" s="11"/>
    </row>
    <row r="255" spans="1:2" ht="15">
      <c r="A255" s="11"/>
      <c r="B255" s="11"/>
    </row>
    <row r="256" spans="1:2" ht="15">
      <c r="A256" s="11"/>
      <c r="B256" s="11"/>
    </row>
    <row r="257" spans="1:2" ht="15">
      <c r="A257" s="11"/>
      <c r="B257" s="11"/>
    </row>
    <row r="258" spans="1:2" ht="15">
      <c r="A258" s="11"/>
      <c r="B258" s="11"/>
    </row>
    <row r="259" spans="1:2" ht="15">
      <c r="A259" s="11"/>
      <c r="B259" s="11"/>
    </row>
    <row r="260" spans="1:2" ht="15">
      <c r="A260" s="11"/>
      <c r="B260" s="11"/>
    </row>
    <row r="261" spans="1:2" ht="15">
      <c r="A261" s="11"/>
      <c r="B261" s="11"/>
    </row>
    <row r="262" spans="1:2" ht="15">
      <c r="A262" s="11"/>
      <c r="B262" s="11"/>
    </row>
    <row r="263" spans="1:2" ht="15">
      <c r="A263" s="11"/>
      <c r="B263" s="11"/>
    </row>
    <row r="264" spans="1:2" ht="15">
      <c r="A264" s="11"/>
      <c r="B264" s="11"/>
    </row>
    <row r="265" spans="1:2" ht="15">
      <c r="A265" s="11"/>
      <c r="B265" s="11"/>
    </row>
    <row r="266" spans="1:2" ht="15">
      <c r="A266" s="11"/>
      <c r="B266" s="11"/>
    </row>
    <row r="267" spans="1:2" ht="15">
      <c r="A267" s="11"/>
      <c r="B267" s="11"/>
    </row>
    <row r="268" spans="1:2" ht="15">
      <c r="A268" s="11"/>
      <c r="B268" s="11"/>
    </row>
    <row r="269" spans="1:2" ht="15">
      <c r="A269" s="11"/>
      <c r="B269" s="11"/>
    </row>
    <row r="270" spans="1:2" ht="15">
      <c r="A270" s="11"/>
      <c r="B270" s="11"/>
    </row>
    <row r="271" spans="1:2" ht="15">
      <c r="A271" s="11"/>
      <c r="B271" s="11"/>
    </row>
    <row r="272" spans="1:2" ht="15">
      <c r="A272" s="11"/>
      <c r="B272" s="11"/>
    </row>
    <row r="273" spans="1:2" ht="15">
      <c r="A273" s="11"/>
      <c r="B273" s="11"/>
    </row>
    <row r="274" spans="1:2" ht="15">
      <c r="A274" s="11"/>
      <c r="B274" s="11"/>
    </row>
    <row r="275" spans="1:2" ht="15">
      <c r="A275" s="11"/>
      <c r="B275" s="11"/>
    </row>
    <row r="276" spans="1:2" ht="15">
      <c r="A276" s="11"/>
      <c r="B276" s="11"/>
    </row>
    <row r="277" spans="1:2" ht="15">
      <c r="A277" s="11"/>
      <c r="B277" s="11"/>
    </row>
    <row r="278" spans="1:2" ht="15">
      <c r="A278" s="11"/>
      <c r="B278" s="11"/>
    </row>
    <row r="279" spans="1:2" ht="15">
      <c r="A279" s="11"/>
      <c r="B279" s="11"/>
    </row>
    <row r="280" spans="1:2" ht="15">
      <c r="A280" s="11"/>
      <c r="B280" s="11"/>
    </row>
    <row r="281" spans="1:2" ht="15">
      <c r="A281" s="11"/>
      <c r="B281" s="11"/>
    </row>
    <row r="282" spans="1:2" ht="15">
      <c r="A282" s="11"/>
      <c r="B282" s="11"/>
    </row>
    <row r="283" spans="1:2" ht="15">
      <c r="A283" s="11"/>
      <c r="B283" s="11"/>
    </row>
    <row r="284" spans="1:2" ht="15">
      <c r="A284" s="11"/>
      <c r="B284" s="11"/>
    </row>
    <row r="285" spans="1:2" ht="15">
      <c r="A285" s="11"/>
      <c r="B285" s="11"/>
    </row>
    <row r="286" spans="1:2" ht="15">
      <c r="A286" s="11"/>
      <c r="B286" s="11"/>
    </row>
    <row r="287" spans="1:2" ht="15">
      <c r="A287" s="11"/>
      <c r="B287" s="11"/>
    </row>
    <row r="288" spans="1:2" ht="15">
      <c r="A288" s="11"/>
      <c r="B288" s="11"/>
    </row>
    <row r="289" spans="1:2" ht="15">
      <c r="A289" s="11"/>
      <c r="B289" s="11"/>
    </row>
    <row r="290" spans="1:2" ht="15">
      <c r="A290" s="11"/>
      <c r="B290" s="11"/>
    </row>
    <row r="291" spans="1:2" ht="15">
      <c r="A291" s="11"/>
      <c r="B291" s="11"/>
    </row>
    <row r="292" spans="1:2" ht="15">
      <c r="A292" s="11"/>
      <c r="B292" s="11"/>
    </row>
    <row r="293" spans="1:2" ht="15">
      <c r="A293" s="11"/>
      <c r="B293" s="11"/>
    </row>
    <row r="294" spans="1:2" ht="15">
      <c r="A294" s="11"/>
      <c r="B294" s="11"/>
    </row>
    <row r="295" spans="1:2" ht="15">
      <c r="A295" s="11"/>
      <c r="B295" s="11"/>
    </row>
    <row r="296" spans="1:2" ht="15">
      <c r="A296" s="11"/>
      <c r="B296" s="11"/>
    </row>
    <row r="297" spans="1:2" ht="15">
      <c r="A297" s="11"/>
      <c r="B297" s="11"/>
    </row>
    <row r="298" spans="1:2" ht="15">
      <c r="A298" s="11"/>
      <c r="B298" s="11"/>
    </row>
    <row r="299" spans="1:2" ht="15">
      <c r="A299" s="11"/>
      <c r="B299" s="11"/>
    </row>
    <row r="300" spans="1:2" ht="15">
      <c r="A300" s="11"/>
      <c r="B300" s="11"/>
    </row>
    <row r="301" spans="1:2" ht="15">
      <c r="A301" s="11"/>
      <c r="B301" s="11"/>
    </row>
    <row r="302" spans="1:2" ht="15">
      <c r="A302" s="11"/>
      <c r="B302" s="11"/>
    </row>
    <row r="303" spans="1:2" ht="15">
      <c r="A303" s="11"/>
      <c r="B303" s="11"/>
    </row>
    <row r="304" spans="1:2" ht="15">
      <c r="A304" s="11"/>
      <c r="B304" s="11"/>
    </row>
    <row r="305" spans="1:2" ht="15">
      <c r="A305" s="11"/>
      <c r="B305" s="11"/>
    </row>
    <row r="306" spans="1:2" ht="15">
      <c r="A306" s="11"/>
      <c r="B306" s="11"/>
    </row>
    <row r="307" spans="1:2" ht="15">
      <c r="A307" s="11"/>
      <c r="B307" s="11"/>
    </row>
    <row r="308" spans="1:2" ht="15">
      <c r="A308" s="11"/>
      <c r="B308" s="11"/>
    </row>
    <row r="309" spans="1:2" ht="15">
      <c r="A309" s="11"/>
      <c r="B309" s="11"/>
    </row>
    <row r="310" spans="1:2" ht="15">
      <c r="A310" s="11"/>
      <c r="B310" s="11"/>
    </row>
    <row r="311" spans="1:2" ht="15">
      <c r="A311" s="11"/>
      <c r="B311" s="11"/>
    </row>
    <row r="312" spans="1:2" ht="15">
      <c r="A312" s="11"/>
      <c r="B312" s="11"/>
    </row>
    <row r="313" spans="1:2" ht="15">
      <c r="A313" s="11"/>
      <c r="B313" s="11"/>
    </row>
    <row r="314" spans="1:2" ht="15">
      <c r="A314" s="11"/>
      <c r="B314" s="11"/>
    </row>
    <row r="315" spans="1:2" ht="15">
      <c r="A315" s="11"/>
      <c r="B315" s="11"/>
    </row>
    <row r="316" spans="1:2" ht="15">
      <c r="A316" s="11"/>
      <c r="B316" s="11"/>
    </row>
    <row r="317" spans="1:2" ht="15">
      <c r="A317" s="11"/>
      <c r="B317" s="11"/>
    </row>
    <row r="318" spans="1:2" ht="15">
      <c r="A318" s="11"/>
      <c r="B318" s="11"/>
    </row>
    <row r="319" spans="1:2" ht="15">
      <c r="A319" s="11"/>
      <c r="B319" s="11"/>
    </row>
    <row r="320" spans="1:2" ht="15">
      <c r="A320" s="11"/>
      <c r="B320" s="11"/>
    </row>
    <row r="321" spans="1:2" ht="15">
      <c r="A321" s="11"/>
      <c r="B321" s="11"/>
    </row>
    <row r="322" spans="1:2" ht="15">
      <c r="A322" s="11"/>
      <c r="B322" s="11"/>
    </row>
    <row r="323" spans="1:2" ht="15">
      <c r="A323" s="11"/>
      <c r="B323" s="11"/>
    </row>
    <row r="324" spans="1:2" ht="15">
      <c r="A324" s="11"/>
      <c r="B324" s="11"/>
    </row>
    <row r="325" spans="1:2" ht="15">
      <c r="A325" s="11"/>
      <c r="B325" s="11"/>
    </row>
    <row r="326" spans="1:2" ht="15">
      <c r="A326" s="11"/>
      <c r="B326" s="11"/>
    </row>
    <row r="327" spans="1:2" ht="15">
      <c r="A327" s="11"/>
      <c r="B327" s="11"/>
    </row>
    <row r="328" spans="1:2" ht="15">
      <c r="A328" s="11"/>
      <c r="B328" s="11"/>
    </row>
    <row r="329" spans="1:2" ht="15">
      <c r="A329" s="11"/>
      <c r="B329" s="11"/>
    </row>
    <row r="330" spans="1:2" ht="15">
      <c r="A330" s="11"/>
      <c r="B330" s="11"/>
    </row>
  </sheetData>
  <mergeCells count="36">
    <mergeCell ref="A1:B1"/>
    <mergeCell ref="A2:B2"/>
    <mergeCell ref="A3:B3"/>
    <mergeCell ref="A32:B32"/>
    <mergeCell ref="A33:B33"/>
    <mergeCell ref="A145:B145"/>
    <mergeCell ref="A45:B45"/>
    <mergeCell ref="A4:B4"/>
    <mergeCell ref="A6:B6"/>
    <mergeCell ref="A25:B25"/>
    <mergeCell ref="A26:B26"/>
    <mergeCell ref="A44:B44"/>
    <mergeCell ref="A67:B67"/>
    <mergeCell ref="A68:B68"/>
    <mergeCell ref="A72:B72"/>
    <mergeCell ref="A73:B73"/>
    <mergeCell ref="A86:B86"/>
    <mergeCell ref="A87:B87"/>
    <mergeCell ref="A112:B112"/>
    <mergeCell ref="A113:B113"/>
    <mergeCell ref="A152:B152"/>
    <mergeCell ref="A173:B173"/>
    <mergeCell ref="A174:B174"/>
    <mergeCell ref="A153:B153"/>
    <mergeCell ref="A133:B133"/>
    <mergeCell ref="A144:B144"/>
    <mergeCell ref="A134:B134"/>
    <mergeCell ref="A184:B184"/>
    <mergeCell ref="A185:B185"/>
    <mergeCell ref="A197:B197"/>
    <mergeCell ref="A198:B198"/>
    <mergeCell ref="A213:B213"/>
    <mergeCell ref="A201:B201"/>
    <mergeCell ref="A202:B202"/>
    <mergeCell ref="A206:B206"/>
    <mergeCell ref="A207:B207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portrait" scale="96" r:id="rId1"/>
  <headerFooter alignWithMargins="0">
    <oddFooter>&amp;L&amp;A</oddFooter>
  </headerFooter>
  <rowBreaks count="5" manualBreakCount="5">
    <brk id="44" max="255" man="1"/>
    <brk id="86" max="255" man="1"/>
    <brk id="112" max="255" man="1"/>
    <brk id="152" max="255" man="1"/>
    <brk id="18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C354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73.28125" style="30" customWidth="1"/>
    <col min="2" max="2" width="20.8515625" style="0" customWidth="1"/>
  </cols>
  <sheetData>
    <row r="1" spans="1:2" ht="12.75">
      <c r="A1" s="441" t="str">
        <f>'Trial Balance'!A1:J1</f>
        <v>North Bay Hydro Distribution Ltd.</v>
      </c>
      <c r="B1" s="441"/>
    </row>
    <row r="2" spans="1:2" ht="12.75">
      <c r="A2" s="441" t="str">
        <f>'Trial Balance'!A2:J2</f>
        <v>License Number ED-2003-0024, File Number EB-2009-0270</v>
      </c>
      <c r="B2" s="441"/>
    </row>
    <row r="3" spans="1:2" ht="15.75">
      <c r="A3" s="433" t="str">
        <f>Notes!B4</f>
        <v>North Bay Hydro Distribution Ltd.</v>
      </c>
      <c r="B3" s="433"/>
    </row>
    <row r="4" spans="1:2" ht="15.75">
      <c r="A4" s="433" t="s">
        <v>207</v>
      </c>
      <c r="B4" s="433"/>
    </row>
    <row r="5" spans="1:2" ht="15" customHeight="1">
      <c r="A5" s="71" t="s">
        <v>545</v>
      </c>
      <c r="B5" s="71" t="s">
        <v>153</v>
      </c>
    </row>
    <row r="6" spans="1:2" s="21" customFormat="1" ht="15" customHeight="1">
      <c r="A6" s="434" t="s">
        <v>148</v>
      </c>
      <c r="B6" s="434"/>
    </row>
    <row r="7" spans="1:2" ht="15" customHeight="1">
      <c r="A7" s="32" t="str">
        <f>'Trial Balance'!A8&amp;"-"&amp;'Trial Balance'!B8</f>
        <v>1005-Cash</v>
      </c>
      <c r="B7" s="23">
        <f>'Trial Balance'!J8</f>
        <v>5234760.22493221</v>
      </c>
    </row>
    <row r="8" spans="1:2" ht="15" customHeight="1">
      <c r="A8" s="32" t="str">
        <f>'Trial Balance'!A9&amp;"-"&amp;'Trial Balance'!B9</f>
        <v>1010-Cash Advances and Working Funds</v>
      </c>
      <c r="B8" s="23">
        <f>'Trial Balance'!J9</f>
        <v>0</v>
      </c>
    </row>
    <row r="9" spans="1:2" ht="15" customHeight="1">
      <c r="A9" s="32" t="str">
        <f>'Trial Balance'!A10&amp;"-"&amp;'Trial Balance'!B10</f>
        <v>1020-Interest Special Deposits</v>
      </c>
      <c r="B9" s="23">
        <f>'Trial Balance'!J10</f>
        <v>0</v>
      </c>
    </row>
    <row r="10" spans="1:2" ht="15" customHeight="1">
      <c r="A10" s="32" t="str">
        <f>'Trial Balance'!A11&amp;"-"&amp;'Trial Balance'!B11</f>
        <v>1030-Dividend Special Deposits</v>
      </c>
      <c r="B10" s="23">
        <f>'Trial Balance'!J11</f>
        <v>0</v>
      </c>
    </row>
    <row r="11" spans="1:2" ht="15" customHeight="1">
      <c r="A11" s="32" t="str">
        <f>'Trial Balance'!A12&amp;"-"&amp;'Trial Balance'!B12</f>
        <v>1040-Other Special Deposits</v>
      </c>
      <c r="B11" s="23">
        <f>'Trial Balance'!J12</f>
        <v>0</v>
      </c>
    </row>
    <row r="12" spans="1:2" ht="15" customHeight="1">
      <c r="A12" s="32" t="str">
        <f>'Trial Balance'!A13&amp;"-"&amp;'Trial Balance'!B13</f>
        <v>1060-Term Deposits</v>
      </c>
      <c r="B12" s="23">
        <f>'Trial Balance'!J13</f>
        <v>2419031.08</v>
      </c>
    </row>
    <row r="13" spans="1:2" ht="15" customHeight="1">
      <c r="A13" s="32" t="str">
        <f>'Trial Balance'!A14&amp;"-"&amp;'Trial Balance'!B14</f>
        <v>1070-Current Investments</v>
      </c>
      <c r="B13" s="23">
        <f>'Trial Balance'!J14</f>
        <v>0</v>
      </c>
    </row>
    <row r="14" spans="1:2" ht="15" customHeight="1">
      <c r="A14" s="32" t="str">
        <f>'Trial Balance'!A15&amp;"-"&amp;'Trial Balance'!B15</f>
        <v>1100-Customer Accounts Receivable</v>
      </c>
      <c r="B14" s="23">
        <f>'Trial Balance'!J15</f>
        <v>4983801.628156261</v>
      </c>
    </row>
    <row r="15" spans="1:2" ht="15" customHeight="1">
      <c r="A15" s="32" t="str">
        <f>'Trial Balance'!A16&amp;"-"&amp;'Trial Balance'!B16</f>
        <v>1102-Accounts Receivable - Services</v>
      </c>
      <c r="B15" s="23">
        <f>'Trial Balance'!J16</f>
        <v>-258286.95973077518</v>
      </c>
    </row>
    <row r="16" spans="1:2" ht="15" customHeight="1">
      <c r="A16" s="32" t="str">
        <f>'Trial Balance'!A17&amp;"-"&amp;'Trial Balance'!B17</f>
        <v>1104-Accounts Receivable - Recoverable Work</v>
      </c>
      <c r="B16" s="23">
        <f>'Trial Balance'!J17</f>
        <v>328896.90693890455</v>
      </c>
    </row>
    <row r="17" spans="1:2" ht="15" customHeight="1">
      <c r="A17" s="32" t="str">
        <f>'Trial Balance'!A18&amp;"-"&amp;'Trial Balance'!B18</f>
        <v>1105-Accounts Receivable - Merchandise, Jobbing, etc.</v>
      </c>
      <c r="B17" s="23">
        <f>'Trial Balance'!J18</f>
        <v>2618.378705175798</v>
      </c>
    </row>
    <row r="18" spans="1:2" ht="15" customHeight="1">
      <c r="A18" s="32" t="str">
        <f>'Trial Balance'!A19&amp;"-"&amp;'Trial Balance'!B19</f>
        <v>1110-Other Accounts Receivable</v>
      </c>
      <c r="B18" s="23">
        <f>'Trial Balance'!J19</f>
        <v>200060.67891243057</v>
      </c>
    </row>
    <row r="19" spans="1:2" ht="15" customHeight="1">
      <c r="A19" s="32" t="str">
        <f>'Trial Balance'!A20&amp;"-"&amp;'Trial Balance'!B20</f>
        <v>1120-Accrued Utility Revenues</v>
      </c>
      <c r="B19" s="23">
        <f>'Trial Balance'!J20</f>
        <v>6058049.76489691</v>
      </c>
    </row>
    <row r="20" spans="1:2" ht="15" customHeight="1">
      <c r="A20" s="32" t="str">
        <f>'Trial Balance'!A21&amp;"-"&amp;'Trial Balance'!B21</f>
        <v>1130-Accumulated Provision for Uncollectable Accounts -- Credit</v>
      </c>
      <c r="B20" s="23">
        <f>'Trial Balance'!J21</f>
        <v>-517935.7398153835</v>
      </c>
    </row>
    <row r="21" spans="1:2" ht="15" customHeight="1">
      <c r="A21" s="32" t="str">
        <f>'Trial Balance'!A22&amp;"-"&amp;'Trial Balance'!B22</f>
        <v>1140-Interest and Dividends Receivable</v>
      </c>
      <c r="B21" s="23">
        <f>'Trial Balance'!J22</f>
        <v>0</v>
      </c>
    </row>
    <row r="22" spans="1:2" ht="15" customHeight="1">
      <c r="A22" s="32" t="str">
        <f>'Trial Balance'!A23&amp;"-"&amp;'Trial Balance'!B23</f>
        <v>1150-Rents Receivable</v>
      </c>
      <c r="B22" s="23">
        <f>'Trial Balance'!J23</f>
        <v>0</v>
      </c>
    </row>
    <row r="23" spans="1:2" ht="15" customHeight="1">
      <c r="A23" s="32" t="str">
        <f>'Trial Balance'!A24&amp;"-"&amp;'Trial Balance'!B24</f>
        <v>1170-Notes Receivable</v>
      </c>
      <c r="B23" s="23">
        <f>'Trial Balance'!J24</f>
        <v>0</v>
      </c>
    </row>
    <row r="24" spans="1:2" ht="15" customHeight="1">
      <c r="A24" s="32" t="str">
        <f>'Trial Balance'!A25&amp;"-"&amp;'Trial Balance'!B25</f>
        <v>1180-Prepayments</v>
      </c>
      <c r="B24" s="23">
        <f>'Trial Balance'!J25</f>
        <v>351653.9831069037</v>
      </c>
    </row>
    <row r="25" spans="1:2" ht="15" customHeight="1">
      <c r="A25" s="32" t="str">
        <f>'Trial Balance'!A26&amp;"-"&amp;'Trial Balance'!B26</f>
        <v>1190-Miscellaneous Current and Accrued Assets</v>
      </c>
      <c r="B25" s="23">
        <f>'Trial Balance'!J26</f>
        <v>0</v>
      </c>
    </row>
    <row r="26" spans="1:2" ht="15" customHeight="1">
      <c r="A26" s="32" t="str">
        <f>'Trial Balance'!A27&amp;"-"&amp;'Trial Balance'!B27</f>
        <v>1200-Accounts Receivable from Associated Companies</v>
      </c>
      <c r="B26" s="23">
        <f>'Trial Balance'!J27</f>
        <v>369064.3537037207</v>
      </c>
    </row>
    <row r="27" spans="1:2" ht="15" customHeight="1" thickBot="1">
      <c r="A27" s="32" t="str">
        <f>'Trial Balance'!A28&amp;"-"&amp;'Trial Balance'!B28</f>
        <v>1210-Notes  Receivable from Associated Companies</v>
      </c>
      <c r="B27" s="23">
        <f>'Trial Balance'!J28</f>
        <v>0</v>
      </c>
    </row>
    <row r="28" spans="1:2" ht="15" customHeight="1" thickBot="1">
      <c r="A28" s="34" t="s">
        <v>149</v>
      </c>
      <c r="B28" s="31">
        <f>SUM(B7:B27)</f>
        <v>19171714.299806356</v>
      </c>
    </row>
    <row r="29" spans="1:2" s="21" customFormat="1" ht="8.25" customHeight="1">
      <c r="A29" s="435"/>
      <c r="B29" s="435"/>
    </row>
    <row r="30" spans="1:2" s="21" customFormat="1" ht="15" customHeight="1">
      <c r="A30" s="432" t="s">
        <v>150</v>
      </c>
      <c r="B30" s="432"/>
    </row>
    <row r="31" spans="1:2" ht="15" customHeight="1">
      <c r="A31" s="32" t="str">
        <f>'Trial Balance'!A30&amp;"-"&amp;'Trial Balance'!B30</f>
        <v>1305-Fuel Stock</v>
      </c>
      <c r="B31" s="23">
        <f>'Trial Balance'!J30</f>
        <v>0</v>
      </c>
    </row>
    <row r="32" spans="1:2" ht="15" customHeight="1">
      <c r="A32" s="32" t="str">
        <f>'Trial Balance'!A31&amp;"-"&amp;'Trial Balance'!B31</f>
        <v>1330-Plant Materials and Operating Supplies</v>
      </c>
      <c r="B32" s="23">
        <f>'Trial Balance'!J31</f>
        <v>851407.3621101327</v>
      </c>
    </row>
    <row r="33" spans="1:2" ht="15" customHeight="1">
      <c r="A33" s="32" t="str">
        <f>'Trial Balance'!A32&amp;"-"&amp;'Trial Balance'!B32</f>
        <v>1340-Merchandise</v>
      </c>
      <c r="B33" s="23">
        <f>'Trial Balance'!J32</f>
        <v>0</v>
      </c>
    </row>
    <row r="34" spans="1:2" ht="15" customHeight="1" thickBot="1">
      <c r="A34" s="32" t="str">
        <f>'Trial Balance'!A33&amp;"-"&amp;'Trial Balance'!B33</f>
        <v>1350-Other Material and Supplies</v>
      </c>
      <c r="B34" s="23">
        <f>'Trial Balance'!J33</f>
        <v>0</v>
      </c>
    </row>
    <row r="35" spans="1:2" ht="15" customHeight="1" thickBot="1">
      <c r="A35" s="35" t="s">
        <v>102</v>
      </c>
      <c r="B35" s="31">
        <f>SUM(B31:B34)</f>
        <v>851407.3621101327</v>
      </c>
    </row>
    <row r="36" spans="1:2" s="21" customFormat="1" ht="15" customHeight="1">
      <c r="A36" s="28"/>
      <c r="B36" s="12"/>
    </row>
    <row r="37" spans="1:2" s="21" customFormat="1" ht="15" customHeight="1">
      <c r="A37" s="432" t="s">
        <v>103</v>
      </c>
      <c r="B37" s="432"/>
    </row>
    <row r="38" spans="1:2" ht="15" customHeight="1">
      <c r="A38" s="32" t="str">
        <f>'Trial Balance'!A35&amp;"-"&amp;'Trial Balance'!B35</f>
        <v>1405-Long Term Investments in Non-Associated Companies</v>
      </c>
      <c r="B38" s="23">
        <f>'Trial Balance'!J35</f>
        <v>0</v>
      </c>
    </row>
    <row r="39" spans="1:2" ht="15" customHeight="1">
      <c r="A39" s="32" t="str">
        <f>'Trial Balance'!A36&amp;"-"&amp;'Trial Balance'!B36</f>
        <v>1408-Long Term Receivable - Street Lighting Transfer</v>
      </c>
      <c r="B39" s="23">
        <f>'Trial Balance'!J36</f>
        <v>0</v>
      </c>
    </row>
    <row r="40" spans="1:2" ht="15" customHeight="1">
      <c r="A40" s="32" t="str">
        <f>'Trial Balance'!A37&amp;"-"&amp;'Trial Balance'!B37</f>
        <v>1410-Other Special or Collateral Funds</v>
      </c>
      <c r="B40" s="23">
        <f>'Trial Balance'!J37</f>
        <v>0</v>
      </c>
    </row>
    <row r="41" spans="1:2" ht="15" customHeight="1">
      <c r="A41" s="32" t="str">
        <f>'Trial Balance'!A38&amp;"-"&amp;'Trial Balance'!B38</f>
        <v>1415-Sinking Funds</v>
      </c>
      <c r="B41" s="23">
        <f>'Trial Balance'!J38</f>
        <v>0</v>
      </c>
    </row>
    <row r="42" spans="1:2" ht="15" customHeight="1">
      <c r="A42" s="32" t="str">
        <f>'Trial Balance'!A39&amp;"-"&amp;'Trial Balance'!B39</f>
        <v>1425-Unamortized Debt Expense</v>
      </c>
      <c r="B42" s="23">
        <f>'Trial Balance'!J39</f>
        <v>0</v>
      </c>
    </row>
    <row r="43" spans="1:2" ht="15" customHeight="1">
      <c r="A43" s="32" t="str">
        <f>'Trial Balance'!A40&amp;"-"&amp;'Trial Balance'!B40</f>
        <v>1445-Unamortized Discount on Long-Term Debt--Debit</v>
      </c>
      <c r="B43" s="23">
        <f>'Trial Balance'!J40</f>
        <v>0</v>
      </c>
    </row>
    <row r="44" spans="1:2" ht="15" customHeight="1">
      <c r="A44" s="32" t="str">
        <f>'Trial Balance'!A41&amp;"-"&amp;'Trial Balance'!B41</f>
        <v>1455-Unamortized Deferred Foreign Currency Translation Gains and Losses</v>
      </c>
      <c r="B44" s="23">
        <f>'Trial Balance'!J41</f>
        <v>0</v>
      </c>
    </row>
    <row r="45" spans="1:2" ht="15" customHeight="1">
      <c r="A45" s="32" t="str">
        <f>'Trial Balance'!A42&amp;"-"&amp;'Trial Balance'!B42</f>
        <v>1460-Other Non-Current Assets</v>
      </c>
      <c r="B45" s="23">
        <f>'Trial Balance'!J42</f>
        <v>0</v>
      </c>
    </row>
    <row r="46" spans="1:2" ht="15" customHeight="1">
      <c r="A46" s="32" t="str">
        <f>'Trial Balance'!A43&amp;"-"&amp;'Trial Balance'!B43</f>
        <v>1465-O.M.E.R.S. Past Service Costs</v>
      </c>
      <c r="B46" s="23">
        <f>'Trial Balance'!J43</f>
        <v>0</v>
      </c>
    </row>
    <row r="47" spans="1:2" ht="15" customHeight="1">
      <c r="A47" s="32" t="str">
        <f>'Trial Balance'!A44&amp;"-"&amp;'Trial Balance'!B44</f>
        <v>1470-Past Service Costs - Employee Future Benefits</v>
      </c>
      <c r="B47" s="23">
        <f>'Trial Balance'!J44</f>
        <v>0</v>
      </c>
    </row>
    <row r="48" spans="1:2" ht="15" customHeight="1">
      <c r="A48" s="32" t="str">
        <f>'Trial Balance'!A45&amp;"-"&amp;'Trial Balance'!B45</f>
        <v>1475-Past Service Costs -Other Pension Plans</v>
      </c>
      <c r="B48" s="23">
        <f>'Trial Balance'!J45</f>
        <v>0</v>
      </c>
    </row>
    <row r="49" spans="1:2" ht="15" customHeight="1">
      <c r="A49" s="32" t="str">
        <f>'Trial Balance'!A46&amp;"-"&amp;'Trial Balance'!B46</f>
        <v>1480-Portfolio Investments - Associated Companies</v>
      </c>
      <c r="B49" s="23">
        <f>'Trial Balance'!J46</f>
        <v>0</v>
      </c>
    </row>
    <row r="50" spans="1:2" ht="15" customHeight="1">
      <c r="A50" s="32" t="str">
        <f>'Trial Balance'!A47&amp;"-"&amp;'Trial Balance'!B47</f>
        <v>1485-Investment In Subsidiary Companies - Significant Influence</v>
      </c>
      <c r="B50" s="23">
        <f>'Trial Balance'!J47</f>
        <v>0</v>
      </c>
    </row>
    <row r="51" spans="1:2" ht="15" customHeight="1" thickBot="1">
      <c r="A51" s="32" t="str">
        <f>'Trial Balance'!A48&amp;"-"&amp;'Trial Balance'!B48</f>
        <v>1490-Investment in Subsidiary Companies</v>
      </c>
      <c r="B51" s="23">
        <f>'Trial Balance'!J48</f>
        <v>0</v>
      </c>
    </row>
    <row r="52" spans="1:2" ht="15" customHeight="1" thickBot="1">
      <c r="A52" s="35" t="s">
        <v>104</v>
      </c>
      <c r="B52" s="31">
        <f>SUM(B38:B51)</f>
        <v>0</v>
      </c>
    </row>
    <row r="53" spans="1:2" s="21" customFormat="1" ht="15" customHeight="1">
      <c r="A53" s="28"/>
      <c r="B53" s="12"/>
    </row>
    <row r="54" spans="1:2" s="21" customFormat="1" ht="15" customHeight="1">
      <c r="A54" s="432" t="s">
        <v>874</v>
      </c>
      <c r="B54" s="432"/>
    </row>
    <row r="55" spans="1:2" s="21" customFormat="1" ht="15" customHeight="1">
      <c r="A55" s="32" t="str">
        <f>'Trial Balance'!A392&amp;"-"&amp;'Trial Balance'!B392</f>
        <v>1606-Intangible Plant - Organization</v>
      </c>
      <c r="B55" s="23">
        <f>+'Trial Balance'!J392</f>
        <v>6361.01</v>
      </c>
    </row>
    <row r="56" spans="1:2" s="21" customFormat="1" ht="15" customHeight="1" thickBot="1">
      <c r="A56" s="32" t="str">
        <f>'Trial Balance'!A393&amp;"-"&amp;'Trial Balance'!B393</f>
        <v>1610-Intangible Plant - Misc. Intangible Plant</v>
      </c>
      <c r="B56" s="23">
        <f>+'Trial Balance'!J393</f>
        <v>22150</v>
      </c>
    </row>
    <row r="57" spans="1:2" s="21" customFormat="1" ht="15" customHeight="1" thickBot="1">
      <c r="A57" s="35" t="s">
        <v>875</v>
      </c>
      <c r="B57" s="31">
        <f>SUM(B55:B56)</f>
        <v>28511.010000000002</v>
      </c>
    </row>
    <row r="58" spans="1:2" s="21" customFormat="1" ht="15" customHeight="1">
      <c r="A58" s="28"/>
      <c r="B58" s="12"/>
    </row>
    <row r="59" spans="1:2" s="21" customFormat="1" ht="15" customHeight="1">
      <c r="A59" s="432" t="s">
        <v>105</v>
      </c>
      <c r="B59" s="432"/>
    </row>
    <row r="60" spans="1:2" ht="15" customHeight="1">
      <c r="A60" s="32" t="str">
        <f>'Trial Balance'!A50&amp;"-"&amp;'Trial Balance'!B50</f>
        <v>1505-Unrecovered Plant and Regulatory Study Costs</v>
      </c>
      <c r="B60" s="23">
        <f>'Trial Balance'!J50</f>
        <v>0</v>
      </c>
    </row>
    <row r="61" spans="1:2" ht="15" customHeight="1">
      <c r="A61" s="32" t="str">
        <f>'Trial Balance'!A51&amp;"-"&amp;'Trial Balance'!B51</f>
        <v>1508-Other Regulatory Assets</v>
      </c>
      <c r="B61" s="23">
        <f>'Trial Balance'!J51</f>
        <v>295204.78395458334</v>
      </c>
    </row>
    <row r="62" spans="1:2" ht="15" customHeight="1">
      <c r="A62" s="32" t="str">
        <f>'Trial Balance'!A52&amp;"-"&amp;'Trial Balance'!B52</f>
        <v>1510-Preliminary Survey and Investigation Charges</v>
      </c>
      <c r="B62" s="23">
        <f>'Trial Balance'!J52</f>
        <v>0</v>
      </c>
    </row>
    <row r="63" spans="1:2" ht="15" customHeight="1">
      <c r="A63" s="32" t="str">
        <f>'Trial Balance'!A53&amp;"-"&amp;'Trial Balance'!B53</f>
        <v>1515-Emission Allowance Inventory</v>
      </c>
      <c r="B63" s="23">
        <f>'Trial Balance'!J53</f>
        <v>0</v>
      </c>
    </row>
    <row r="64" spans="1:2" ht="15" customHeight="1">
      <c r="A64" s="32" t="str">
        <f>'Trial Balance'!A54&amp;"-"&amp;'Trial Balance'!B54</f>
        <v>1516-Emission Allowance Withheld</v>
      </c>
      <c r="B64" s="23">
        <f>'Trial Balance'!J54</f>
        <v>0</v>
      </c>
    </row>
    <row r="65" spans="1:2" ht="15" customHeight="1">
      <c r="A65" s="32" t="str">
        <f>'Trial Balance'!A55&amp;"-"&amp;'Trial Balance'!B55</f>
        <v>1518-RCVA - Retail</v>
      </c>
      <c r="B65" s="23">
        <f>'Trial Balance'!J55</f>
        <v>-233810.98524208332</v>
      </c>
    </row>
    <row r="66" spans="1:2" ht="15" customHeight="1">
      <c r="A66" s="32" t="str">
        <f>'Trial Balance'!A56&amp;"-"&amp;'Trial Balance'!B56</f>
        <v>1525-Miscellaneous Deferred Debits</v>
      </c>
      <c r="B66" s="23">
        <f>'Trial Balance'!J56</f>
        <v>1886.97355</v>
      </c>
    </row>
    <row r="67" spans="1:2" ht="15" customHeight="1">
      <c r="A67" s="32" t="str">
        <f>'Trial Balance'!A57&amp;"-"&amp;'Trial Balance'!B57</f>
        <v>1530-Deferred Losses from Disposition of Utility Plant</v>
      </c>
      <c r="B67" s="23">
        <f>'Trial Balance'!J57</f>
        <v>0</v>
      </c>
    </row>
    <row r="68" spans="1:2" ht="15" customHeight="1">
      <c r="A68" s="32" t="str">
        <f>'Trial Balance'!A58&amp;"-"&amp;'Trial Balance'!B58</f>
        <v>1540-Deferred Losses from Disposition of Utility Plant</v>
      </c>
      <c r="B68" s="23">
        <f>'Trial Balance'!J58</f>
        <v>0</v>
      </c>
    </row>
    <row r="69" spans="1:2" ht="15" customHeight="1">
      <c r="A69" s="32" t="str">
        <f>'Trial Balance'!A59&amp;"-"&amp;'Trial Balance'!B59</f>
        <v>1545-Development Charge Deposits/ Receivables</v>
      </c>
      <c r="B69" s="23">
        <f>'Trial Balance'!J59</f>
        <v>0</v>
      </c>
    </row>
    <row r="70" spans="1:2" ht="15" customHeight="1">
      <c r="A70" s="32" t="str">
        <f>'Trial Balance'!A60&amp;"-"&amp;'Trial Balance'!B60</f>
        <v>1548-RCVA - Service Transaction Request (STR)</v>
      </c>
      <c r="B70" s="23">
        <f>'Trial Balance'!J60</f>
        <v>76121.27301958327</v>
      </c>
    </row>
    <row r="71" spans="1:2" ht="15" customHeight="1">
      <c r="A71" s="32" t="str">
        <f>'Trial Balance'!A61&amp;"-"&amp;'Trial Balance'!B61</f>
        <v>1550-LV Charges - Variance</v>
      </c>
      <c r="B71" s="23">
        <f>'Trial Balance'!J61</f>
        <v>88824.98248625</v>
      </c>
    </row>
    <row r="72" spans="1:2" ht="15" customHeight="1">
      <c r="A72" s="32" t="str">
        <f>'Trial Balance'!A62&amp;"-"&amp;'Trial Balance'!B62</f>
        <v>1555-Smart Meters Recovery</v>
      </c>
      <c r="B72" s="23">
        <f>'Trial Balance'!J62</f>
        <v>4104807.634645834</v>
      </c>
    </row>
    <row r="73" spans="1:2" ht="15" customHeight="1">
      <c r="A73" s="32" t="str">
        <f>'Trial Balance'!A63&amp;"-"&amp;'Trial Balance'!B63</f>
        <v>1556-Smart Meters OM &amp; A</v>
      </c>
      <c r="B73" s="23">
        <f>'Trial Balance'!J63</f>
        <v>411892.08375958336</v>
      </c>
    </row>
    <row r="74" spans="1:2" ht="15" customHeight="1">
      <c r="A74" s="32" t="str">
        <f>'Trial Balance'!A64&amp;"-"&amp;'Trial Balance'!B64</f>
        <v>1562-Deferred PILs</v>
      </c>
      <c r="B74" s="23">
        <f>'Trial Balance'!J64</f>
        <v>-356783.4287125</v>
      </c>
    </row>
    <row r="75" spans="1:2" ht="15" customHeight="1">
      <c r="A75" s="32" t="str">
        <f>'Trial Balance'!A65&amp;"-"&amp;'Trial Balance'!B65</f>
        <v>1563-Deferred PILs - Contra</v>
      </c>
      <c r="B75" s="23">
        <f>'Trial Balance'!J65</f>
        <v>0</v>
      </c>
    </row>
    <row r="76" spans="1:2" ht="15" customHeight="1">
      <c r="A76" s="32" t="str">
        <f>'Trial Balance'!A66&amp;"-"&amp;'Trial Balance'!B66</f>
        <v>1565-C &amp; DM Costs</v>
      </c>
      <c r="B76" s="23">
        <f>'Trial Balance'!J66</f>
        <v>0</v>
      </c>
    </row>
    <row r="77" spans="1:2" ht="15" customHeight="1">
      <c r="A77" s="32" t="str">
        <f>'Trial Balance'!A67&amp;"-"&amp;'Trial Balance'!B67</f>
        <v>1566-C &amp; DM Costs Contra</v>
      </c>
      <c r="B77" s="23">
        <f>'Trial Balance'!J67</f>
        <v>0</v>
      </c>
    </row>
    <row r="78" spans="1:2" ht="15" customHeight="1">
      <c r="A78" s="32" t="str">
        <f>'Trial Balance'!A68&amp;"-"&amp;'Trial Balance'!B68</f>
        <v>1570-Qualifying Transition Costs</v>
      </c>
      <c r="B78" s="23">
        <f>'Trial Balance'!J68</f>
        <v>0</v>
      </c>
    </row>
    <row r="79" spans="1:2" ht="15" customHeight="1">
      <c r="A79" s="32" t="str">
        <f>'Trial Balance'!A69&amp;"-"&amp;'Trial Balance'!B69</f>
        <v>1571-Pre Market CofP Variance</v>
      </c>
      <c r="B79" s="23">
        <f>'Trial Balance'!J69</f>
        <v>0</v>
      </c>
    </row>
    <row r="80" spans="1:2" ht="15" customHeight="1">
      <c r="A80" s="32" t="str">
        <f>'Trial Balance'!A70&amp;"-"&amp;'Trial Balance'!B70</f>
        <v>1572-Extraordinary Event Losses</v>
      </c>
      <c r="B80" s="23">
        <f>'Trial Balance'!J70</f>
        <v>97693.91</v>
      </c>
    </row>
    <row r="81" spans="1:2" ht="15" customHeight="1">
      <c r="A81" s="32" t="str">
        <f>'Trial Balance'!A71&amp;"-"&amp;'Trial Balance'!B71</f>
        <v>1574-Deferred Rate Impact Amounts</v>
      </c>
      <c r="B81" s="23">
        <f>'Trial Balance'!J71</f>
        <v>0</v>
      </c>
    </row>
    <row r="82" spans="1:2" ht="15" customHeight="1">
      <c r="A82" s="32" t="str">
        <f>'Trial Balance'!A72&amp;"-"&amp;'Trial Balance'!B72</f>
        <v>1580-RSVA - Wholesale Market Services</v>
      </c>
      <c r="B82" s="23">
        <f>'Trial Balance'!J72</f>
        <v>-1722603.8977834764</v>
      </c>
    </row>
    <row r="83" spans="1:2" ht="15" customHeight="1">
      <c r="A83" s="32" t="str">
        <f>'Trial Balance'!A73&amp;"-"&amp;'Trial Balance'!B73</f>
        <v>1582-RSVA - One-Time</v>
      </c>
      <c r="B83" s="23">
        <f>'Trial Balance'!J73</f>
        <v>61178.139429999996</v>
      </c>
    </row>
    <row r="84" spans="1:2" ht="15" customHeight="1">
      <c r="A84" s="32" t="str">
        <f>'Trial Balance'!A74&amp;"-"&amp;'Trial Balance'!B74</f>
        <v>1584-RSVA - Network Charges</v>
      </c>
      <c r="B84" s="23">
        <f>'Trial Balance'!J74</f>
        <v>-482328.7151205923</v>
      </c>
    </row>
    <row r="85" spans="1:2" ht="15" customHeight="1">
      <c r="A85" s="32" t="str">
        <f>'Trial Balance'!A75&amp;"-"&amp;'Trial Balance'!B75</f>
        <v>1586-RSVA - Connection Charges</v>
      </c>
      <c r="B85" s="23">
        <f>'Trial Balance'!J75</f>
        <v>-125835.69487844408</v>
      </c>
    </row>
    <row r="86" spans="1:2" ht="15" customHeight="1">
      <c r="A86" s="32" t="str">
        <f>'Trial Balance'!A76&amp;"-"&amp;'Trial Balance'!B76</f>
        <v>1588-RSVA - Commodity (Power)</v>
      </c>
      <c r="B86" s="23">
        <f>'Trial Balance'!J76</f>
        <v>2321003.5983787496</v>
      </c>
    </row>
    <row r="87" spans="1:2" ht="15" customHeight="1">
      <c r="A87" s="32" t="str">
        <f>'Trial Balance'!A77&amp;"-"&amp;'Trial Balance'!B77</f>
        <v>1590-Recovery of Regulatory Assets (25% of 2002 bal.)</v>
      </c>
      <c r="B87" s="23">
        <f>'Trial Balance'!J77</f>
        <v>40022.7300000001</v>
      </c>
    </row>
    <row r="88" spans="1:2" ht="15" customHeight="1">
      <c r="A88" s="32" t="str">
        <f>'Trial Balance'!A78&amp;"-"&amp;'Trial Balance'!B78</f>
        <v>1592-PILs and Tax Variance for 2006 &amp; Subsequent Years</v>
      </c>
      <c r="B88" s="23">
        <f>'Trial Balance'!J78</f>
        <v>-93.77692916666666</v>
      </c>
    </row>
    <row r="89" spans="1:2" s="21" customFormat="1" ht="15" customHeight="1" thickBot="1">
      <c r="A89" s="32" t="str">
        <f>'Trial Balance'!A394&amp;"-"&amp;'Trial Balance'!B394</f>
        <v>1595-Recovery of Regulatory Asset Balances</v>
      </c>
      <c r="B89" s="23">
        <f>+'Trial Balance'!J394</f>
        <v>0</v>
      </c>
    </row>
    <row r="90" spans="1:2" ht="15" customHeight="1" thickBot="1">
      <c r="A90" s="35" t="s">
        <v>154</v>
      </c>
      <c r="B90" s="31">
        <f>SUM(B60:B89)</f>
        <v>4577179.610558321</v>
      </c>
    </row>
    <row r="91" spans="1:2" s="21" customFormat="1" ht="15" customHeight="1">
      <c r="A91" s="28"/>
      <c r="B91" s="12"/>
    </row>
    <row r="92" spans="1:2" s="21" customFormat="1" ht="15" customHeight="1">
      <c r="A92" s="432" t="s">
        <v>155</v>
      </c>
      <c r="B92" s="432"/>
    </row>
    <row r="93" spans="1:2" ht="15" customHeight="1">
      <c r="A93" s="32" t="str">
        <f>'Trial Balance'!A80&amp;"-"&amp;'Trial Balance'!B80</f>
        <v>1805-Land</v>
      </c>
      <c r="B93" s="23">
        <f>'Trial Balance'!J80</f>
        <v>371194.54000000004</v>
      </c>
    </row>
    <row r="94" spans="1:2" ht="15" customHeight="1">
      <c r="A94" s="32" t="str">
        <f>'Trial Balance'!A81&amp;"-"&amp;'Trial Balance'!B81</f>
        <v>1806-Land Rights</v>
      </c>
      <c r="B94" s="23">
        <f>'Trial Balance'!J81</f>
        <v>0</v>
      </c>
    </row>
    <row r="95" spans="1:2" ht="15" customHeight="1">
      <c r="A95" s="32" t="str">
        <f>'Trial Balance'!A82&amp;"-"&amp;'Trial Balance'!B82</f>
        <v>1808-Buildings and Fixtures</v>
      </c>
      <c r="B95" s="23">
        <f>'Trial Balance'!J82</f>
        <v>769640.81</v>
      </c>
    </row>
    <row r="96" spans="1:2" ht="15" customHeight="1">
      <c r="A96" s="32" t="str">
        <f>'Trial Balance'!A83&amp;"-"&amp;'Trial Balance'!B83</f>
        <v>1810-Leasehold Improvements</v>
      </c>
      <c r="B96" s="23">
        <f>'Trial Balance'!J83</f>
        <v>0</v>
      </c>
    </row>
    <row r="97" spans="1:2" ht="15" customHeight="1">
      <c r="A97" s="32" t="str">
        <f>'Trial Balance'!A84&amp;"-"&amp;'Trial Balance'!B84</f>
        <v>1815-Transformer Station Equipment -  &gt; 50 kV</v>
      </c>
      <c r="B97" s="23">
        <f>'Trial Balance'!J84</f>
        <v>0</v>
      </c>
    </row>
    <row r="98" spans="1:2" ht="15" customHeight="1">
      <c r="A98" s="32" t="str">
        <f>'Trial Balance'!A85&amp;"-"&amp;'Trial Balance'!B85</f>
        <v>1820-Distribution Station Equipment - &lt; 50 kV</v>
      </c>
      <c r="B98" s="23">
        <f>'Trial Balance'!J85</f>
        <v>9323770.78279602</v>
      </c>
    </row>
    <row r="99" spans="1:2" ht="15" customHeight="1">
      <c r="A99" s="32" t="str">
        <f>'Trial Balance'!A86&amp;"-"&amp;'Trial Balance'!B86</f>
        <v>1825-Storage Battery Equipment</v>
      </c>
      <c r="B99" s="23">
        <f>'Trial Balance'!J86</f>
        <v>0</v>
      </c>
    </row>
    <row r="100" spans="1:2" ht="15" customHeight="1">
      <c r="A100" s="32" t="str">
        <f>'Trial Balance'!A87&amp;"-"&amp;'Trial Balance'!B87</f>
        <v>1830-Poles, Towers and Fixtures</v>
      </c>
      <c r="B100" s="23">
        <f>'Trial Balance'!J87</f>
        <v>17412767.15761844</v>
      </c>
    </row>
    <row r="101" spans="1:2" ht="15" customHeight="1">
      <c r="A101" s="32" t="str">
        <f>'Trial Balance'!A88&amp;"-"&amp;'Trial Balance'!B88</f>
        <v>1835-Overhead Conductors and Devices</v>
      </c>
      <c r="B101" s="23">
        <f>'Trial Balance'!J88</f>
        <v>13832029.262533123</v>
      </c>
    </row>
    <row r="102" spans="1:2" ht="15" customHeight="1">
      <c r="A102" s="32" t="str">
        <f>'Trial Balance'!A89&amp;"-"&amp;'Trial Balance'!B89</f>
        <v>1840-Underground Conduit</v>
      </c>
      <c r="B102" s="23">
        <f>'Trial Balance'!J89</f>
        <v>1022701.027219313</v>
      </c>
    </row>
    <row r="103" spans="1:2" ht="15" customHeight="1">
      <c r="A103" s="32" t="str">
        <f>'Trial Balance'!A90&amp;"-"&amp;'Trial Balance'!B90</f>
        <v>1845-Underground Conductors and Devices</v>
      </c>
      <c r="B103" s="23">
        <f>'Trial Balance'!J90</f>
        <v>6396741.643601825</v>
      </c>
    </row>
    <row r="104" spans="1:2" ht="15" customHeight="1">
      <c r="A104" s="32" t="str">
        <f>'Trial Balance'!A91&amp;"-"&amp;'Trial Balance'!B91</f>
        <v>1850-Line Transformers</v>
      </c>
      <c r="B104" s="23">
        <f>'Trial Balance'!J91</f>
        <v>14385884.06</v>
      </c>
    </row>
    <row r="105" spans="1:2" ht="15" customHeight="1">
      <c r="A105" s="32" t="str">
        <f>'Trial Balance'!A92&amp;"-"&amp;'Trial Balance'!B92</f>
        <v>1855-Services</v>
      </c>
      <c r="B105" s="23">
        <f>'Trial Balance'!J92</f>
        <v>12219816.21</v>
      </c>
    </row>
    <row r="106" spans="1:2" ht="15" customHeight="1">
      <c r="A106" s="32" t="str">
        <f>'Trial Balance'!A93&amp;"-"&amp;'Trial Balance'!B93</f>
        <v>1860-Meters</v>
      </c>
      <c r="B106" s="23">
        <f>'Trial Balance'!J93</f>
        <v>3605159.672424353</v>
      </c>
    </row>
    <row r="107" spans="1:2" ht="15" customHeight="1" thickBot="1">
      <c r="A107" s="32" t="str">
        <f>'Trial Balance'!A94&amp;"-"&amp;'Trial Balance'!B94</f>
        <v>1865-Other Installations on Customer's Premises</v>
      </c>
      <c r="B107" s="23">
        <f>'Trial Balance'!J94</f>
        <v>0</v>
      </c>
    </row>
    <row r="108" spans="1:2" ht="15" customHeight="1" thickBot="1">
      <c r="A108" s="36" t="s">
        <v>79</v>
      </c>
      <c r="B108" s="31">
        <f>SUM(B93:B107)</f>
        <v>79339705.16619307</v>
      </c>
    </row>
    <row r="109" spans="1:2" s="21" customFormat="1" ht="15" customHeight="1">
      <c r="A109" s="27"/>
      <c r="B109" s="12"/>
    </row>
    <row r="110" spans="1:2" s="21" customFormat="1" ht="15" customHeight="1">
      <c r="A110" s="432" t="s">
        <v>80</v>
      </c>
      <c r="B110" s="432"/>
    </row>
    <row r="111" spans="1:2" ht="15" customHeight="1">
      <c r="A111" s="32" t="str">
        <f>'Trial Balance'!A95&amp;"-"&amp;'Trial Balance'!B95</f>
        <v>1905-Land</v>
      </c>
      <c r="B111" s="23">
        <f>'Trial Balance'!J95</f>
        <v>86550.51</v>
      </c>
    </row>
    <row r="112" spans="1:2" ht="15" customHeight="1">
      <c r="A112" s="32" t="str">
        <f>'Trial Balance'!A96&amp;"-"&amp;'Trial Balance'!B96</f>
        <v>1906-Land Rights</v>
      </c>
      <c r="B112" s="23">
        <f>'Trial Balance'!J96</f>
        <v>0</v>
      </c>
    </row>
    <row r="113" spans="1:2" ht="15" customHeight="1">
      <c r="A113" s="32" t="str">
        <f>'Trial Balance'!A97&amp;"-"&amp;'Trial Balance'!B97</f>
        <v>1908-Buildings and Fixtures</v>
      </c>
      <c r="B113" s="23">
        <f>'Trial Balance'!J97</f>
        <v>2017636.925753811</v>
      </c>
    </row>
    <row r="114" spans="1:2" ht="15" customHeight="1">
      <c r="A114" s="32" t="str">
        <f>'Trial Balance'!A98&amp;"-"&amp;'Trial Balance'!B98</f>
        <v>1910-Leasehold Improvements</v>
      </c>
      <c r="B114" s="23">
        <f>'Trial Balance'!J98</f>
        <v>0</v>
      </c>
    </row>
    <row r="115" spans="1:2" ht="15" customHeight="1">
      <c r="A115" s="32" t="str">
        <f>'Trial Balance'!A99&amp;"-"&amp;'Trial Balance'!B99</f>
        <v>1915-Office Furniture and Equipment</v>
      </c>
      <c r="B115" s="23">
        <f>'Trial Balance'!J99</f>
        <v>315440.7311400948</v>
      </c>
    </row>
    <row r="116" spans="1:2" ht="15" customHeight="1">
      <c r="A116" s="32" t="str">
        <f>'Trial Balance'!A100&amp;"-"&amp;'Trial Balance'!B100</f>
        <v>1920-Computer Equipment - Hardware</v>
      </c>
      <c r="B116" s="23">
        <f>'Trial Balance'!J100</f>
        <v>591579.130754726</v>
      </c>
    </row>
    <row r="117" spans="1:2" ht="15" customHeight="1">
      <c r="A117" s="32" t="str">
        <f>'Trial Balance'!A101&amp;"-"&amp;'Trial Balance'!B101</f>
        <v>1925-Computer Software</v>
      </c>
      <c r="B117" s="23">
        <f>'Trial Balance'!J101</f>
        <v>907368.6796703669</v>
      </c>
    </row>
    <row r="118" spans="1:2" ht="15" customHeight="1">
      <c r="A118" s="32" t="str">
        <f>'Trial Balance'!A102&amp;"-"&amp;'Trial Balance'!B102</f>
        <v>1930-Transportation Equipment</v>
      </c>
      <c r="B118" s="23">
        <f>'Trial Balance'!J102</f>
        <v>2569335.35</v>
      </c>
    </row>
    <row r="119" spans="1:2" ht="15" customHeight="1">
      <c r="A119" s="32" t="str">
        <f>'Trial Balance'!A103&amp;"-"&amp;'Trial Balance'!B103</f>
        <v>1935-Stores Equipment</v>
      </c>
      <c r="B119" s="23">
        <f>'Trial Balance'!J103</f>
        <v>75195.87</v>
      </c>
    </row>
    <row r="120" spans="1:2" ht="15" customHeight="1">
      <c r="A120" s="32" t="str">
        <f>'Trial Balance'!A104&amp;"-"&amp;'Trial Balance'!B104</f>
        <v>1940-Tools, Shop and Garage Equipment</v>
      </c>
      <c r="B120" s="23">
        <f>'Trial Balance'!J104</f>
        <v>1136361.103549119</v>
      </c>
    </row>
    <row r="121" spans="1:2" ht="15" customHeight="1">
      <c r="A121" s="32" t="str">
        <f>'Trial Balance'!A105&amp;"-"&amp;'Trial Balance'!B105</f>
        <v>1945-Measurement and Testing Equipment</v>
      </c>
      <c r="B121" s="23">
        <f>'Trial Balance'!J105</f>
        <v>0</v>
      </c>
    </row>
    <row r="122" spans="1:2" ht="15" customHeight="1">
      <c r="A122" s="32" t="str">
        <f>'Trial Balance'!A106&amp;"-"&amp;'Trial Balance'!B106</f>
        <v>1950-Power Operated Equipment</v>
      </c>
      <c r="B122" s="23">
        <f>'Trial Balance'!J106</f>
        <v>0</v>
      </c>
    </row>
    <row r="123" spans="1:2" ht="15" customHeight="1">
      <c r="A123" s="32" t="str">
        <f>'Trial Balance'!A107&amp;"-"&amp;'Trial Balance'!B107</f>
        <v>1955-Communication Equipment</v>
      </c>
      <c r="B123" s="23">
        <f>'Trial Balance'!J107</f>
        <v>85917.44</v>
      </c>
    </row>
    <row r="124" spans="1:2" ht="15" customHeight="1">
      <c r="A124" s="32" t="str">
        <f>'Trial Balance'!A108&amp;"-"&amp;'Trial Balance'!B108</f>
        <v>1960-Miscellaneous Equipment</v>
      </c>
      <c r="B124" s="23">
        <f>'Trial Balance'!J108</f>
        <v>18079.15</v>
      </c>
    </row>
    <row r="125" spans="1:2" ht="15" customHeight="1">
      <c r="A125" s="32" t="str">
        <f>'Trial Balance'!A109&amp;"-"&amp;'Trial Balance'!B109</f>
        <v>1970-Load Management Controls - Customer Premises </v>
      </c>
      <c r="B125" s="23">
        <f>'Trial Balance'!J109</f>
        <v>403930.62</v>
      </c>
    </row>
    <row r="126" spans="1:2" ht="15" customHeight="1">
      <c r="A126" s="32" t="str">
        <f>'Trial Balance'!A110&amp;"-"&amp;'Trial Balance'!B110</f>
        <v>1975-Load Management Controls - Utility Premises</v>
      </c>
      <c r="B126" s="23">
        <f>'Trial Balance'!J110</f>
        <v>165151.45</v>
      </c>
    </row>
    <row r="127" spans="1:2" ht="15" customHeight="1">
      <c r="A127" s="32" t="str">
        <f>'Trial Balance'!A111&amp;"-"&amp;'Trial Balance'!B111</f>
        <v>1980-System Supervisory Equipment</v>
      </c>
      <c r="B127" s="23">
        <f>'Trial Balance'!J111</f>
        <v>1242249.3512707017</v>
      </c>
    </row>
    <row r="128" spans="1:2" ht="15" customHeight="1">
      <c r="A128" s="32" t="str">
        <f>'Trial Balance'!A112&amp;"-"&amp;'Trial Balance'!B112</f>
        <v>1985-Sentinel Lighting Rentals</v>
      </c>
      <c r="B128" s="23">
        <f>'Trial Balance'!J112</f>
        <v>0</v>
      </c>
    </row>
    <row r="129" spans="1:2" ht="15" customHeight="1">
      <c r="A129" s="32" t="str">
        <f>'Trial Balance'!A113&amp;"-"&amp;'Trial Balance'!B113</f>
        <v>1990-Other Tangible Property</v>
      </c>
      <c r="B129" s="23">
        <f>'Trial Balance'!J113</f>
        <v>53060.28</v>
      </c>
    </row>
    <row r="130" spans="1:2" ht="15" customHeight="1" thickBot="1">
      <c r="A130" s="32" t="str">
        <f>'Trial Balance'!A114&amp;"-"&amp;'Trial Balance'!B114</f>
        <v>1995-Contributions and Grants</v>
      </c>
      <c r="B130" s="23">
        <f>'Trial Balance'!J114</f>
        <v>-6364513.969163562</v>
      </c>
    </row>
    <row r="131" spans="1:2" ht="15" customHeight="1" thickBot="1">
      <c r="A131" s="36" t="s">
        <v>144</v>
      </c>
      <c r="B131" s="31">
        <f>SUM(B111:B130)</f>
        <v>3303342.622975257</v>
      </c>
    </row>
    <row r="132" spans="1:2" s="21" customFormat="1" ht="15" customHeight="1">
      <c r="A132" s="27"/>
      <c r="B132" s="12"/>
    </row>
    <row r="133" spans="1:2" s="21" customFormat="1" ht="15" customHeight="1">
      <c r="A133" s="432" t="s">
        <v>145</v>
      </c>
      <c r="B133" s="432"/>
    </row>
    <row r="134" spans="1:2" ht="15" customHeight="1">
      <c r="A134" s="32" t="str">
        <f>'Trial Balance'!A116&amp;"-"&amp;'Trial Balance'!B116</f>
        <v>2005-Property Under Capital Leases</v>
      </c>
      <c r="B134" s="23">
        <f>'Trial Balance'!J116</f>
        <v>0</v>
      </c>
    </row>
    <row r="135" spans="1:2" ht="15" customHeight="1">
      <c r="A135" s="32" t="str">
        <f>'Trial Balance'!A117&amp;"-"&amp;'Trial Balance'!B117</f>
        <v>2010-Electric Plant Purchased or Sold</v>
      </c>
      <c r="B135" s="23">
        <f>'Trial Balance'!J117</f>
        <v>0</v>
      </c>
    </row>
    <row r="136" spans="1:2" ht="15" customHeight="1">
      <c r="A136" s="32" t="str">
        <f>'Trial Balance'!A118&amp;"-"&amp;'Trial Balance'!B118</f>
        <v>2020-Experimental Electric Plant Unclassified</v>
      </c>
      <c r="B136" s="23">
        <f>'Trial Balance'!J118</f>
        <v>0</v>
      </c>
    </row>
    <row r="137" spans="1:2" ht="15" customHeight="1">
      <c r="A137" s="32" t="str">
        <f>'Trial Balance'!A119&amp;"-"&amp;'Trial Balance'!B119</f>
        <v>2030-Electric Plant and Equipment Leased to Others</v>
      </c>
      <c r="B137" s="23">
        <f>'Trial Balance'!J119</f>
        <v>0</v>
      </c>
    </row>
    <row r="138" spans="1:2" ht="15" customHeight="1">
      <c r="A138" s="32" t="str">
        <f>'Trial Balance'!A120&amp;"-"&amp;'Trial Balance'!B120</f>
        <v>2040-Electric Plant Held for Future Use</v>
      </c>
      <c r="B138" s="23">
        <f>'Trial Balance'!J120</f>
        <v>0</v>
      </c>
    </row>
    <row r="139" spans="1:2" ht="15" customHeight="1">
      <c r="A139" s="32" t="str">
        <f>'Trial Balance'!A121&amp;"-"&amp;'Trial Balance'!B121</f>
        <v>2050-Completed Construction Not Classified--Electric</v>
      </c>
      <c r="B139" s="23">
        <f>'Trial Balance'!J121</f>
        <v>0</v>
      </c>
    </row>
    <row r="140" spans="1:2" ht="15" customHeight="1">
      <c r="A140" s="32" t="str">
        <f>'Trial Balance'!A122&amp;"-"&amp;'Trial Balance'!B122</f>
        <v>2055-Construction Work in Progress--Electric</v>
      </c>
      <c r="B140" s="23">
        <f>'Trial Balance'!J122</f>
        <v>0</v>
      </c>
    </row>
    <row r="141" spans="1:2" ht="15" customHeight="1">
      <c r="A141" s="32" t="str">
        <f>'Trial Balance'!A123&amp;"-"&amp;'Trial Balance'!B123</f>
        <v>2060-Electric Plant Acquisition Adjustment</v>
      </c>
      <c r="B141" s="23">
        <f>'Trial Balance'!J123</f>
        <v>0</v>
      </c>
    </row>
    <row r="142" spans="1:2" ht="15" customHeight="1">
      <c r="A142" s="32" t="str">
        <f>'Trial Balance'!A124&amp;"-"&amp;'Trial Balance'!B124</f>
        <v>2065-Other Electric Plant Adjustment</v>
      </c>
      <c r="B142" s="23">
        <f>'Trial Balance'!J124</f>
        <v>0</v>
      </c>
    </row>
    <row r="143" spans="1:2" ht="15" customHeight="1">
      <c r="A143" s="32" t="str">
        <f>'Trial Balance'!A125&amp;"-"&amp;'Trial Balance'!B125</f>
        <v>2070-Other Utility Plant</v>
      </c>
      <c r="B143" s="23">
        <f>'Trial Balance'!J125</f>
        <v>0</v>
      </c>
    </row>
    <row r="144" spans="1:2" ht="15" customHeight="1" thickBot="1">
      <c r="A144" s="32" t="str">
        <f>'Trial Balance'!A126&amp;"-"&amp;'Trial Balance'!B126</f>
        <v>2075-Non-Utility Property Owned or Under Capital Lease</v>
      </c>
      <c r="B144" s="23">
        <f>'Trial Balance'!J126</f>
        <v>0</v>
      </c>
    </row>
    <row r="145" spans="1:2" ht="15" customHeight="1" thickBot="1">
      <c r="A145" s="36" t="s">
        <v>146</v>
      </c>
      <c r="B145" s="31">
        <f>SUM(B134:B144)</f>
        <v>0</v>
      </c>
    </row>
    <row r="146" spans="1:2" s="21" customFormat="1" ht="15" customHeight="1">
      <c r="A146" s="27"/>
      <c r="B146" s="12"/>
    </row>
    <row r="147" spans="1:2" s="21" customFormat="1" ht="15" customHeight="1">
      <c r="A147" s="432" t="s">
        <v>147</v>
      </c>
      <c r="B147" s="432"/>
    </row>
    <row r="148" spans="1:2" ht="15" customHeight="1">
      <c r="A148" s="32" t="str">
        <f>'Trial Balance'!A128&amp;"-"&amp;'Trial Balance'!B128</f>
        <v>2105-Accumulated Amortization of Electric Utility Plant - Property, Plant and Equipment</v>
      </c>
      <c r="B148" s="23">
        <f>'Trial Balance'!J128</f>
        <v>-46471073.75406902</v>
      </c>
    </row>
    <row r="149" spans="1:2" ht="15" customHeight="1">
      <c r="A149" s="32" t="str">
        <f>'Trial Balance'!A129&amp;"-"&amp;'Trial Balance'!B129</f>
        <v>2120-Accumulated Amortization of Electric Utility Plant - Intangibles</v>
      </c>
      <c r="B149" s="23">
        <f>'Trial Balance'!J129</f>
        <v>0</v>
      </c>
    </row>
    <row r="150" spans="1:2" ht="15" customHeight="1">
      <c r="A150" s="32" t="str">
        <f>'Trial Balance'!A130&amp;"-"&amp;'Trial Balance'!B130</f>
        <v>2140-Accumulated Amortization of Electric Plant Acquisition Adjustment</v>
      </c>
      <c r="B150" s="23">
        <f>'Trial Balance'!J130</f>
        <v>0</v>
      </c>
    </row>
    <row r="151" spans="1:2" ht="15" customHeight="1">
      <c r="A151" s="32" t="str">
        <f>'Trial Balance'!A131&amp;"-"&amp;'Trial Balance'!B131</f>
        <v>2160-Accumulated Amortization of Other Utility Plant</v>
      </c>
      <c r="B151" s="23">
        <f>'Trial Balance'!J131</f>
        <v>0</v>
      </c>
    </row>
    <row r="152" spans="1:2" ht="15" customHeight="1" thickBot="1">
      <c r="A152" s="32" t="str">
        <f>'Trial Balance'!A132&amp;"-"&amp;'Trial Balance'!B132</f>
        <v>2180-Accumulated Amortization of Non-Utility Property</v>
      </c>
      <c r="B152" s="23">
        <f>'Trial Balance'!J132</f>
        <v>0</v>
      </c>
    </row>
    <row r="153" spans="1:2" ht="15" customHeight="1" thickBot="1">
      <c r="A153" s="229" t="s">
        <v>151</v>
      </c>
      <c r="B153" s="228">
        <f>SUM(B148:B152)</f>
        <v>-46471073.75406902</v>
      </c>
    </row>
    <row r="154" spans="1:2" ht="15" customHeight="1" thickBot="1">
      <c r="A154" s="223"/>
      <c r="B154" s="12"/>
    </row>
    <row r="155" spans="1:2" ht="15" customHeight="1" thickBot="1">
      <c r="A155" s="224" t="s">
        <v>272</v>
      </c>
      <c r="B155" s="225">
        <f>B28+B35+B52+B57+B90+B108+B131+B145+B153</f>
        <v>60800786.31757412</v>
      </c>
    </row>
    <row r="156" spans="1:2" s="21" customFormat="1" ht="15" customHeight="1">
      <c r="A156" s="28"/>
      <c r="B156" s="12"/>
    </row>
    <row r="157" spans="1:2" s="21" customFormat="1" ht="15" customHeight="1">
      <c r="A157" s="432" t="s">
        <v>152</v>
      </c>
      <c r="B157" s="432"/>
    </row>
    <row r="158" spans="1:2" ht="15" customHeight="1">
      <c r="A158" s="32" t="str">
        <f>'Trial Balance'!A134&amp;"-"&amp;'Trial Balance'!B134</f>
        <v>2205-Accounts Payable</v>
      </c>
      <c r="B158" s="23">
        <f>-'Trial Balance'!J134</f>
        <v>5686353.453884772</v>
      </c>
    </row>
    <row r="159" spans="1:2" ht="15" customHeight="1">
      <c r="A159" s="32" t="str">
        <f>'Trial Balance'!A135&amp;"-"&amp;'Trial Balance'!B135</f>
        <v>2208-Customer Credit Balances</v>
      </c>
      <c r="B159" s="23">
        <f>-'Trial Balance'!J135</f>
        <v>952940.764738476</v>
      </c>
    </row>
    <row r="160" spans="1:2" ht="15" customHeight="1">
      <c r="A160" s="32" t="str">
        <f>'Trial Balance'!A136&amp;"-"&amp;'Trial Balance'!B136</f>
        <v>2210-Current Portion of Customer Deposits </v>
      </c>
      <c r="B160" s="23">
        <f>-'Trial Balance'!J136</f>
        <v>72364</v>
      </c>
    </row>
    <row r="161" spans="1:2" ht="15" customHeight="1">
      <c r="A161" s="32" t="str">
        <f>'Trial Balance'!A137&amp;"-"&amp;'Trial Balance'!B137</f>
        <v>2215-Dividends Declared</v>
      </c>
      <c r="B161" s="23">
        <f>-'Trial Balance'!J137</f>
        <v>0</v>
      </c>
    </row>
    <row r="162" spans="1:2" ht="15" customHeight="1">
      <c r="A162" s="32" t="str">
        <f>'Trial Balance'!A138&amp;"-"&amp;'Trial Balance'!B138</f>
        <v>2220-Miscellaneous Current and Accrued Liabilities</v>
      </c>
      <c r="B162" s="23">
        <f>-'Trial Balance'!J138</f>
        <v>1203885.0324007086</v>
      </c>
    </row>
    <row r="163" spans="1:2" ht="15" customHeight="1">
      <c r="A163" s="32" t="str">
        <f>'Trial Balance'!A139&amp;"-"&amp;'Trial Balance'!B139</f>
        <v>2225-Notes and Loans Payable</v>
      </c>
      <c r="B163" s="23">
        <f>-'Trial Balance'!J139</f>
        <v>0</v>
      </c>
    </row>
    <row r="164" spans="1:2" ht="15" customHeight="1">
      <c r="A164" s="32" t="str">
        <f>'Trial Balance'!A140&amp;"-"&amp;'Trial Balance'!B140</f>
        <v>2240-Accounts Payable to Associated Companies</v>
      </c>
      <c r="B164" s="23">
        <f>-'Trial Balance'!J140</f>
        <v>5000</v>
      </c>
    </row>
    <row r="165" spans="1:2" ht="15" customHeight="1">
      <c r="A165" s="32" t="str">
        <f>'Trial Balance'!A141&amp;"-"&amp;'Trial Balance'!B141</f>
        <v>2242-Notes Payable to Associated Companies</v>
      </c>
      <c r="B165" s="23">
        <f>-'Trial Balance'!J141</f>
        <v>0</v>
      </c>
    </row>
    <row r="166" spans="1:2" ht="15" customHeight="1">
      <c r="A166" s="32" t="str">
        <f>'Trial Balance'!A142&amp;"-"&amp;'Trial Balance'!B142</f>
        <v>2250-Competition Transition Charges Payable</v>
      </c>
      <c r="B166" s="23">
        <f>-'Trial Balance'!J142</f>
        <v>334261.76621591597</v>
      </c>
    </row>
    <row r="167" spans="1:2" ht="15" customHeight="1">
      <c r="A167" s="32" t="str">
        <f>'Trial Balance'!A143&amp;"-"&amp;'Trial Balance'!B143</f>
        <v>2252-Transmission Charges Payable</v>
      </c>
      <c r="B167" s="23">
        <f>-'Trial Balance'!J143</f>
        <v>0</v>
      </c>
    </row>
    <row r="168" spans="1:2" ht="15" customHeight="1">
      <c r="A168" s="32" t="str">
        <f>'Trial Balance'!A144&amp;"-"&amp;'Trial Balance'!B144</f>
        <v>2254-Electric Safety Authority Fees Payable</v>
      </c>
      <c r="B168" s="23">
        <f>-'Trial Balance'!J144</f>
        <v>0</v>
      </c>
    </row>
    <row r="169" spans="1:2" ht="15" customHeight="1">
      <c r="A169" s="32" t="str">
        <f>'Trial Balance'!A145&amp;"-"&amp;'Trial Balance'!B145</f>
        <v>2256-Independent Market Operator Fees and Penalties Payable</v>
      </c>
      <c r="B169" s="23">
        <f>-'Trial Balance'!J145</f>
        <v>0</v>
      </c>
    </row>
    <row r="170" spans="1:2" ht="15" customHeight="1">
      <c r="A170" s="32" t="str">
        <f>'Trial Balance'!A146&amp;"-"&amp;'Trial Balance'!B146</f>
        <v>2260-Current Portion of Long Term Debt</v>
      </c>
      <c r="B170" s="23">
        <f>-'Trial Balance'!J146</f>
        <v>492039.397296482</v>
      </c>
    </row>
    <row r="171" spans="1:2" ht="15" customHeight="1">
      <c r="A171" s="32" t="str">
        <f>'Trial Balance'!A147&amp;"-"&amp;'Trial Balance'!B147</f>
        <v>2262-Ontario Hydro Debt - Current Portion</v>
      </c>
      <c r="B171" s="23">
        <f>-'Trial Balance'!J147</f>
        <v>0</v>
      </c>
    </row>
    <row r="172" spans="1:2" ht="15" customHeight="1">
      <c r="A172" s="32" t="str">
        <f>'Trial Balance'!A148&amp;"-"&amp;'Trial Balance'!B148</f>
        <v>2264-Pensions and Employee Benefits - Current Portion</v>
      </c>
      <c r="B172" s="23">
        <f>-'Trial Balance'!J148</f>
        <v>0</v>
      </c>
    </row>
    <row r="173" spans="1:2" ht="15" customHeight="1">
      <c r="A173" s="32" t="str">
        <f>'Trial Balance'!A149&amp;"-"&amp;'Trial Balance'!B149</f>
        <v>2268-Accrued Interest on Long Term Debt</v>
      </c>
      <c r="B173" s="23">
        <f>-'Trial Balance'!J149</f>
        <v>0</v>
      </c>
    </row>
    <row r="174" spans="1:2" ht="15" customHeight="1">
      <c r="A174" s="32" t="str">
        <f>'Trial Balance'!A150&amp;"-"&amp;'Trial Balance'!B150</f>
        <v>2270-Matured Long Term Debt</v>
      </c>
      <c r="B174" s="23">
        <f>-'Trial Balance'!J150</f>
        <v>0</v>
      </c>
    </row>
    <row r="175" spans="1:2" ht="15" customHeight="1">
      <c r="A175" s="32" t="str">
        <f>'Trial Balance'!A151&amp;"-"&amp;'Trial Balance'!B151</f>
        <v>2272-Matured Interest on Long Term Debt</v>
      </c>
      <c r="B175" s="23">
        <f>-'Trial Balance'!J151</f>
        <v>0</v>
      </c>
    </row>
    <row r="176" spans="1:2" ht="15" customHeight="1">
      <c r="A176" s="32" t="str">
        <f>'Trial Balance'!A152&amp;"-"&amp;'Trial Balance'!B152</f>
        <v>2285-Obligations Under Capital Leases--Current</v>
      </c>
      <c r="B176" s="23">
        <f>-'Trial Balance'!J152</f>
        <v>0</v>
      </c>
    </row>
    <row r="177" spans="1:2" ht="15" customHeight="1">
      <c r="A177" s="32" t="str">
        <f>'Trial Balance'!A153&amp;"-"&amp;'Trial Balance'!B153</f>
        <v>2290-Commodity Taxes</v>
      </c>
      <c r="B177" s="23">
        <f>-'Trial Balance'!J153</f>
        <v>56098.75439978597</v>
      </c>
    </row>
    <row r="178" spans="1:2" ht="15" customHeight="1">
      <c r="A178" s="32" t="str">
        <f>'Trial Balance'!A154&amp;"-"&amp;'Trial Balance'!B154</f>
        <v>2292-Payroll Deductions / Expenses Payable</v>
      </c>
      <c r="B178" s="23">
        <f>-'Trial Balance'!J154</f>
        <v>424957.4426583635</v>
      </c>
    </row>
    <row r="179" spans="1:2" ht="15" customHeight="1">
      <c r="A179" s="32" t="str">
        <f>'Trial Balance'!A155&amp;"-"&amp;'Trial Balance'!B155</f>
        <v>2294-Accrual for Taxes, "Payments in Lieu" of Taxes, Etc.</v>
      </c>
      <c r="B179" s="23">
        <f>-'Trial Balance'!J155</f>
        <v>0</v>
      </c>
    </row>
    <row r="180" spans="1:2" ht="15" customHeight="1" thickBot="1">
      <c r="A180" s="32" t="str">
        <f>'Trial Balance'!A156&amp;"-"&amp;'Trial Balance'!B156</f>
        <v>2296-Future Income Taxes - Current</v>
      </c>
      <c r="B180" s="23">
        <f>-'Trial Balance'!J156</f>
        <v>0</v>
      </c>
    </row>
    <row r="181" spans="1:2" ht="15" customHeight="1" thickBot="1">
      <c r="A181" s="36" t="s">
        <v>540</v>
      </c>
      <c r="B181" s="31">
        <f>SUM(B158:B180)</f>
        <v>9227900.611594504</v>
      </c>
    </row>
    <row r="182" spans="1:2" s="21" customFormat="1" ht="15" customHeight="1">
      <c r="A182" s="27"/>
      <c r="B182" s="12"/>
    </row>
    <row r="183" spans="1:2" s="21" customFormat="1" ht="15" customHeight="1">
      <c r="A183" s="432" t="s">
        <v>541</v>
      </c>
      <c r="B183" s="432"/>
    </row>
    <row r="184" spans="1:2" ht="15" customHeight="1">
      <c r="A184" s="32" t="str">
        <f>'Trial Balance'!A158&amp;"-"&amp;'Trial Balance'!B158</f>
        <v>2305-Accumulated Provision for Injuries and Damages</v>
      </c>
      <c r="B184" s="23">
        <f>-'Trial Balance'!J158</f>
        <v>0</v>
      </c>
    </row>
    <row r="185" spans="1:2" ht="15" customHeight="1">
      <c r="A185" s="32" t="str">
        <f>'Trial Balance'!A159&amp;"-"&amp;'Trial Balance'!B159</f>
        <v>2306-Employee Future Benefits</v>
      </c>
      <c r="B185" s="23">
        <f>-'Trial Balance'!J159</f>
        <v>4523305</v>
      </c>
    </row>
    <row r="186" spans="1:2" ht="15" customHeight="1">
      <c r="A186" s="32" t="str">
        <f>'Trial Balance'!A160&amp;"-"&amp;'Trial Balance'!B160</f>
        <v>2308-Other Pensions - Past Service Liability</v>
      </c>
      <c r="B186" s="23">
        <f>-'Trial Balance'!J160</f>
        <v>0</v>
      </c>
    </row>
    <row r="187" spans="1:2" ht="15" customHeight="1">
      <c r="A187" s="32" t="str">
        <f>'Trial Balance'!A161&amp;"-"&amp;'Trial Balance'!B161</f>
        <v>2310-Vested Sick Leave Liability</v>
      </c>
      <c r="B187" s="23">
        <f>-'Trial Balance'!J161</f>
        <v>0</v>
      </c>
    </row>
    <row r="188" spans="1:2" ht="15" customHeight="1">
      <c r="A188" s="32" t="str">
        <f>'Trial Balance'!A162&amp;"-"&amp;'Trial Balance'!B162</f>
        <v>2315-Accumulated Provision for Rate Refunds</v>
      </c>
      <c r="B188" s="23">
        <f>-'Trial Balance'!J162</f>
        <v>0</v>
      </c>
    </row>
    <row r="189" spans="1:2" ht="15" customHeight="1">
      <c r="A189" s="32" t="str">
        <f>'Trial Balance'!A163&amp;"-"&amp;'Trial Balance'!B163</f>
        <v>2320-Other Miscellaneous Non-Current Liabilities</v>
      </c>
      <c r="B189" s="23">
        <f>-'Trial Balance'!J163</f>
        <v>0</v>
      </c>
    </row>
    <row r="190" spans="1:2" ht="15" customHeight="1">
      <c r="A190" s="32" t="str">
        <f>'Trial Balance'!A164&amp;"-"&amp;'Trial Balance'!B164</f>
        <v>2325-Obligations Under Capital Lease--Non-Current</v>
      </c>
      <c r="B190" s="23">
        <f>-'Trial Balance'!J164</f>
        <v>0</v>
      </c>
    </row>
    <row r="191" spans="1:2" ht="15" customHeight="1">
      <c r="A191" s="32" t="str">
        <f>'Trial Balance'!A165&amp;"-"&amp;'Trial Balance'!B165</f>
        <v>2330-Devolpment Charge Fund</v>
      </c>
      <c r="B191" s="23">
        <f>-'Trial Balance'!J165</f>
        <v>0</v>
      </c>
    </row>
    <row r="192" spans="1:2" ht="15" customHeight="1">
      <c r="A192" s="32" t="str">
        <f>'Trial Balance'!A166&amp;"-"&amp;'Trial Balance'!B166</f>
        <v>2335-Long Term Customer Deposits</v>
      </c>
      <c r="B192" s="23">
        <f>-'Trial Balance'!J166</f>
        <v>659328.88</v>
      </c>
    </row>
    <row r="193" spans="1:2" ht="15" customHeight="1">
      <c r="A193" s="32" t="str">
        <f>'Trial Balance'!A167&amp;"-"&amp;'Trial Balance'!B167</f>
        <v>2340-Collateral Funds Liability</v>
      </c>
      <c r="B193" s="23">
        <f>-'Trial Balance'!J167</f>
        <v>0</v>
      </c>
    </row>
    <row r="194" spans="1:2" ht="15" customHeight="1">
      <c r="A194" s="32" t="str">
        <f>'Trial Balance'!A168&amp;"-"&amp;'Trial Balance'!B168</f>
        <v>2345-Unamortized Premium on Long Term Debt</v>
      </c>
      <c r="B194" s="23">
        <f>-'Trial Balance'!J168</f>
        <v>0</v>
      </c>
    </row>
    <row r="195" spans="1:2" ht="15" customHeight="1">
      <c r="A195" s="32" t="str">
        <f>'Trial Balance'!A169&amp;"-"&amp;'Trial Balance'!B169</f>
        <v>2348-O.M.E.R.S. - Past Service Liability - Long Term Portion</v>
      </c>
      <c r="B195" s="23">
        <f>-'Trial Balance'!J169</f>
        <v>0</v>
      </c>
    </row>
    <row r="196" spans="1:2" ht="15" customHeight="1">
      <c r="A196" s="32" t="str">
        <f>'Trial Balance'!A170&amp;"-"&amp;'Trial Balance'!B170</f>
        <v>2350-Future Income Tax - Non-Current</v>
      </c>
      <c r="B196" s="23">
        <f>-'Trial Balance'!J170</f>
        <v>0</v>
      </c>
    </row>
    <row r="197" spans="1:2" ht="15" customHeight="1">
      <c r="A197" s="32" t="str">
        <f>'Trial Balance'!A172&amp;"-"&amp;'Trial Balance'!B172</f>
        <v>2405-Other Regulatory Liabilities</v>
      </c>
      <c r="B197" s="23">
        <f>-'Trial Balance'!J172</f>
        <v>-1150</v>
      </c>
    </row>
    <row r="198" spans="1:2" ht="15" customHeight="1">
      <c r="A198" s="32" t="str">
        <f>'Trial Balance'!A173&amp;"-"&amp;'Trial Balance'!B173</f>
        <v>2410-Deferred Gains From Disposition of Utility Plant</v>
      </c>
      <c r="B198" s="23">
        <f>-'Trial Balance'!J173</f>
        <v>0</v>
      </c>
    </row>
    <row r="199" spans="1:2" ht="15" customHeight="1">
      <c r="A199" s="32" t="str">
        <f>'Trial Balance'!A174&amp;"-"&amp;'Trial Balance'!B174</f>
        <v>2415-Unamortized Gain on Reacquired Debt</v>
      </c>
      <c r="B199" s="23">
        <f>-'Trial Balance'!J174</f>
        <v>0</v>
      </c>
    </row>
    <row r="200" spans="1:2" ht="15" customHeight="1">
      <c r="A200" s="32" t="str">
        <f>'Trial Balance'!A175&amp;"-"&amp;'Trial Balance'!B175</f>
        <v>2425-Other Deferred Credits</v>
      </c>
      <c r="B200" s="23">
        <f>-'Trial Balance'!J175</f>
        <v>0</v>
      </c>
    </row>
    <row r="201" spans="1:2" ht="15" customHeight="1" thickBot="1">
      <c r="A201" s="32" t="str">
        <f>'Trial Balance'!A176&amp;"-"&amp;'Trial Balance'!B176</f>
        <v>2435-Accrued Rate-Payer Benefit</v>
      </c>
      <c r="B201" s="23">
        <f>-'Trial Balance'!J176</f>
        <v>0</v>
      </c>
    </row>
    <row r="202" spans="1:2" ht="15" customHeight="1" thickBot="1">
      <c r="A202" s="36" t="s">
        <v>156</v>
      </c>
      <c r="B202" s="31">
        <f>SUM(B184:B201)</f>
        <v>5181483.88</v>
      </c>
    </row>
    <row r="203" spans="1:2" s="21" customFormat="1" ht="15" customHeight="1">
      <c r="A203" s="27"/>
      <c r="B203" s="12"/>
    </row>
    <row r="204" spans="1:2" s="21" customFormat="1" ht="15" customHeight="1">
      <c r="A204" s="432" t="s">
        <v>157</v>
      </c>
      <c r="B204" s="432"/>
    </row>
    <row r="205" spans="1:2" s="21" customFormat="1" ht="15" customHeight="1">
      <c r="A205" s="32" t="str">
        <f>'Trial Balance'!A178&amp;"-"&amp;'Trial Balance'!B178</f>
        <v>2505-Debentures Outstanding - Long Term Portion</v>
      </c>
      <c r="B205" s="23">
        <f>-'Trial Balance'!J178</f>
        <v>0</v>
      </c>
    </row>
    <row r="206" spans="1:2" s="21" customFormat="1" ht="15" customHeight="1">
      <c r="A206" s="32" t="str">
        <f>'Trial Balance'!A179&amp;"-"&amp;'Trial Balance'!B179</f>
        <v>2510-Debenture Advances</v>
      </c>
      <c r="B206" s="23">
        <f>-'Trial Balance'!J179</f>
        <v>0</v>
      </c>
    </row>
    <row r="207" spans="1:2" s="21" customFormat="1" ht="15" customHeight="1">
      <c r="A207" s="32" t="str">
        <f>'Trial Balance'!A180&amp;"-"&amp;'Trial Balance'!B180</f>
        <v>2515-Required Bonds</v>
      </c>
      <c r="B207" s="23">
        <f>-'Trial Balance'!J180</f>
        <v>0</v>
      </c>
    </row>
    <row r="208" spans="1:2" s="21" customFormat="1" ht="15" customHeight="1">
      <c r="A208" s="32" t="str">
        <f>'Trial Balance'!A181&amp;"-"&amp;'Trial Balance'!B181</f>
        <v>2520-Other Long Term Debt</v>
      </c>
      <c r="B208" s="23">
        <f>-'Trial Balance'!J181</f>
        <v>0</v>
      </c>
    </row>
    <row r="209" spans="1:2" s="21" customFormat="1" ht="15" customHeight="1">
      <c r="A209" s="32" t="str">
        <f>'Trial Balance'!A182&amp;"-"&amp;'Trial Balance'!B182</f>
        <v>2525-Term Bank Loans - Long Term Portion</v>
      </c>
      <c r="B209" s="23">
        <f>-'Trial Balance'!J182</f>
        <v>2919725.32270352</v>
      </c>
    </row>
    <row r="210" spans="1:2" s="21" customFormat="1" ht="15" customHeight="1">
      <c r="A210" s="32" t="str">
        <f>'Trial Balance'!A183&amp;"-"&amp;'Trial Balance'!B183</f>
        <v>2530-Ontario Hydro Debt Outstanding - Long Term Portion</v>
      </c>
      <c r="B210" s="23">
        <f>-'Trial Balance'!J183</f>
        <v>0</v>
      </c>
    </row>
    <row r="211" spans="1:2" ht="15" customHeight="1" thickBot="1">
      <c r="A211" s="32" t="str">
        <f>'Trial Balance'!A184&amp;"-"&amp;'Trial Balance'!B184</f>
        <v>2550-Advances from Associated Companies</v>
      </c>
      <c r="B211" s="23">
        <f>-'Trial Balance'!J184</f>
        <v>19511601</v>
      </c>
    </row>
    <row r="212" spans="1:2" ht="15" customHeight="1" thickBot="1">
      <c r="A212" s="36" t="s">
        <v>158</v>
      </c>
      <c r="B212" s="31">
        <f>SUM(B205:B211)</f>
        <v>22431326.322703518</v>
      </c>
    </row>
    <row r="213" spans="1:2" s="21" customFormat="1" ht="15" customHeight="1">
      <c r="A213" s="27"/>
      <c r="B213" s="12"/>
    </row>
    <row r="214" spans="1:2" s="21" customFormat="1" ht="15" customHeight="1">
      <c r="A214" s="432" t="s">
        <v>159</v>
      </c>
      <c r="B214" s="432"/>
    </row>
    <row r="215" spans="1:2" ht="15" customHeight="1">
      <c r="A215" s="32" t="str">
        <f>'Trial Balance'!A186&amp;"-"&amp;'Trial Balance'!B186</f>
        <v>3005-Common Shares Issued</v>
      </c>
      <c r="B215" s="23">
        <f>-'Trial Balance'!J186</f>
        <v>19511601</v>
      </c>
    </row>
    <row r="216" spans="1:2" ht="15" customHeight="1">
      <c r="A216" s="32" t="str">
        <f>'Trial Balance'!A187&amp;"-"&amp;'Trial Balance'!B187</f>
        <v>3008-Preference Shares Issued</v>
      </c>
      <c r="B216" s="23">
        <f>-'Trial Balance'!J187</f>
        <v>0</v>
      </c>
    </row>
    <row r="217" spans="1:2" ht="15" customHeight="1">
      <c r="A217" s="32" t="str">
        <f>'Trial Balance'!A188&amp;"-"&amp;'Trial Balance'!B188</f>
        <v>3010-Contributed Surplus</v>
      </c>
      <c r="B217" s="23">
        <f>-'Trial Balance'!J188</f>
        <v>0</v>
      </c>
    </row>
    <row r="218" spans="1:2" ht="15" customHeight="1">
      <c r="A218" s="32" t="str">
        <f>'Trial Balance'!A189&amp;"-"&amp;'Trial Balance'!B189</f>
        <v>3020-Donations Received</v>
      </c>
      <c r="B218" s="23">
        <f>-'Trial Balance'!J189</f>
        <v>0</v>
      </c>
    </row>
    <row r="219" spans="1:2" ht="15" customHeight="1">
      <c r="A219" s="32" t="str">
        <f>'Trial Balance'!A190&amp;"-"&amp;'Trial Balance'!B190</f>
        <v>3022-Devolpment Charges Transferred to Equity</v>
      </c>
      <c r="B219" s="23">
        <f>-'Trial Balance'!J190</f>
        <v>0</v>
      </c>
    </row>
    <row r="220" spans="1:2" ht="15" customHeight="1">
      <c r="A220" s="32" t="str">
        <f>'Trial Balance'!A191&amp;"-"&amp;'Trial Balance'!B191</f>
        <v>3026-Capital Stock Held in Treasury</v>
      </c>
      <c r="B220" s="23">
        <f>-'Trial Balance'!J191</f>
        <v>0</v>
      </c>
    </row>
    <row r="221" spans="1:2" ht="15" customHeight="1">
      <c r="A221" s="32" t="str">
        <f>'Trial Balance'!A192&amp;"-"&amp;'Trial Balance'!B192</f>
        <v>3030-Miscellaneous Paid-In Capital</v>
      </c>
      <c r="B221" s="23">
        <f>-'Trial Balance'!J192</f>
        <v>0</v>
      </c>
    </row>
    <row r="222" spans="1:2" ht="15" customHeight="1">
      <c r="A222" s="32" t="str">
        <f>'Trial Balance'!A193&amp;"-"&amp;'Trial Balance'!B193</f>
        <v>3035-Installments Received on Capital Stock</v>
      </c>
      <c r="B222" s="23">
        <f>-'Trial Balance'!J193</f>
        <v>0</v>
      </c>
    </row>
    <row r="223" spans="1:2" ht="15" customHeight="1">
      <c r="A223" s="32" t="str">
        <f>'Trial Balance'!A194&amp;"-"&amp;'Trial Balance'!B194</f>
        <v>3040-Appropriated Retained Earnings</v>
      </c>
      <c r="B223" s="23">
        <f>-'Trial Balance'!J194</f>
        <v>0</v>
      </c>
    </row>
    <row r="224" spans="1:2" ht="15" customHeight="1">
      <c r="A224" s="32" t="str">
        <f>'Trial Balance'!A195&amp;"-"&amp;'Trial Balance'!B195</f>
        <v>3045-Unappropriated Retained Earnings</v>
      </c>
      <c r="B224" s="23">
        <f>-'Trial Balance'!J195</f>
        <v>6250406</v>
      </c>
    </row>
    <row r="225" spans="1:3" ht="15" customHeight="1">
      <c r="A225" s="32" t="s">
        <v>563</v>
      </c>
      <c r="B225" s="320">
        <f>-'2009 Income Statement'!B215</f>
        <v>-468981.4922398182</v>
      </c>
      <c r="C225" t="s">
        <v>544</v>
      </c>
    </row>
    <row r="226" spans="1:2" ht="15" customHeight="1">
      <c r="A226" s="32" t="str">
        <f>'Trial Balance'!A197&amp;"-"&amp;'Trial Balance'!B197</f>
        <v>3047-Appropriations of Retained Earnings - Current Period</v>
      </c>
      <c r="B226" s="23">
        <f>-'Trial Balance'!J197</f>
        <v>0</v>
      </c>
    </row>
    <row r="227" spans="1:2" ht="15" customHeight="1">
      <c r="A227" s="32" t="str">
        <f>'Trial Balance'!A198&amp;"-"&amp;'Trial Balance'!B198</f>
        <v>3048-Dividends Payable-Preference Shares</v>
      </c>
      <c r="B227" s="23">
        <f>-'Trial Balance'!J198</f>
        <v>0</v>
      </c>
    </row>
    <row r="228" spans="1:2" ht="15" customHeight="1">
      <c r="A228" s="32" t="str">
        <f>'Trial Balance'!A199&amp;"-"&amp;'Trial Balance'!B199</f>
        <v>3049-Dividends Payable-Common Shares</v>
      </c>
      <c r="B228" s="23">
        <f>-'Trial Balance'!J199</f>
        <v>-1332950</v>
      </c>
    </row>
    <row r="229" spans="1:2" ht="15" customHeight="1">
      <c r="A229" s="32" t="str">
        <f>'Trial Balance'!A200&amp;"-"&amp;'Trial Balance'!B200</f>
        <v>3055-Adjustment to Retained Earnings                 </v>
      </c>
      <c r="B229" s="23">
        <f>-'Trial Balance'!J200</f>
        <v>0</v>
      </c>
    </row>
    <row r="230" spans="1:2" ht="15" customHeight="1" thickBot="1">
      <c r="A230" s="32" t="str">
        <f>'Trial Balance'!A201&amp;"-"&amp;'Trial Balance'!B201</f>
        <v>3065-Unappropriated Undistributed Subsidiary Earnings</v>
      </c>
      <c r="B230" s="23">
        <f>-'Trial Balance'!J201</f>
        <v>0</v>
      </c>
    </row>
    <row r="231" spans="1:2" ht="15" customHeight="1" thickBot="1">
      <c r="A231" s="34" t="s">
        <v>564</v>
      </c>
      <c r="B231" s="31">
        <f>SUM(B215:B230)</f>
        <v>23960075.507760182</v>
      </c>
    </row>
    <row r="232" spans="1:2" s="13" customFormat="1" ht="15" customHeight="1">
      <c r="A232" s="28"/>
      <c r="B232" s="12"/>
    </row>
    <row r="233" spans="1:2" s="13" customFormat="1" ht="15" customHeight="1">
      <c r="A233" s="226" t="s">
        <v>282</v>
      </c>
      <c r="B233" s="227">
        <f>B181+B202+B212+B231</f>
        <v>60800786.3220582</v>
      </c>
    </row>
    <row r="234" spans="1:2" s="13" customFormat="1" ht="15" customHeight="1" thickBot="1">
      <c r="A234" s="28"/>
      <c r="B234" s="12"/>
    </row>
    <row r="235" spans="1:2" ht="15" customHeight="1" thickBot="1">
      <c r="A235" s="37" t="s">
        <v>281</v>
      </c>
      <c r="B235" s="254">
        <f>B155-B233</f>
        <v>-0.0044840797781944275</v>
      </c>
    </row>
    <row r="236" spans="1:2" ht="15">
      <c r="A236" s="29"/>
      <c r="B236" s="10"/>
    </row>
    <row r="237" spans="1:2" ht="15">
      <c r="A237" s="29"/>
      <c r="B237" s="316"/>
    </row>
    <row r="238" spans="1:2" ht="15">
      <c r="A238" s="29"/>
      <c r="B238" s="10"/>
    </row>
    <row r="239" spans="1:2" ht="15">
      <c r="A239" s="29"/>
      <c r="B239" s="10"/>
    </row>
    <row r="240" spans="1:2" ht="15">
      <c r="A240" s="29"/>
      <c r="B240" s="10"/>
    </row>
    <row r="241" spans="1:2" ht="15">
      <c r="A241" s="29"/>
      <c r="B241" s="10"/>
    </row>
    <row r="242" spans="1:2" ht="15">
      <c r="A242" s="29"/>
      <c r="B242" s="10"/>
    </row>
    <row r="243" spans="1:2" ht="15">
      <c r="A243" s="29"/>
      <c r="B243" s="10"/>
    </row>
    <row r="244" spans="1:2" ht="15">
      <c r="A244" s="29"/>
      <c r="B244" s="10"/>
    </row>
    <row r="245" spans="1:2" ht="15">
      <c r="A245" s="29"/>
      <c r="B245" s="10"/>
    </row>
    <row r="246" spans="1:2" ht="15">
      <c r="A246" s="29"/>
      <c r="B246" s="10"/>
    </row>
    <row r="247" spans="1:2" ht="15">
      <c r="A247" s="29"/>
      <c r="B247" s="10"/>
    </row>
    <row r="248" spans="1:2" ht="15">
      <c r="A248" s="29"/>
      <c r="B248" s="10"/>
    </row>
    <row r="249" spans="1:2" ht="15">
      <c r="A249" s="29"/>
      <c r="B249" s="10"/>
    </row>
    <row r="250" spans="1:2" ht="15">
      <c r="A250" s="29"/>
      <c r="B250" s="10"/>
    </row>
    <row r="251" spans="1:2" ht="15">
      <c r="A251" s="29"/>
      <c r="B251" s="10"/>
    </row>
    <row r="252" spans="1:2" ht="15">
      <c r="A252" s="29"/>
      <c r="B252" s="10"/>
    </row>
    <row r="253" spans="1:2" ht="15">
      <c r="A253" s="29"/>
      <c r="B253" s="10"/>
    </row>
    <row r="254" spans="1:2" ht="15">
      <c r="A254" s="29"/>
      <c r="B254" s="10"/>
    </row>
    <row r="255" spans="1:2" ht="15">
      <c r="A255" s="29"/>
      <c r="B255" s="10"/>
    </row>
    <row r="256" spans="1:2" ht="15">
      <c r="A256" s="29"/>
      <c r="B256" s="10"/>
    </row>
    <row r="257" spans="1:2" ht="15">
      <c r="A257" s="29"/>
      <c r="B257" s="10"/>
    </row>
    <row r="258" spans="1:2" ht="15">
      <c r="A258" s="29"/>
      <c r="B258" s="10"/>
    </row>
    <row r="259" spans="1:2" ht="15">
      <c r="A259" s="29"/>
      <c r="B259" s="10"/>
    </row>
    <row r="260" spans="1:2" ht="15">
      <c r="A260" s="29"/>
      <c r="B260" s="10"/>
    </row>
    <row r="261" spans="1:2" ht="15">
      <c r="A261" s="29"/>
      <c r="B261" s="10"/>
    </row>
    <row r="262" spans="1:2" ht="15">
      <c r="A262" s="29"/>
      <c r="B262" s="10"/>
    </row>
    <row r="263" spans="1:2" ht="15">
      <c r="A263" s="29"/>
      <c r="B263" s="10"/>
    </row>
    <row r="264" spans="1:2" ht="15">
      <c r="A264" s="29"/>
      <c r="B264" s="10"/>
    </row>
    <row r="265" spans="1:2" ht="15">
      <c r="A265" s="29"/>
      <c r="B265" s="10"/>
    </row>
    <row r="266" spans="1:2" ht="15">
      <c r="A266" s="29"/>
      <c r="B266" s="10"/>
    </row>
    <row r="267" spans="1:2" ht="15">
      <c r="A267" s="29"/>
      <c r="B267" s="10"/>
    </row>
    <row r="268" spans="1:2" ht="15">
      <c r="A268" s="29"/>
      <c r="B268" s="10"/>
    </row>
    <row r="269" spans="1:2" ht="15">
      <c r="A269" s="29"/>
      <c r="B269" s="10"/>
    </row>
    <row r="270" spans="1:2" ht="15">
      <c r="A270" s="29"/>
      <c r="B270" s="10"/>
    </row>
    <row r="271" spans="1:2" ht="15">
      <c r="A271" s="29"/>
      <c r="B271" s="10"/>
    </row>
    <row r="272" spans="1:2" ht="15">
      <c r="A272" s="29"/>
      <c r="B272" s="10"/>
    </row>
    <row r="273" spans="1:2" ht="15">
      <c r="A273" s="29"/>
      <c r="B273" s="10"/>
    </row>
    <row r="274" spans="1:2" ht="15">
      <c r="A274" s="29"/>
      <c r="B274" s="10"/>
    </row>
    <row r="275" spans="1:2" ht="15">
      <c r="A275" s="29"/>
      <c r="B275" s="10"/>
    </row>
    <row r="276" spans="1:2" ht="15">
      <c r="A276" s="29"/>
      <c r="B276" s="10"/>
    </row>
    <row r="277" spans="1:2" ht="15">
      <c r="A277" s="29"/>
      <c r="B277" s="10"/>
    </row>
    <row r="278" spans="1:2" ht="15">
      <c r="A278" s="29"/>
      <c r="B278" s="10"/>
    </row>
    <row r="279" spans="1:2" ht="15">
      <c r="A279" s="29"/>
      <c r="B279" s="10"/>
    </row>
    <row r="280" spans="1:2" ht="15">
      <c r="A280" s="29"/>
      <c r="B280" s="10"/>
    </row>
    <row r="281" spans="1:2" ht="15">
      <c r="A281" s="29"/>
      <c r="B281" s="10"/>
    </row>
    <row r="282" spans="1:2" ht="15">
      <c r="A282" s="29"/>
      <c r="B282" s="10"/>
    </row>
    <row r="283" spans="1:2" ht="15">
      <c r="A283" s="29"/>
      <c r="B283" s="10"/>
    </row>
    <row r="284" spans="1:2" ht="15">
      <c r="A284" s="29"/>
      <c r="B284" s="10"/>
    </row>
    <row r="285" spans="1:2" ht="15">
      <c r="A285" s="29"/>
      <c r="B285" s="10"/>
    </row>
    <row r="286" spans="1:2" ht="15">
      <c r="A286" s="29"/>
      <c r="B286" s="10"/>
    </row>
    <row r="287" spans="1:2" ht="15">
      <c r="A287" s="29"/>
      <c r="B287" s="10"/>
    </row>
    <row r="288" spans="1:2" ht="15">
      <c r="A288" s="29"/>
      <c r="B288" s="10"/>
    </row>
    <row r="289" spans="1:2" ht="15">
      <c r="A289" s="29"/>
      <c r="B289" s="10"/>
    </row>
    <row r="290" spans="1:2" ht="15">
      <c r="A290" s="29"/>
      <c r="B290" s="10"/>
    </row>
    <row r="291" spans="1:2" ht="15">
      <c r="A291" s="29"/>
      <c r="B291" s="10"/>
    </row>
    <row r="292" spans="1:2" ht="15">
      <c r="A292" s="29"/>
      <c r="B292" s="10"/>
    </row>
    <row r="293" spans="1:2" ht="15">
      <c r="A293" s="29"/>
      <c r="B293" s="10"/>
    </row>
    <row r="294" spans="1:2" ht="15">
      <c r="A294" s="29"/>
      <c r="B294" s="10"/>
    </row>
    <row r="295" spans="1:2" ht="15">
      <c r="A295" s="29"/>
      <c r="B295" s="10"/>
    </row>
    <row r="296" spans="1:2" ht="15">
      <c r="A296" s="29"/>
      <c r="B296" s="10"/>
    </row>
    <row r="297" spans="1:2" ht="15">
      <c r="A297" s="29"/>
      <c r="B297" s="10"/>
    </row>
    <row r="298" spans="1:2" ht="15">
      <c r="A298" s="29"/>
      <c r="B298" s="10"/>
    </row>
    <row r="299" spans="1:2" ht="15">
      <c r="A299" s="29"/>
      <c r="B299" s="10"/>
    </row>
    <row r="300" spans="1:2" ht="15">
      <c r="A300" s="29"/>
      <c r="B300" s="10"/>
    </row>
    <row r="301" spans="1:2" ht="15">
      <c r="A301" s="29"/>
      <c r="B301" s="10"/>
    </row>
    <row r="302" spans="1:2" ht="15">
      <c r="A302" s="29"/>
      <c r="B302" s="10"/>
    </row>
    <row r="303" spans="1:2" ht="15">
      <c r="A303" s="29"/>
      <c r="B303" s="10"/>
    </row>
    <row r="304" spans="1:2" ht="15">
      <c r="A304" s="29"/>
      <c r="B304" s="10"/>
    </row>
    <row r="305" spans="1:2" ht="15">
      <c r="A305" s="29"/>
      <c r="B305" s="10"/>
    </row>
    <row r="306" spans="1:2" ht="15">
      <c r="A306" s="29"/>
      <c r="B306" s="10"/>
    </row>
    <row r="307" spans="1:2" ht="15">
      <c r="A307" s="29"/>
      <c r="B307" s="10"/>
    </row>
    <row r="308" spans="1:2" ht="15">
      <c r="A308" s="29"/>
      <c r="B308" s="10"/>
    </row>
    <row r="309" spans="1:2" ht="15">
      <c r="A309" s="29"/>
      <c r="B309" s="10"/>
    </row>
    <row r="310" spans="1:2" ht="15">
      <c r="A310" s="29"/>
      <c r="B310" s="10"/>
    </row>
    <row r="311" spans="1:2" ht="15">
      <c r="A311" s="29"/>
      <c r="B311" s="10"/>
    </row>
    <row r="312" spans="1:2" ht="15">
      <c r="A312" s="29"/>
      <c r="B312" s="10"/>
    </row>
    <row r="313" spans="1:2" ht="15">
      <c r="A313" s="29"/>
      <c r="B313" s="10"/>
    </row>
    <row r="314" spans="1:2" ht="15">
      <c r="A314" s="29"/>
      <c r="B314" s="10"/>
    </row>
    <row r="315" spans="1:2" ht="15">
      <c r="A315" s="29"/>
      <c r="B315" s="10"/>
    </row>
    <row r="316" spans="1:2" ht="15">
      <c r="A316" s="29"/>
      <c r="B316" s="10"/>
    </row>
    <row r="317" spans="1:2" ht="15">
      <c r="A317" s="29"/>
      <c r="B317" s="10"/>
    </row>
    <row r="318" spans="1:2" ht="15">
      <c r="A318" s="29"/>
      <c r="B318" s="10"/>
    </row>
    <row r="319" spans="1:2" ht="15">
      <c r="A319" s="29"/>
      <c r="B319" s="10"/>
    </row>
    <row r="320" spans="1:2" ht="15">
      <c r="A320" s="29"/>
      <c r="B320" s="10"/>
    </row>
    <row r="321" spans="1:2" ht="15">
      <c r="A321" s="29"/>
      <c r="B321" s="10"/>
    </row>
    <row r="322" spans="1:2" ht="15">
      <c r="A322" s="29"/>
      <c r="B322" s="10"/>
    </row>
    <row r="323" spans="1:2" ht="15">
      <c r="A323" s="29"/>
      <c r="B323" s="10"/>
    </row>
    <row r="324" spans="1:2" ht="15">
      <c r="A324" s="29"/>
      <c r="B324" s="10"/>
    </row>
    <row r="325" spans="1:2" ht="15">
      <c r="A325" s="29"/>
      <c r="B325" s="10"/>
    </row>
    <row r="326" spans="1:2" ht="15">
      <c r="A326" s="29"/>
      <c r="B326" s="10"/>
    </row>
    <row r="327" spans="1:2" ht="15">
      <c r="A327" s="29"/>
      <c r="B327" s="10"/>
    </row>
    <row r="328" spans="1:2" ht="15">
      <c r="A328" s="29"/>
      <c r="B328" s="10"/>
    </row>
    <row r="329" spans="1:2" ht="15">
      <c r="A329" s="29"/>
      <c r="B329" s="10"/>
    </row>
    <row r="330" spans="1:2" ht="15">
      <c r="A330" s="29"/>
      <c r="B330" s="10"/>
    </row>
    <row r="331" spans="1:2" ht="15">
      <c r="A331" s="29"/>
      <c r="B331" s="10"/>
    </row>
    <row r="332" spans="1:2" ht="15">
      <c r="A332" s="29"/>
      <c r="B332" s="10"/>
    </row>
    <row r="333" spans="1:2" ht="15">
      <c r="A333" s="29"/>
      <c r="B333" s="10"/>
    </row>
    <row r="334" spans="1:2" ht="15">
      <c r="A334" s="29"/>
      <c r="B334" s="10"/>
    </row>
    <row r="335" spans="1:2" ht="15">
      <c r="A335" s="29"/>
      <c r="B335" s="10"/>
    </row>
    <row r="336" spans="1:2" ht="15">
      <c r="A336" s="29"/>
      <c r="B336" s="10"/>
    </row>
    <row r="337" spans="1:2" ht="15">
      <c r="A337" s="29"/>
      <c r="B337" s="10"/>
    </row>
    <row r="338" spans="1:2" ht="15">
      <c r="A338" s="29"/>
      <c r="B338" s="10"/>
    </row>
    <row r="339" spans="1:2" ht="15">
      <c r="A339" s="29"/>
      <c r="B339" s="10"/>
    </row>
    <row r="340" spans="1:2" ht="15">
      <c r="A340" s="29"/>
      <c r="B340" s="10"/>
    </row>
    <row r="341" spans="1:2" ht="15">
      <c r="A341" s="29"/>
      <c r="B341" s="10"/>
    </row>
    <row r="342" spans="1:2" ht="15">
      <c r="A342" s="29"/>
      <c r="B342" s="10"/>
    </row>
    <row r="343" spans="1:2" ht="15">
      <c r="A343" s="29"/>
      <c r="B343" s="10"/>
    </row>
    <row r="344" spans="1:2" ht="15">
      <c r="A344" s="29"/>
      <c r="B344" s="10"/>
    </row>
    <row r="345" spans="1:2" ht="15">
      <c r="A345" s="29"/>
      <c r="B345" s="10"/>
    </row>
    <row r="346" spans="1:2" ht="15">
      <c r="A346" s="29"/>
      <c r="B346" s="10"/>
    </row>
    <row r="347" spans="1:2" ht="15">
      <c r="A347" s="29"/>
      <c r="B347" s="10"/>
    </row>
    <row r="348" spans="1:2" ht="15">
      <c r="A348" s="29"/>
      <c r="B348" s="10"/>
    </row>
    <row r="349" spans="1:2" ht="15">
      <c r="A349" s="29"/>
      <c r="B349" s="10"/>
    </row>
    <row r="350" spans="1:2" ht="15">
      <c r="A350" s="29"/>
      <c r="B350" s="10"/>
    </row>
    <row r="351" spans="1:2" ht="15">
      <c r="A351" s="29"/>
      <c r="B351" s="10"/>
    </row>
    <row r="352" spans="1:2" ht="15">
      <c r="A352" s="29"/>
      <c r="B352" s="10"/>
    </row>
    <row r="353" spans="1:2" ht="15">
      <c r="A353" s="29"/>
      <c r="B353" s="10"/>
    </row>
    <row r="354" spans="1:2" ht="15">
      <c r="A354" s="29"/>
      <c r="B354" s="10"/>
    </row>
  </sheetData>
  <mergeCells count="18">
    <mergeCell ref="A30:B30"/>
    <mergeCell ref="A1:B1"/>
    <mergeCell ref="A2:B2"/>
    <mergeCell ref="A37:B37"/>
    <mergeCell ref="A3:B3"/>
    <mergeCell ref="A4:B4"/>
    <mergeCell ref="A6:B6"/>
    <mergeCell ref="A29:B29"/>
    <mergeCell ref="A54:B54"/>
    <mergeCell ref="A214:B214"/>
    <mergeCell ref="A147:B147"/>
    <mergeCell ref="A157:B157"/>
    <mergeCell ref="A183:B183"/>
    <mergeCell ref="A204:B204"/>
    <mergeCell ref="A59:B59"/>
    <mergeCell ref="A92:B92"/>
    <mergeCell ref="A110:B110"/>
    <mergeCell ref="A133:B133"/>
  </mergeCells>
  <printOptions/>
  <pageMargins left="0.4724409448818898" right="0.7480314960629921" top="0.984251968503937" bottom="0.984251968503937" header="0.5118110236220472" footer="0.5118110236220472"/>
  <pageSetup fitToHeight="5" horizontalDpi="355" verticalDpi="355" orientation="portrait" scale="77" r:id="rId1"/>
  <headerFooter alignWithMargins="0">
    <oddFooter>&amp;L&amp;A</oddFooter>
  </headerFooter>
  <rowBreaks count="4" manualBreakCount="4">
    <brk id="58" max="255" man="1"/>
    <brk id="109" max="255" man="1"/>
    <brk id="156" max="255" man="1"/>
    <brk id="20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331"/>
  <sheetViews>
    <sheetView workbookViewId="0" topLeftCell="A1">
      <selection activeCell="A1" sqref="A1:B1"/>
    </sheetView>
  </sheetViews>
  <sheetFormatPr defaultColWidth="9.140625" defaultRowHeight="12.75"/>
  <cols>
    <col min="1" max="1" width="72.28125" style="0" customWidth="1"/>
    <col min="2" max="2" width="21.8515625" style="0" customWidth="1"/>
    <col min="5" max="5" width="3.57421875" style="0" customWidth="1"/>
    <col min="6" max="6" width="2.421875" style="0" customWidth="1"/>
    <col min="7" max="7" width="14.57421875" style="0" bestFit="1" customWidth="1"/>
  </cols>
  <sheetData>
    <row r="1" spans="1:2" ht="12.75">
      <c r="A1" s="441" t="str">
        <f>'Trial Balance'!A1:J1</f>
        <v>North Bay Hydro Distribution Ltd.</v>
      </c>
      <c r="B1" s="441"/>
    </row>
    <row r="2" spans="1:2" ht="12.75">
      <c r="A2" s="441" t="str">
        <f>'Trial Balance'!A2:J2</f>
        <v>License Number ED-2003-0024, File Number EB-2009-0270</v>
      </c>
      <c r="B2" s="441"/>
    </row>
    <row r="3" spans="1:2" s="25" customFormat="1" ht="15.75">
      <c r="A3" s="433" t="str">
        <f>Notes!B4</f>
        <v>North Bay Hydro Distribution Ltd.</v>
      </c>
      <c r="B3" s="433"/>
    </row>
    <row r="4" spans="1:2" s="25" customFormat="1" ht="15.75">
      <c r="A4" s="427" t="s">
        <v>208</v>
      </c>
      <c r="B4" s="427"/>
    </row>
    <row r="5" spans="1:2" ht="15" customHeight="1">
      <c r="A5" s="72" t="s">
        <v>545</v>
      </c>
      <c r="B5" s="72" t="s">
        <v>153</v>
      </c>
    </row>
    <row r="6" spans="1:2" ht="15" customHeight="1">
      <c r="A6" s="428" t="s">
        <v>141</v>
      </c>
      <c r="B6" s="428"/>
    </row>
    <row r="7" spans="1:7" ht="15" customHeight="1">
      <c r="A7" s="32" t="str">
        <f>'Trial Balance'!A203&amp;"-"&amp;'Trial Balance'!B203</f>
        <v>4006-Residential Energy Sales</v>
      </c>
      <c r="B7" s="23">
        <f>'Trial Balance'!J203</f>
        <v>-11473276.6988187</v>
      </c>
      <c r="D7" s="14"/>
      <c r="E7" s="15"/>
      <c r="F7" s="16"/>
      <c r="G7" s="18"/>
    </row>
    <row r="8" spans="1:7" ht="15" customHeight="1">
      <c r="A8" s="32" t="str">
        <f>'Trial Balance'!A204&amp;"-"&amp;'Trial Balance'!B204</f>
        <v>4010-Commercial Energy Sales</v>
      </c>
      <c r="B8" s="23">
        <f>'Trial Balance'!J204</f>
        <v>-4780971.143967383</v>
      </c>
      <c r="D8" s="14"/>
      <c r="E8" s="15"/>
      <c r="F8" s="16"/>
      <c r="G8" s="18"/>
    </row>
    <row r="9" spans="1:7" ht="15" customHeight="1">
      <c r="A9" s="32" t="str">
        <f>'Trial Balance'!A205&amp;"-"&amp;'Trial Balance'!B205</f>
        <v>4015-Industrial Energy Sales</v>
      </c>
      <c r="B9" s="23">
        <f>'Trial Balance'!J205</f>
        <v>0</v>
      </c>
      <c r="D9" s="14"/>
      <c r="E9" s="15"/>
      <c r="F9" s="16"/>
      <c r="G9" s="18"/>
    </row>
    <row r="10" spans="1:7" ht="15" customHeight="1">
      <c r="A10" s="32" t="str">
        <f>'Trial Balance'!A206&amp;"-"&amp;'Trial Balance'!B206</f>
        <v>4020-Energy Sales to Large Users</v>
      </c>
      <c r="B10" s="23">
        <f>'Trial Balance'!J206</f>
        <v>0</v>
      </c>
      <c r="D10" s="14"/>
      <c r="E10" s="15"/>
      <c r="F10" s="16"/>
      <c r="G10" s="18"/>
    </row>
    <row r="11" spans="1:7" ht="15" customHeight="1">
      <c r="A11" s="32" t="str">
        <f>'Trial Balance'!A207&amp;"-"&amp;'Trial Balance'!B207</f>
        <v>4025-Street Lighting Energy Sales</v>
      </c>
      <c r="B11" s="23">
        <f>'Trial Balance'!J207</f>
        <v>-154765.3023248017</v>
      </c>
      <c r="D11" s="14"/>
      <c r="E11" s="15"/>
      <c r="F11" s="16"/>
      <c r="G11" s="18"/>
    </row>
    <row r="12" spans="1:7" ht="15" customHeight="1">
      <c r="A12" s="32" t="str">
        <f>'Trial Balance'!A208&amp;"-"&amp;'Trial Balance'!B208</f>
        <v>4030-Sentinel Energy Sales</v>
      </c>
      <c r="B12" s="23">
        <f>'Trial Balance'!J208</f>
        <v>-31031.96179368115</v>
      </c>
      <c r="D12" s="14"/>
      <c r="E12" s="15"/>
      <c r="F12" s="16"/>
      <c r="G12" s="18"/>
    </row>
    <row r="13" spans="1:7" ht="15" customHeight="1">
      <c r="A13" s="32" t="str">
        <f>'Trial Balance'!A209&amp;"-"&amp;'Trial Balance'!B209</f>
        <v>4035-General Energy Sales</v>
      </c>
      <c r="B13" s="23">
        <f>'Trial Balance'!J209</f>
        <v>-11852264.089735914</v>
      </c>
      <c r="D13" s="14"/>
      <c r="E13" s="15"/>
      <c r="F13" s="16"/>
      <c r="G13" s="18"/>
    </row>
    <row r="14" spans="1:7" ht="15" customHeight="1">
      <c r="A14" s="32" t="str">
        <f>'Trial Balance'!A210&amp;"-"&amp;'Trial Balance'!B210</f>
        <v>4040-Other Energy Sales to Public Authorities</v>
      </c>
      <c r="B14" s="23">
        <f>'Trial Balance'!J210</f>
        <v>0</v>
      </c>
      <c r="D14" s="14"/>
      <c r="E14" s="15"/>
      <c r="F14" s="16"/>
      <c r="G14" s="18"/>
    </row>
    <row r="15" spans="1:7" ht="15" customHeight="1">
      <c r="A15" s="32" t="str">
        <f>'Trial Balance'!A211&amp;"-"&amp;'Trial Balance'!B211</f>
        <v>4045-Energy Sales to Railroads and Railways</v>
      </c>
      <c r="B15" s="23">
        <f>'Trial Balance'!J211</f>
        <v>0</v>
      </c>
      <c r="D15" s="14"/>
      <c r="E15" s="15"/>
      <c r="F15" s="16"/>
      <c r="G15" s="18"/>
    </row>
    <row r="16" spans="1:7" ht="15" customHeight="1">
      <c r="A16" s="32" t="str">
        <f>'Trial Balance'!A212&amp;"-"&amp;'Trial Balance'!B212</f>
        <v>4050-Revenue Adjustment</v>
      </c>
      <c r="B16" s="23">
        <f>'Trial Balance'!J212</f>
        <v>0</v>
      </c>
      <c r="D16" s="14"/>
      <c r="E16" s="15"/>
      <c r="F16" s="16"/>
      <c r="G16" s="18"/>
    </row>
    <row r="17" spans="1:7" ht="15" customHeight="1">
      <c r="A17" s="32" t="str">
        <f>'Trial Balance'!A213&amp;"-"&amp;'Trial Balance'!B213</f>
        <v>4055-Energy Sales for Resale</v>
      </c>
      <c r="B17" s="23">
        <f>'Trial Balance'!J213</f>
        <v>-5737674.595706412</v>
      </c>
      <c r="D17" s="14"/>
      <c r="E17" s="17"/>
      <c r="F17" s="16"/>
      <c r="G17" s="18"/>
    </row>
    <row r="18" spans="1:7" ht="15" customHeight="1">
      <c r="A18" s="32" t="str">
        <f>'Trial Balance'!A214&amp;"-"&amp;'Trial Balance'!B214</f>
        <v>4060-Interdepartmental Energy Sales</v>
      </c>
      <c r="B18" s="23">
        <f>'Trial Balance'!J214</f>
        <v>0</v>
      </c>
      <c r="D18" s="14"/>
      <c r="E18" s="15"/>
      <c r="F18" s="16"/>
      <c r="G18" s="18"/>
    </row>
    <row r="19" spans="1:7" ht="15" customHeight="1">
      <c r="A19" s="32" t="str">
        <f>'Trial Balance'!A215&amp;"-"&amp;'Trial Balance'!B215</f>
        <v>4062-WMS</v>
      </c>
      <c r="B19" s="23">
        <f>'Trial Balance'!J215</f>
        <v>-3491913.447137632</v>
      </c>
      <c r="D19" s="14"/>
      <c r="E19" s="15"/>
      <c r="F19" s="16"/>
      <c r="G19" s="18"/>
    </row>
    <row r="20" spans="1:7" ht="15" customHeight="1">
      <c r="A20" s="32" t="str">
        <f>'Trial Balance'!A216&amp;"-"&amp;'Trial Balance'!B216</f>
        <v>4064-Billed WMS-One Time</v>
      </c>
      <c r="B20" s="23">
        <f>'Trial Balance'!J216</f>
        <v>0</v>
      </c>
      <c r="D20" s="14"/>
      <c r="E20" s="15"/>
      <c r="F20" s="16"/>
      <c r="G20" s="18"/>
    </row>
    <row r="21" spans="1:7" ht="15" customHeight="1">
      <c r="A21" s="32" t="str">
        <f>'Trial Balance'!A217&amp;"-"&amp;'Trial Balance'!B217</f>
        <v>4066-NS</v>
      </c>
      <c r="B21" s="23">
        <f>'Trial Balance'!J217</f>
        <v>-2673294.31</v>
      </c>
      <c r="D21" s="14"/>
      <c r="E21" s="15"/>
      <c r="F21" s="16"/>
      <c r="G21" s="18"/>
    </row>
    <row r="22" spans="1:7" ht="15" customHeight="1">
      <c r="A22" s="32" t="str">
        <f>'Trial Balance'!A218&amp;"-"&amp;'Trial Balance'!B218</f>
        <v>4068-CS</v>
      </c>
      <c r="B22" s="23">
        <f>'Trial Balance'!J218</f>
        <v>-2412674.66</v>
      </c>
      <c r="D22" s="14"/>
      <c r="E22" s="15"/>
      <c r="F22" s="16"/>
      <c r="G22" s="18"/>
    </row>
    <row r="23" spans="1:7" ht="15" customHeight="1" thickBot="1">
      <c r="A23" s="32" t="str">
        <f>'Trial Balance'!A219&amp;"-"&amp;'Trial Balance'!B219</f>
        <v>4075-LV Charges</v>
      </c>
      <c r="B23" s="23">
        <f>'Trial Balance'!J219</f>
        <v>-21480.57</v>
      </c>
      <c r="D23" s="14"/>
      <c r="E23" s="15"/>
      <c r="F23" s="16"/>
      <c r="G23" s="18"/>
    </row>
    <row r="24" spans="1:7" ht="15" customHeight="1" thickBot="1">
      <c r="A24" s="38" t="s">
        <v>142</v>
      </c>
      <c r="B24" s="24">
        <f>SUM(B7:B23)</f>
        <v>-42629346.77948453</v>
      </c>
      <c r="D24" s="14"/>
      <c r="E24" s="17"/>
      <c r="F24" s="16"/>
      <c r="G24" s="18"/>
    </row>
    <row r="25" spans="1:7" s="21" customFormat="1" ht="15" customHeight="1">
      <c r="A25" s="423"/>
      <c r="B25" s="424"/>
      <c r="D25" s="22"/>
      <c r="E25" s="15"/>
      <c r="F25" s="18"/>
      <c r="G25" s="18"/>
    </row>
    <row r="26" spans="1:7" s="21" customFormat="1" ht="15" customHeight="1">
      <c r="A26" s="428" t="s">
        <v>143</v>
      </c>
      <c r="B26" s="428"/>
      <c r="D26" s="22"/>
      <c r="E26" s="15"/>
      <c r="F26" s="18"/>
      <c r="G26" s="18"/>
    </row>
    <row r="27" spans="1:7" ht="15" customHeight="1">
      <c r="A27" s="32" t="str">
        <f>'Trial Balance'!A221&amp;"-"&amp;'Trial Balance'!B221</f>
        <v>4080-Distribution Services Revenue</v>
      </c>
      <c r="B27" s="23">
        <f>'Trial Balance'!J221</f>
        <v>-10030666.8368508</v>
      </c>
      <c r="D27" s="14"/>
      <c r="E27" s="17"/>
      <c r="F27" s="16"/>
      <c r="G27" s="18"/>
    </row>
    <row r="28" spans="1:7" ht="15" customHeight="1">
      <c r="A28" s="32" t="str">
        <f>'Trial Balance'!A222&amp;"-"&amp;'Trial Balance'!B222</f>
        <v>4082-RS Rev</v>
      </c>
      <c r="B28" s="23">
        <f>'Trial Balance'!J222</f>
        <v>0</v>
      </c>
      <c r="D28" s="14"/>
      <c r="E28" s="17"/>
      <c r="F28" s="16"/>
      <c r="G28" s="18"/>
    </row>
    <row r="29" spans="1:7" ht="15" customHeight="1">
      <c r="A29" s="32" t="str">
        <f>'Trial Balance'!A223&amp;"-"&amp;'Trial Balance'!B223</f>
        <v>4084-Serv Tx Requests</v>
      </c>
      <c r="B29" s="23">
        <f>'Trial Balance'!J223</f>
        <v>0</v>
      </c>
      <c r="D29" s="14"/>
      <c r="E29" s="17"/>
      <c r="F29" s="16"/>
      <c r="G29" s="18"/>
    </row>
    <row r="30" spans="1:7" ht="15" customHeight="1" thickBot="1">
      <c r="A30" s="32" t="str">
        <f>'Trial Balance'!A224&amp;"-"&amp;'Trial Balance'!B224</f>
        <v>4090-Electric Services Incidental to Energy Sales</v>
      </c>
      <c r="B30" s="23">
        <f>'Trial Balance'!J224</f>
        <v>0</v>
      </c>
      <c r="D30" s="14"/>
      <c r="E30" s="17"/>
      <c r="F30" s="16"/>
      <c r="G30" s="18"/>
    </row>
    <row r="31" spans="1:7" ht="15" customHeight="1" thickBot="1">
      <c r="A31" s="38" t="s">
        <v>73</v>
      </c>
      <c r="B31" s="24">
        <f>SUM(B27:B30)</f>
        <v>-10030666.8368508</v>
      </c>
      <c r="D31" s="14"/>
      <c r="E31" s="15"/>
      <c r="F31" s="16"/>
      <c r="G31" s="18"/>
    </row>
    <row r="32" spans="1:7" s="21" customFormat="1" ht="15" customHeight="1">
      <c r="A32" s="423"/>
      <c r="B32" s="424"/>
      <c r="D32" s="22"/>
      <c r="E32" s="15"/>
      <c r="F32" s="18"/>
      <c r="G32" s="18"/>
    </row>
    <row r="33" spans="1:7" s="21" customFormat="1" ht="15" customHeight="1">
      <c r="A33" s="428" t="s">
        <v>74</v>
      </c>
      <c r="B33" s="428"/>
      <c r="D33" s="22"/>
      <c r="E33" s="15"/>
      <c r="F33" s="18"/>
      <c r="G33" s="18"/>
    </row>
    <row r="34" spans="1:7" ht="15" customHeight="1">
      <c r="A34" s="32" t="str">
        <f>'Trial Balance'!A226&amp;"-"&amp;'Trial Balance'!B226</f>
        <v>4205-Interdepartmental Rents</v>
      </c>
      <c r="B34" s="23">
        <f>'Trial Balance'!J226</f>
        <v>0</v>
      </c>
      <c r="D34" s="14"/>
      <c r="E34" s="17"/>
      <c r="F34" s="16"/>
      <c r="G34" s="18"/>
    </row>
    <row r="35" spans="1:2" ht="15" customHeight="1">
      <c r="A35" s="32" t="str">
        <f>'Trial Balance'!A227&amp;"-"&amp;'Trial Balance'!B227</f>
        <v>4210-Rent from Electric Property</v>
      </c>
      <c r="B35" s="23">
        <f>'Trial Balance'!J227</f>
        <v>-182828.66666666666</v>
      </c>
    </row>
    <row r="36" spans="1:2" ht="15" customHeight="1">
      <c r="A36" s="32" t="str">
        <f>'Trial Balance'!A228&amp;"-"&amp;'Trial Balance'!B228</f>
        <v>4215-Other Utility Operating Income</v>
      </c>
      <c r="B36" s="23">
        <f>'Trial Balance'!J228</f>
        <v>0</v>
      </c>
    </row>
    <row r="37" spans="1:2" ht="15" customHeight="1">
      <c r="A37" s="32" t="str">
        <f>'Trial Balance'!A229&amp;"-"&amp;'Trial Balance'!B229</f>
        <v>4220-Other Electric Revenues</v>
      </c>
      <c r="B37" s="23">
        <f>'Trial Balance'!J229</f>
        <v>0</v>
      </c>
    </row>
    <row r="38" spans="1:2" ht="15" customHeight="1">
      <c r="A38" s="32" t="str">
        <f>'Trial Balance'!A230&amp;"-"&amp;'Trial Balance'!B230</f>
        <v>4225-Late Payment Charges</v>
      </c>
      <c r="B38" s="23">
        <f>'Trial Balance'!J230</f>
        <v>-135000</v>
      </c>
    </row>
    <row r="39" spans="1:2" ht="15" customHeight="1">
      <c r="A39" s="32" t="str">
        <f>'Trial Balance'!A231&amp;"-"&amp;'Trial Balance'!B231</f>
        <v>4230-Sales of Water and Water Power</v>
      </c>
      <c r="B39" s="23">
        <f>'Trial Balance'!J231</f>
        <v>0</v>
      </c>
    </row>
    <row r="40" spans="1:2" ht="15" customHeight="1">
      <c r="A40" s="32" t="str">
        <f>'Trial Balance'!A232&amp;"-"&amp;'Trial Balance'!B232</f>
        <v>4235-Miscellaneous Service Revenues</v>
      </c>
      <c r="B40" s="23">
        <f>'Trial Balance'!J232</f>
        <v>-308710.2</v>
      </c>
    </row>
    <row r="41" spans="1:2" ht="15" customHeight="1">
      <c r="A41" s="32" t="str">
        <f>'Trial Balance'!A233&amp;"-"&amp;'Trial Balance'!B233</f>
        <v>4240-Provision for Rate Refunds</v>
      </c>
      <c r="B41" s="23">
        <f>'Trial Balance'!J233</f>
        <v>0</v>
      </c>
    </row>
    <row r="42" spans="1:2" ht="15" customHeight="1" thickBot="1">
      <c r="A42" s="32" t="str">
        <f>'Trial Balance'!A234&amp;"-"&amp;'Trial Balance'!B234</f>
        <v>4245-Government Assistance Directly Credited to Income</v>
      </c>
      <c r="B42" s="23">
        <f>'Trial Balance'!J234</f>
        <v>0</v>
      </c>
    </row>
    <row r="43" spans="1:2" ht="15" customHeight="1" thickBot="1">
      <c r="A43" s="38" t="s">
        <v>86</v>
      </c>
      <c r="B43" s="24">
        <f>SUM(B34:B42)</f>
        <v>-626538.8666666667</v>
      </c>
    </row>
    <row r="44" spans="1:2" s="21" customFormat="1" ht="15" customHeight="1">
      <c r="A44" s="423"/>
      <c r="B44" s="424"/>
    </row>
    <row r="45" spans="1:2" s="21" customFormat="1" ht="15" customHeight="1">
      <c r="A45" s="428" t="s">
        <v>87</v>
      </c>
      <c r="B45" s="428"/>
    </row>
    <row r="46" spans="1:2" ht="15" customHeight="1">
      <c r="A46" s="32" t="str">
        <f>'Trial Balance'!A236&amp;"-"&amp;'Trial Balance'!B236</f>
        <v>4305-Regulatory Debits</v>
      </c>
      <c r="B46" s="23">
        <f>'Trial Balance'!J236</f>
        <v>0</v>
      </c>
    </row>
    <row r="47" spans="1:2" ht="15" customHeight="1">
      <c r="A47" s="32" t="str">
        <f>'Trial Balance'!A237&amp;"-"&amp;'Trial Balance'!B237</f>
        <v>4310-Regulatory Credits</v>
      </c>
      <c r="B47" s="23">
        <f>'Trial Balance'!J237</f>
        <v>0</v>
      </c>
    </row>
    <row r="48" spans="1:2" ht="15" customHeight="1">
      <c r="A48" s="32" t="str">
        <f>'Trial Balance'!A238&amp;"-"&amp;'Trial Balance'!B238</f>
        <v>4315-Revenues from Electric Plant Leased to Others</v>
      </c>
      <c r="B48" s="23">
        <f>'Trial Balance'!J238</f>
        <v>0</v>
      </c>
    </row>
    <row r="49" spans="1:2" ht="15" customHeight="1">
      <c r="A49" s="32" t="str">
        <f>'Trial Balance'!A239&amp;"-"&amp;'Trial Balance'!B239</f>
        <v>4320-Expenses of Electric Plant Leased to Others</v>
      </c>
      <c r="B49" s="23">
        <f>'Trial Balance'!J239</f>
        <v>0</v>
      </c>
    </row>
    <row r="50" spans="1:2" ht="15" customHeight="1">
      <c r="A50" s="32" t="str">
        <f>'Trial Balance'!A240&amp;"-"&amp;'Trial Balance'!B240</f>
        <v>4325-Revenues from Merchandise, Jobbing, Etc.</v>
      </c>
      <c r="B50" s="23">
        <f>'Trial Balance'!J240</f>
        <v>-15181.33</v>
      </c>
    </row>
    <row r="51" spans="1:2" ht="15" customHeight="1">
      <c r="A51" s="32" t="str">
        <f>'Trial Balance'!A241&amp;"-"&amp;'Trial Balance'!B241</f>
        <v>4330-Costs and Expenses of Merchandising, Jobbing, Etc</v>
      </c>
      <c r="B51" s="23">
        <f>'Trial Balance'!J241</f>
        <v>10155.33</v>
      </c>
    </row>
    <row r="52" spans="1:2" ht="15" customHeight="1">
      <c r="A52" s="32" t="str">
        <f>'Trial Balance'!A242&amp;"-"&amp;'Trial Balance'!B242</f>
        <v>4335-Profits and Losses from Financial Instrument Hedges</v>
      </c>
      <c r="B52" s="23">
        <f>'Trial Balance'!J242</f>
        <v>0</v>
      </c>
    </row>
    <row r="53" spans="1:2" ht="15" customHeight="1">
      <c r="A53" s="32" t="str">
        <f>'Trial Balance'!A243&amp;"-"&amp;'Trial Balance'!B243</f>
        <v>4340-Profits and Losses from Financial Instrument Investments</v>
      </c>
      <c r="B53" s="23">
        <f>'Trial Balance'!J243</f>
        <v>0</v>
      </c>
    </row>
    <row r="54" spans="1:2" ht="15" customHeight="1">
      <c r="A54" s="32" t="str">
        <f>'Trial Balance'!A244&amp;"-"&amp;'Trial Balance'!B244</f>
        <v>4345-Gains from Disposition of Future Use Utility Plant</v>
      </c>
      <c r="B54" s="23">
        <f>'Trial Balance'!J244</f>
        <v>0</v>
      </c>
    </row>
    <row r="55" spans="1:2" ht="15" customHeight="1">
      <c r="A55" s="32" t="str">
        <f>'Trial Balance'!A245&amp;"-"&amp;'Trial Balance'!B245</f>
        <v>4350-Losses from Disposition of Future Use Utility Plant</v>
      </c>
      <c r="B55" s="23">
        <f>'Trial Balance'!J245</f>
        <v>0</v>
      </c>
    </row>
    <row r="56" spans="1:2" ht="15" customHeight="1">
      <c r="A56" s="32" t="str">
        <f>'Trial Balance'!A246&amp;"-"&amp;'Trial Balance'!B246</f>
        <v>4355-Gain on Disposition of Utility and Other Property</v>
      </c>
      <c r="B56" s="23">
        <f>'Trial Balance'!J246</f>
        <v>-219</v>
      </c>
    </row>
    <row r="57" spans="1:2" ht="15" customHeight="1">
      <c r="A57" s="32" t="str">
        <f>'Trial Balance'!A247&amp;"-"&amp;'Trial Balance'!B247</f>
        <v>4360-Loss on Disposition of Utility and Other Property</v>
      </c>
      <c r="B57" s="23">
        <f>'Trial Balance'!J247</f>
        <v>0</v>
      </c>
    </row>
    <row r="58" spans="1:2" ht="15" customHeight="1">
      <c r="A58" s="32" t="str">
        <f>'Trial Balance'!A248&amp;"-"&amp;'Trial Balance'!B248</f>
        <v>4365-Gains from Disposition of Allowances for Emission</v>
      </c>
      <c r="B58" s="23">
        <f>'Trial Balance'!J248</f>
        <v>0</v>
      </c>
    </row>
    <row r="59" spans="1:2" ht="15" customHeight="1">
      <c r="A59" s="32" t="str">
        <f>'Trial Balance'!A249&amp;"-"&amp;'Trial Balance'!B249</f>
        <v>4370-Losses from Disposition of Allowances for Emission</v>
      </c>
      <c r="B59" s="23">
        <f>'Trial Balance'!J249</f>
        <v>0</v>
      </c>
    </row>
    <row r="60" spans="1:2" ht="15" customHeight="1">
      <c r="A60" s="32" t="str">
        <f>'Trial Balance'!A250&amp;"-"&amp;'Trial Balance'!B250</f>
        <v>4375-Revenues from Non-Utility Operations</v>
      </c>
      <c r="B60" s="23">
        <f>'Trial Balance'!J250</f>
        <v>-302449.67</v>
      </c>
    </row>
    <row r="61" spans="1:2" ht="15" customHeight="1">
      <c r="A61" s="32" t="str">
        <f>'Trial Balance'!A251&amp;"-"&amp;'Trial Balance'!B251</f>
        <v>4380-Expenses of Non-Utility Operations</v>
      </c>
      <c r="B61" s="23">
        <f>'Trial Balance'!J251</f>
        <v>235277.67</v>
      </c>
    </row>
    <row r="62" spans="1:2" ht="15" customHeight="1">
      <c r="A62" s="32" t="str">
        <f>'Trial Balance'!A252&amp;"-"&amp;'Trial Balance'!B252</f>
        <v>4385-Non-Utility Rental Income</v>
      </c>
      <c r="B62" s="23">
        <f>'Trial Balance'!J252</f>
        <v>123.33</v>
      </c>
    </row>
    <row r="63" spans="1:2" ht="15" customHeight="1">
      <c r="A63" s="32" t="str">
        <f>'Trial Balance'!A253&amp;"-"&amp;'Trial Balance'!B253</f>
        <v>4390-Miscellaneous Non-Operating Income</v>
      </c>
      <c r="B63" s="23">
        <f>'Trial Balance'!J253</f>
        <v>-7509.67</v>
      </c>
    </row>
    <row r="64" spans="1:2" ht="15" customHeight="1">
      <c r="A64" s="32" t="str">
        <f>'Trial Balance'!A254&amp;"-"&amp;'Trial Balance'!B254</f>
        <v>4395-Rate-Payer Benefit Including Interest</v>
      </c>
      <c r="B64" s="23">
        <f>'Trial Balance'!J254</f>
        <v>0</v>
      </c>
    </row>
    <row r="65" spans="1:2" ht="15" customHeight="1" thickBot="1">
      <c r="A65" s="32" t="str">
        <f>'Trial Balance'!A255&amp;"-"&amp;'Trial Balance'!B255</f>
        <v>4398-Foreign Exchange Gains and Losses, Including Amortization</v>
      </c>
      <c r="B65" s="23">
        <f>'Trial Balance'!J255</f>
        <v>0</v>
      </c>
    </row>
    <row r="66" spans="1:2" ht="15" customHeight="1" thickBot="1">
      <c r="A66" s="38" t="s">
        <v>82</v>
      </c>
      <c r="B66" s="24">
        <f>SUM(B46:B65)</f>
        <v>-79803.33999999997</v>
      </c>
    </row>
    <row r="67" spans="1:2" s="21" customFormat="1" ht="15" customHeight="1">
      <c r="A67" s="423"/>
      <c r="B67" s="424"/>
    </row>
    <row r="68" spans="1:2" s="21" customFormat="1" ht="15" customHeight="1">
      <c r="A68" s="428" t="s">
        <v>83</v>
      </c>
      <c r="B68" s="428"/>
    </row>
    <row r="69" spans="1:2" s="21" customFormat="1" ht="15" customHeight="1">
      <c r="A69" s="32" t="str">
        <f>'Trial Balance'!A257&amp;"-"&amp;'Trial Balance'!B257</f>
        <v>4405-Interest and Dividend Income</v>
      </c>
      <c r="B69" s="23">
        <f>'Trial Balance'!J257</f>
        <v>-208383.79779641298</v>
      </c>
    </row>
    <row r="70" spans="1:2" ht="15" customHeight="1" thickBot="1">
      <c r="A70" s="32" t="str">
        <f>'Trial Balance'!A258&amp;"-"&amp;'Trial Balance'!B258</f>
        <v>4415-Equity in Earnings of Subsidiary Companies</v>
      </c>
      <c r="B70" s="23">
        <f>'Trial Balance'!J258</f>
        <v>0</v>
      </c>
    </row>
    <row r="71" spans="1:2" ht="15" customHeight="1" thickBot="1">
      <c r="A71" s="38" t="s">
        <v>84</v>
      </c>
      <c r="B71" s="24">
        <f>SUM(B69:B70)</f>
        <v>-208383.79779641298</v>
      </c>
    </row>
    <row r="72" spans="1:2" s="21" customFormat="1" ht="15" customHeight="1">
      <c r="A72" s="423"/>
      <c r="B72" s="424"/>
    </row>
    <row r="73" spans="1:2" s="21" customFormat="1" ht="15" customHeight="1">
      <c r="A73" s="428" t="s">
        <v>85</v>
      </c>
      <c r="B73" s="428"/>
    </row>
    <row r="74" spans="1:2" ht="15" customHeight="1">
      <c r="A74" s="32" t="str">
        <f>'Trial Balance'!A260&amp;"-"&amp;'Trial Balance'!B260</f>
        <v>4705-Power Purchased</v>
      </c>
      <c r="B74" s="23">
        <f>'Trial Balance'!J260</f>
        <v>34029983.79234694</v>
      </c>
    </row>
    <row r="75" spans="1:2" ht="15" customHeight="1">
      <c r="A75" s="32" t="str">
        <f>'Trial Balance'!A261&amp;"-"&amp;'Trial Balance'!B261</f>
        <v>4708-WMS</v>
      </c>
      <c r="B75" s="23">
        <f>'Trial Balance'!J261</f>
        <v>2801401.3633214156</v>
      </c>
    </row>
    <row r="76" spans="1:2" ht="15" customHeight="1">
      <c r="A76" s="32" t="str">
        <f>'Trial Balance'!A262&amp;"-"&amp;'Trial Balance'!B262</f>
        <v>4710-Cost of Power Adjustments</v>
      </c>
      <c r="B76" s="23">
        <f>'Trial Balance'!J262</f>
        <v>0</v>
      </c>
    </row>
    <row r="77" spans="1:2" ht="15" customHeight="1">
      <c r="A77" s="32" t="str">
        <f>'Trial Balance'!A263&amp;"-"&amp;'Trial Balance'!B263</f>
        <v>4712-0</v>
      </c>
      <c r="B77" s="23">
        <f>'Trial Balance'!J263</f>
        <v>0</v>
      </c>
    </row>
    <row r="78" spans="1:2" ht="15" customHeight="1">
      <c r="A78" s="32" t="str">
        <f>'Trial Balance'!A264&amp;"-"&amp;'Trial Balance'!B264</f>
        <v>4714-NW</v>
      </c>
      <c r="B78" s="23">
        <f>'Trial Balance'!J264</f>
        <v>2673294.31</v>
      </c>
    </row>
    <row r="79" spans="1:2" ht="15" customHeight="1">
      <c r="A79" s="32" t="str">
        <f>'Trial Balance'!A265&amp;"-"&amp;'Trial Balance'!B265</f>
        <v>4715-System Control and Load Dispatching</v>
      </c>
      <c r="B79" s="23">
        <f>'Trial Balance'!J265</f>
        <v>0</v>
      </c>
    </row>
    <row r="80" spans="1:2" ht="15" customHeight="1">
      <c r="A80" s="32" t="str">
        <f>'Trial Balance'!A266&amp;"-"&amp;'Trial Balance'!B266</f>
        <v>4716-NCN</v>
      </c>
      <c r="B80" s="23">
        <f>'Trial Balance'!J266</f>
        <v>2412674.66</v>
      </c>
    </row>
    <row r="81" spans="1:2" ht="15" customHeight="1">
      <c r="A81" s="32" t="str">
        <f>'Trial Balance'!A267&amp;"-"&amp;'Trial Balance'!B267</f>
        <v>4720-Other Expenses</v>
      </c>
      <c r="B81" s="23">
        <f>'Trial Balance'!J267</f>
        <v>0</v>
      </c>
    </row>
    <row r="82" spans="1:2" ht="15" customHeight="1">
      <c r="A82" s="32" t="str">
        <f>'Trial Balance'!A268&amp;"-"&amp;'Trial Balance'!B268</f>
        <v>4725-Competition Transition Expense</v>
      </c>
      <c r="B82" s="23">
        <f>'Trial Balance'!J268</f>
        <v>0</v>
      </c>
    </row>
    <row r="83" spans="1:2" ht="15" customHeight="1">
      <c r="A83" s="32" t="str">
        <f>'Trial Balance'!A269&amp;"-"&amp;'Trial Balance'!B269</f>
        <v>4730-Rural Rate Assistance Expense</v>
      </c>
      <c r="B83" s="23">
        <f>'Trial Balance'!J269</f>
        <v>690512.0838162167</v>
      </c>
    </row>
    <row r="84" spans="1:2" ht="15" customHeight="1" thickBot="1">
      <c r="A84" s="32" t="str">
        <f>'Trial Balance'!A270&amp;"-"&amp;'Trial Balance'!B270</f>
        <v>4750-LV Charges</v>
      </c>
      <c r="B84" s="23">
        <f>'Trial Balance'!J270</f>
        <v>21480.57</v>
      </c>
    </row>
    <row r="85" spans="1:2" ht="15" customHeight="1" thickBot="1">
      <c r="A85" s="38" t="s">
        <v>554</v>
      </c>
      <c r="B85" s="24">
        <f>SUM(B74:B84)</f>
        <v>42629346.77948458</v>
      </c>
    </row>
    <row r="86" spans="1:2" s="21" customFormat="1" ht="15" customHeight="1">
      <c r="A86" s="423"/>
      <c r="B86" s="424"/>
    </row>
    <row r="87" spans="1:2" s="21" customFormat="1" ht="15" customHeight="1">
      <c r="A87" s="428" t="s">
        <v>555</v>
      </c>
      <c r="B87" s="428"/>
    </row>
    <row r="88" spans="1:2" ht="15" customHeight="1">
      <c r="A88" s="32" t="str">
        <f>'Trial Balance'!A272&amp;"-"&amp;'Trial Balance'!B272</f>
        <v>5005-Operation Supervision and Engineering</v>
      </c>
      <c r="B88" s="23">
        <f>'Trial Balance'!J272</f>
        <v>31368.91</v>
      </c>
    </row>
    <row r="89" spans="1:2" ht="15" customHeight="1">
      <c r="A89" s="32" t="str">
        <f>'Trial Balance'!A273&amp;"-"&amp;'Trial Balance'!B273</f>
        <v>5010-Load Dispatching</v>
      </c>
      <c r="B89" s="23">
        <f>'Trial Balance'!J273</f>
        <v>79083.21</v>
      </c>
    </row>
    <row r="90" spans="1:2" ht="15" customHeight="1">
      <c r="A90" s="32" t="str">
        <f>'Trial Balance'!A274&amp;"-"&amp;'Trial Balance'!B274</f>
        <v>5012-Station Buildings and Fixtures Expense</v>
      </c>
      <c r="B90" s="23">
        <f>'Trial Balance'!J274</f>
        <v>11079.52</v>
      </c>
    </row>
    <row r="91" spans="1:2" ht="15" customHeight="1">
      <c r="A91" s="32" t="str">
        <f>'Trial Balance'!A275&amp;"-"&amp;'Trial Balance'!B275</f>
        <v>5014-Transformer Station Equipment - Operation Labour</v>
      </c>
      <c r="B91" s="23">
        <f>'Trial Balance'!J275</f>
        <v>0</v>
      </c>
    </row>
    <row r="92" spans="1:2" ht="15" customHeight="1">
      <c r="A92" s="32" t="str">
        <f>'Trial Balance'!A276&amp;"-"&amp;'Trial Balance'!B276</f>
        <v>5015-Transformer Station Equipment - Operation Supplies and Expenses</v>
      </c>
      <c r="B92" s="23">
        <f>'Trial Balance'!J276</f>
        <v>0</v>
      </c>
    </row>
    <row r="93" spans="1:2" ht="15" customHeight="1">
      <c r="A93" s="32" t="str">
        <f>'Trial Balance'!A277&amp;"-"&amp;'Trial Balance'!B277</f>
        <v>5016-Distribution Station Equipment - Operation Labour</v>
      </c>
      <c r="B93" s="23">
        <f>'Trial Balance'!J277</f>
        <v>0</v>
      </c>
    </row>
    <row r="94" spans="1:2" ht="15" customHeight="1">
      <c r="A94" s="32" t="str">
        <f>'Trial Balance'!A278&amp;"-"&amp;'Trial Balance'!B278</f>
        <v>5017-Distribution Station Equipment - Operation Supplies and Expenses</v>
      </c>
      <c r="B94" s="23">
        <f>'Trial Balance'!J278</f>
        <v>0</v>
      </c>
    </row>
    <row r="95" spans="1:2" ht="15" customHeight="1">
      <c r="A95" s="32" t="str">
        <f>'Trial Balance'!A279&amp;"-"&amp;'Trial Balance'!B279</f>
        <v>5020-Overhead Distribution Lines and Feeders - Operation Labour</v>
      </c>
      <c r="B95" s="23">
        <f>'Trial Balance'!J279</f>
        <v>151.44</v>
      </c>
    </row>
    <row r="96" spans="1:2" ht="15" customHeight="1">
      <c r="A96" s="32" t="str">
        <f>'Trial Balance'!A280&amp;"-"&amp;'Trial Balance'!B280</f>
        <v>5025-Overhead Distribution Lines and Feeders - Operation Supplies and Expenses</v>
      </c>
      <c r="B96" s="23">
        <f>'Trial Balance'!J280</f>
        <v>32.96</v>
      </c>
    </row>
    <row r="97" spans="1:2" ht="15" customHeight="1">
      <c r="A97" s="32" t="str">
        <f>'Trial Balance'!A281&amp;"-"&amp;'Trial Balance'!B281</f>
        <v>5030-Overhead Subtransmission Feeders - Operation</v>
      </c>
      <c r="B97" s="23">
        <f>'Trial Balance'!J281</f>
        <v>323.97</v>
      </c>
    </row>
    <row r="98" spans="1:2" ht="15" customHeight="1">
      <c r="A98" s="32" t="str">
        <f>'Trial Balance'!A282&amp;"-"&amp;'Trial Balance'!B282</f>
        <v>5035-Overhead Distribution Transformers - Operation</v>
      </c>
      <c r="B98" s="23">
        <f>'Trial Balance'!J282</f>
        <v>130.68</v>
      </c>
    </row>
    <row r="99" spans="1:2" ht="15" customHeight="1">
      <c r="A99" s="32" t="str">
        <f>'Trial Balance'!A283&amp;"-"&amp;'Trial Balance'!B283</f>
        <v>5040-Underground Distribution Lines and Feeders - Operation Labour</v>
      </c>
      <c r="B99" s="23">
        <f>'Trial Balance'!J283</f>
        <v>78775.18</v>
      </c>
    </row>
    <row r="100" spans="1:2" ht="15" customHeight="1">
      <c r="A100" s="32" t="str">
        <f>'Trial Balance'!A284&amp;"-"&amp;'Trial Balance'!B284</f>
        <v>5045-Underground Distribution Lines and Feeders - Operation Supplies and Expenses</v>
      </c>
      <c r="B100" s="23">
        <f>'Trial Balance'!J284</f>
        <v>2981.17</v>
      </c>
    </row>
    <row r="101" spans="1:2" ht="15" customHeight="1">
      <c r="A101" s="32" t="str">
        <f>'Trial Balance'!A285&amp;"-"&amp;'Trial Balance'!B285</f>
        <v>5050-Underground Subtransmission Feeders - Operation</v>
      </c>
      <c r="B101" s="23">
        <f>'Trial Balance'!J285</f>
        <v>0</v>
      </c>
    </row>
    <row r="102" spans="1:2" ht="15" customHeight="1">
      <c r="A102" s="32" t="str">
        <f>'Trial Balance'!A286&amp;"-"&amp;'Trial Balance'!B286</f>
        <v>5055-Underground Distribution Transformers - Operation</v>
      </c>
      <c r="B102" s="23">
        <f>'Trial Balance'!J286</f>
        <v>0</v>
      </c>
    </row>
    <row r="103" spans="1:2" ht="15" customHeight="1">
      <c r="A103" s="32" t="str">
        <f>'Trial Balance'!A287&amp;"-"&amp;'Trial Balance'!B287</f>
        <v>5060-Street Lighting and Signal System Expense</v>
      </c>
      <c r="B103" s="23">
        <f>'Trial Balance'!J287</f>
        <v>0</v>
      </c>
    </row>
    <row r="104" spans="1:2" ht="15" customHeight="1">
      <c r="A104" s="32" t="str">
        <f>'Trial Balance'!A288&amp;"-"&amp;'Trial Balance'!B288</f>
        <v>5065-Meter Expense</v>
      </c>
      <c r="B104" s="23">
        <f>'Trial Balance'!J288</f>
        <v>95874.08</v>
      </c>
    </row>
    <row r="105" spans="1:2" ht="15" customHeight="1">
      <c r="A105" s="32" t="str">
        <f>'Trial Balance'!A289&amp;"-"&amp;'Trial Balance'!B289</f>
        <v>5070-Customer Premises - Operation Labour</v>
      </c>
      <c r="B105" s="23">
        <f>'Trial Balance'!J289</f>
        <v>0</v>
      </c>
    </row>
    <row r="106" spans="1:2" ht="15" customHeight="1">
      <c r="A106" s="32" t="str">
        <f>'Trial Balance'!A290&amp;"-"&amp;'Trial Balance'!B290</f>
        <v>5075-Customer Premises - Materials and Expenses</v>
      </c>
      <c r="B106" s="23">
        <f>'Trial Balance'!J290</f>
        <v>0</v>
      </c>
    </row>
    <row r="107" spans="1:2" ht="15" customHeight="1">
      <c r="A107" s="32" t="str">
        <f>'Trial Balance'!A291&amp;"-"&amp;'Trial Balance'!B291</f>
        <v>5085-Miscellaneous Distribution Expense</v>
      </c>
      <c r="B107" s="23">
        <f>'Trial Balance'!J291</f>
        <v>225798.37</v>
      </c>
    </row>
    <row r="108" spans="1:2" ht="15" customHeight="1">
      <c r="A108" s="32" t="str">
        <f>'Trial Balance'!A292&amp;"-"&amp;'Trial Balance'!B292</f>
        <v>5090-Underground Distribution Lines and Feeders - Rental Paid</v>
      </c>
      <c r="B108" s="23">
        <f>'Trial Balance'!J292</f>
        <v>0</v>
      </c>
    </row>
    <row r="109" spans="1:2" ht="15" customHeight="1">
      <c r="A109" s="32" t="str">
        <f>'Trial Balance'!A293&amp;"-"&amp;'Trial Balance'!B293</f>
        <v>5095-Overhead Distribution Lines and Feeders - Rental Paid</v>
      </c>
      <c r="B109" s="23">
        <f>'Trial Balance'!J293</f>
        <v>39896.04</v>
      </c>
    </row>
    <row r="110" spans="1:2" ht="15" customHeight="1" thickBot="1">
      <c r="A110" s="32" t="str">
        <f>'Trial Balance'!A294&amp;"-"&amp;'Trial Balance'!B294</f>
        <v>5096-Other Rent</v>
      </c>
      <c r="B110" s="23">
        <f>'Trial Balance'!J294</f>
        <v>4602</v>
      </c>
    </row>
    <row r="111" spans="1:2" ht="15" customHeight="1" thickBot="1">
      <c r="A111" s="38" t="s">
        <v>558</v>
      </c>
      <c r="B111" s="24">
        <f>SUM(B88:B110)</f>
        <v>570097.53</v>
      </c>
    </row>
    <row r="112" spans="1:2" s="21" customFormat="1" ht="15" customHeight="1">
      <c r="A112" s="423"/>
      <c r="B112" s="424"/>
    </row>
    <row r="113" spans="1:2" s="21" customFormat="1" ht="15" customHeight="1">
      <c r="A113" s="428" t="s">
        <v>559</v>
      </c>
      <c r="B113" s="428"/>
    </row>
    <row r="114" spans="1:2" ht="15" customHeight="1">
      <c r="A114" s="32" t="str">
        <f>'Trial Balance'!A296&amp;"-"&amp;'Trial Balance'!B296</f>
        <v>5105-Maintenance Supervision and Engineering</v>
      </c>
      <c r="B114" s="23">
        <f>'Trial Balance'!J296</f>
        <v>0</v>
      </c>
    </row>
    <row r="115" spans="1:2" ht="15" customHeight="1">
      <c r="A115" s="32" t="str">
        <f>'Trial Balance'!A297&amp;"-"&amp;'Trial Balance'!B297</f>
        <v>5110-Maintenance of Structures</v>
      </c>
      <c r="B115" s="23">
        <f>'Trial Balance'!J297</f>
        <v>11867.36</v>
      </c>
    </row>
    <row r="116" spans="1:2" ht="15" customHeight="1">
      <c r="A116" s="32" t="str">
        <f>'Trial Balance'!A298&amp;"-"&amp;'Trial Balance'!B298</f>
        <v>5112-Maintenance of Transformer Station Equipment</v>
      </c>
      <c r="B116" s="23">
        <f>'Trial Balance'!J298</f>
        <v>0</v>
      </c>
    </row>
    <row r="117" spans="1:2" ht="15" customHeight="1">
      <c r="A117" s="32" t="str">
        <f>'Trial Balance'!A299&amp;"-"&amp;'Trial Balance'!B299</f>
        <v>5114-Maintenance of Distribution Station Equipment</v>
      </c>
      <c r="B117" s="23">
        <f>'Trial Balance'!J299</f>
        <v>158160.07</v>
      </c>
    </row>
    <row r="118" spans="1:2" ht="15" customHeight="1">
      <c r="A118" s="32" t="str">
        <f>'Trial Balance'!A300&amp;"-"&amp;'Trial Balance'!B300</f>
        <v>5120-Maintenance of Poles, Towers and Fixtures</v>
      </c>
      <c r="B118" s="23">
        <f>'Trial Balance'!J300</f>
        <v>81353.23</v>
      </c>
    </row>
    <row r="119" spans="1:2" ht="15" customHeight="1">
      <c r="A119" s="32" t="str">
        <f>'Trial Balance'!A301&amp;"-"&amp;'Trial Balance'!B301</f>
        <v>5125-Maintenance of Overhead Conductors and Devices</v>
      </c>
      <c r="B119" s="23">
        <f>'Trial Balance'!J301</f>
        <v>188023.17</v>
      </c>
    </row>
    <row r="120" spans="1:2" ht="15" customHeight="1">
      <c r="A120" s="32" t="str">
        <f>'Trial Balance'!A302&amp;"-"&amp;'Trial Balance'!B302</f>
        <v>5130-Maintenance of Overhead Services</v>
      </c>
      <c r="B120" s="23">
        <f>'Trial Balance'!J302</f>
        <v>108899.27</v>
      </c>
    </row>
    <row r="121" spans="1:2" ht="15" customHeight="1">
      <c r="A121" s="32" t="str">
        <f>'Trial Balance'!A303&amp;"-"&amp;'Trial Balance'!B303</f>
        <v>5135-Overhead Distribution Lines and Feeders - Right of Way</v>
      </c>
      <c r="B121" s="23">
        <f>'Trial Balance'!J303</f>
        <v>312447.23</v>
      </c>
    </row>
    <row r="122" spans="1:2" ht="15" customHeight="1">
      <c r="A122" s="32" t="str">
        <f>'Trial Balance'!A304&amp;"-"&amp;'Trial Balance'!B304</f>
        <v>5145-Maintenance of Underground Conduit</v>
      </c>
      <c r="B122" s="23">
        <f>'Trial Balance'!J304</f>
        <v>354.77</v>
      </c>
    </row>
    <row r="123" spans="1:2" ht="15" customHeight="1">
      <c r="A123" s="32" t="str">
        <f>'Trial Balance'!A305&amp;"-"&amp;'Trial Balance'!B305</f>
        <v>5150-Maintenance of Underground Conductors and Devices</v>
      </c>
      <c r="B123" s="23">
        <f>'Trial Balance'!J305</f>
        <v>25657.8</v>
      </c>
    </row>
    <row r="124" spans="1:2" ht="15" customHeight="1">
      <c r="A124" s="32" t="str">
        <f>'Trial Balance'!A306&amp;"-"&amp;'Trial Balance'!B306</f>
        <v>5155-Maintenance of Underground Services</v>
      </c>
      <c r="B124" s="23">
        <f>'Trial Balance'!J306</f>
        <v>57393.28</v>
      </c>
    </row>
    <row r="125" spans="1:2" ht="15" customHeight="1">
      <c r="A125" s="32" t="str">
        <f>'Trial Balance'!A307&amp;"-"&amp;'Trial Balance'!B307</f>
        <v>5160-Maintenance of Line Transformers</v>
      </c>
      <c r="B125" s="23">
        <f>'Trial Balance'!J307</f>
        <v>96736.02</v>
      </c>
    </row>
    <row r="126" spans="1:2" ht="15" customHeight="1">
      <c r="A126" s="32" t="str">
        <f>'Trial Balance'!A308&amp;"-"&amp;'Trial Balance'!B308</f>
        <v>5165-Maintenance of Street Lighting and Signal Systems</v>
      </c>
      <c r="B126" s="23">
        <f>'Trial Balance'!J308</f>
        <v>0</v>
      </c>
    </row>
    <row r="127" spans="1:2" ht="15" customHeight="1">
      <c r="A127" s="32" t="str">
        <f>'Trial Balance'!A309&amp;"-"&amp;'Trial Balance'!B309</f>
        <v>5170-Sentinel Lights - Labour</v>
      </c>
      <c r="B127" s="23">
        <f>'Trial Balance'!J309</f>
        <v>0</v>
      </c>
    </row>
    <row r="128" spans="1:2" ht="15" customHeight="1">
      <c r="A128" s="32" t="str">
        <f>'Trial Balance'!A310&amp;"-"&amp;'Trial Balance'!B310</f>
        <v>5172-Sentinel Lights - Materials and Expenses</v>
      </c>
      <c r="B128" s="23">
        <f>'Trial Balance'!J310</f>
        <v>0</v>
      </c>
    </row>
    <row r="129" spans="1:2" ht="15" customHeight="1">
      <c r="A129" s="32" t="str">
        <f>'Trial Balance'!A311&amp;"-"&amp;'Trial Balance'!B311</f>
        <v>5175-Maintenance of Meters</v>
      </c>
      <c r="B129" s="23">
        <f>'Trial Balance'!J311</f>
        <v>5304.95</v>
      </c>
    </row>
    <row r="130" spans="1:2" ht="15" customHeight="1">
      <c r="A130" s="32" t="str">
        <f>'Trial Balance'!A312&amp;"-"&amp;'Trial Balance'!B312</f>
        <v>5178-Customer Installations Expenses - Leased Property</v>
      </c>
      <c r="B130" s="23">
        <f>'Trial Balance'!J312</f>
        <v>0</v>
      </c>
    </row>
    <row r="131" spans="1:2" ht="15" customHeight="1" thickBot="1">
      <c r="A131" s="32" t="str">
        <f>'Trial Balance'!A313&amp;"-"&amp;'Trial Balance'!B313</f>
        <v>5195-Maintenance of Other Installations on Customer Premises</v>
      </c>
      <c r="B131" s="23">
        <f>'Trial Balance'!J313</f>
        <v>0</v>
      </c>
    </row>
    <row r="132" spans="1:2" ht="15" customHeight="1" thickBot="1">
      <c r="A132" s="38" t="s">
        <v>88</v>
      </c>
      <c r="B132" s="24">
        <f>SUM(B114:B131)</f>
        <v>1046197.15</v>
      </c>
    </row>
    <row r="133" spans="1:2" s="21" customFormat="1" ht="15" customHeight="1">
      <c r="A133" s="423"/>
      <c r="B133" s="424"/>
    </row>
    <row r="134" spans="1:2" s="21" customFormat="1" ht="15" customHeight="1">
      <c r="A134" s="425" t="s">
        <v>89</v>
      </c>
      <c r="B134" s="426"/>
    </row>
    <row r="135" spans="1:2" ht="15" customHeight="1">
      <c r="A135" s="32" t="str">
        <f>'Trial Balance'!A319&amp;"-"&amp;'Trial Balance'!B319</f>
        <v>5305-Supervision</v>
      </c>
      <c r="B135" s="23">
        <f>'Trial Balance'!J319</f>
        <v>0</v>
      </c>
    </row>
    <row r="136" spans="1:2" ht="15" customHeight="1">
      <c r="A136" s="32" t="str">
        <f>'Trial Balance'!A320&amp;"-"&amp;'Trial Balance'!B320</f>
        <v>5310-Meter Reading Expense</v>
      </c>
      <c r="B136" s="23">
        <f>'Trial Balance'!J320</f>
        <v>318140.99</v>
      </c>
    </row>
    <row r="137" spans="1:2" ht="15" customHeight="1">
      <c r="A137" s="32" t="str">
        <f>'Trial Balance'!A321&amp;"-"&amp;'Trial Balance'!B321</f>
        <v>5315-Customer Billing</v>
      </c>
      <c r="B137" s="23">
        <f>'Trial Balance'!J321</f>
        <v>390249.26</v>
      </c>
    </row>
    <row r="138" spans="1:2" ht="15" customHeight="1">
      <c r="A138" s="32" t="str">
        <f>'Trial Balance'!A322&amp;"-"&amp;'Trial Balance'!B322</f>
        <v>5320-Collecting</v>
      </c>
      <c r="B138" s="23">
        <f>'Trial Balance'!J322</f>
        <v>196050.67</v>
      </c>
    </row>
    <row r="139" spans="1:2" ht="15" customHeight="1">
      <c r="A139" s="32" t="str">
        <f>'Trial Balance'!A323&amp;"-"&amp;'Trial Balance'!B323</f>
        <v>5325-Collecting - Cash Over and Short</v>
      </c>
      <c r="B139" s="23">
        <f>'Trial Balance'!J323</f>
        <v>25</v>
      </c>
    </row>
    <row r="140" spans="1:2" ht="15" customHeight="1">
      <c r="A140" s="32" t="str">
        <f>'Trial Balance'!A324&amp;"-"&amp;'Trial Balance'!B324</f>
        <v>5330-Collection Charges</v>
      </c>
      <c r="B140" s="23">
        <f>'Trial Balance'!J324</f>
        <v>0</v>
      </c>
    </row>
    <row r="141" spans="1:2" ht="15" customHeight="1">
      <c r="A141" s="32" t="str">
        <f>'Trial Balance'!A325&amp;"-"&amp;'Trial Balance'!B325</f>
        <v>5335-Bad Debt Expense</v>
      </c>
      <c r="B141" s="23">
        <f>'Trial Balance'!J325</f>
        <v>269095</v>
      </c>
    </row>
    <row r="142" spans="1:2" ht="15" customHeight="1" thickBot="1">
      <c r="A142" s="32" t="str">
        <f>'Trial Balance'!A326&amp;"-"&amp;'Trial Balance'!B326</f>
        <v>5340-Miscellaneous Customer Accounts Expenses</v>
      </c>
      <c r="B142" s="23">
        <f>'Trial Balance'!J326</f>
        <v>0</v>
      </c>
    </row>
    <row r="143" spans="1:2" ht="15" customHeight="1" thickBot="1">
      <c r="A143" s="38" t="s">
        <v>98</v>
      </c>
      <c r="B143" s="24">
        <f>SUM(B135:B142)</f>
        <v>1173560.92</v>
      </c>
    </row>
    <row r="144" spans="1:2" s="21" customFormat="1" ht="15" customHeight="1">
      <c r="A144" s="423"/>
      <c r="B144" s="424"/>
    </row>
    <row r="145" spans="1:2" s="21" customFormat="1" ht="15" customHeight="1">
      <c r="A145" s="425" t="s">
        <v>99</v>
      </c>
      <c r="B145" s="426"/>
    </row>
    <row r="146" spans="1:2" ht="15" customHeight="1">
      <c r="A146" s="32" t="str">
        <f>'Trial Balance'!A328&amp;"-"&amp;'Trial Balance'!B328</f>
        <v>5405-Supervision</v>
      </c>
      <c r="B146" s="23">
        <f>'Trial Balance'!J328</f>
        <v>0</v>
      </c>
    </row>
    <row r="147" spans="1:2" ht="15" customHeight="1">
      <c r="A147" s="32" t="str">
        <f>'Trial Balance'!A329&amp;"-"&amp;'Trial Balance'!B329</f>
        <v>5410-Community Relations - Sundry</v>
      </c>
      <c r="B147" s="23">
        <f>'Trial Balance'!J329</f>
        <v>0</v>
      </c>
    </row>
    <row r="148" spans="1:2" ht="15" customHeight="1">
      <c r="A148" s="32" t="str">
        <f>'Trial Balance'!A330&amp;"-"&amp;'Trial Balance'!B330</f>
        <v>5415-Energy Conservation</v>
      </c>
      <c r="B148" s="23">
        <f>'Trial Balance'!J330</f>
        <v>0</v>
      </c>
    </row>
    <row r="149" spans="1:2" ht="15" customHeight="1">
      <c r="A149" s="32" t="str">
        <f>'Trial Balance'!A331&amp;"-"&amp;'Trial Balance'!B331</f>
        <v>5420-Community Safety Program</v>
      </c>
      <c r="B149" s="23">
        <f>'Trial Balance'!J331</f>
        <v>0</v>
      </c>
    </row>
    <row r="150" spans="1:2" ht="15" customHeight="1" thickBot="1">
      <c r="A150" s="32" t="str">
        <f>'Trial Balance'!A332&amp;"-"&amp;'Trial Balance'!B332</f>
        <v>5425-Miscellaneous Customer Service and Informational Expenses</v>
      </c>
      <c r="B150" s="23">
        <f>'Trial Balance'!J332</f>
        <v>10500</v>
      </c>
    </row>
    <row r="151" spans="1:2" ht="15" customHeight="1" thickBot="1">
      <c r="A151" s="38" t="s">
        <v>100</v>
      </c>
      <c r="B151" s="24">
        <f>SUM(B146:B150)</f>
        <v>10500</v>
      </c>
    </row>
    <row r="152" spans="1:2" s="21" customFormat="1" ht="15" customHeight="1">
      <c r="A152" s="423"/>
      <c r="B152" s="424"/>
    </row>
    <row r="153" spans="1:2" s="21" customFormat="1" ht="15" customHeight="1">
      <c r="A153" s="425" t="s">
        <v>101</v>
      </c>
      <c r="B153" s="426"/>
    </row>
    <row r="154" spans="1:2" ht="15" customHeight="1">
      <c r="A154" s="32" t="str">
        <f>'Trial Balance'!A339&amp;"-"&amp;'Trial Balance'!B339</f>
        <v>5605-Executive Salaries and Expenses</v>
      </c>
      <c r="B154" s="23">
        <f>'Trial Balance'!J339</f>
        <v>0</v>
      </c>
    </row>
    <row r="155" spans="1:2" ht="15" customHeight="1">
      <c r="A155" s="32" t="str">
        <f>'Trial Balance'!A340&amp;"-"&amp;'Trial Balance'!B340</f>
        <v>5610-Management Salaries and Expenses</v>
      </c>
      <c r="B155" s="23">
        <f>'Trial Balance'!J340</f>
        <v>586857.01</v>
      </c>
    </row>
    <row r="156" spans="1:2" ht="15" customHeight="1">
      <c r="A156" s="32" t="str">
        <f>'Trial Balance'!A341&amp;"-"&amp;'Trial Balance'!B341</f>
        <v>5615-General Administrative Salaries and Expenses</v>
      </c>
      <c r="B156" s="23">
        <f>'Trial Balance'!J341</f>
        <v>363799.74</v>
      </c>
    </row>
    <row r="157" spans="1:2" ht="15" customHeight="1">
      <c r="A157" s="32" t="str">
        <f>'Trial Balance'!A342&amp;"-"&amp;'Trial Balance'!B342</f>
        <v>5620-Office Supplies and Expenses</v>
      </c>
      <c r="B157" s="23">
        <f>'Trial Balance'!J342</f>
        <v>165</v>
      </c>
    </row>
    <row r="158" spans="1:2" ht="15" customHeight="1">
      <c r="A158" s="32" t="str">
        <f>'Trial Balance'!A343&amp;"-"&amp;'Trial Balance'!B343</f>
        <v>5625-Administrative Expense Transferred-Credit</v>
      </c>
      <c r="B158" s="23">
        <f>'Trial Balance'!J343</f>
        <v>0</v>
      </c>
    </row>
    <row r="159" spans="1:2" ht="15" customHeight="1">
      <c r="A159" s="32" t="str">
        <f>'Trial Balance'!A344&amp;"-"&amp;'Trial Balance'!B344</f>
        <v>5630-Outside Services Employed</v>
      </c>
      <c r="B159" s="23">
        <f>'Trial Balance'!J344</f>
        <v>281311.33</v>
      </c>
    </row>
    <row r="160" spans="1:2" ht="15" customHeight="1">
      <c r="A160" s="32" t="str">
        <f>'Trial Balance'!A345&amp;"-"&amp;'Trial Balance'!B345</f>
        <v>5635-Property Insurance</v>
      </c>
      <c r="B160" s="23">
        <f>'Trial Balance'!J345</f>
        <v>146279</v>
      </c>
    </row>
    <row r="161" spans="1:2" ht="15" customHeight="1">
      <c r="A161" s="32" t="str">
        <f>'Trial Balance'!A346&amp;"-"&amp;'Trial Balance'!B346</f>
        <v>5640-Injuries and Damages</v>
      </c>
      <c r="B161" s="23">
        <f>'Trial Balance'!J346</f>
        <v>0</v>
      </c>
    </row>
    <row r="162" spans="1:2" ht="15" customHeight="1">
      <c r="A162" s="32" t="str">
        <f>'Trial Balance'!A347&amp;"-"&amp;'Trial Balance'!B347</f>
        <v>5645-Employee Pensions and Benefits</v>
      </c>
      <c r="B162" s="23">
        <f>'Trial Balance'!J347</f>
        <v>375615.25</v>
      </c>
    </row>
    <row r="163" spans="1:2" ht="15" customHeight="1">
      <c r="A163" s="32" t="str">
        <f>'Trial Balance'!A348&amp;"-"&amp;'Trial Balance'!B348</f>
        <v>5650-Franchise Requirements</v>
      </c>
      <c r="B163" s="23">
        <f>'Trial Balance'!J348</f>
        <v>0</v>
      </c>
    </row>
    <row r="164" spans="1:2" ht="15" customHeight="1">
      <c r="A164" s="32" t="str">
        <f>'Trial Balance'!A349&amp;"-"&amp;'Trial Balance'!B349</f>
        <v>5655-Regulatory Expenses</v>
      </c>
      <c r="B164" s="23">
        <f>'Trial Balance'!J349</f>
        <v>161209.34</v>
      </c>
    </row>
    <row r="165" spans="1:2" ht="15" customHeight="1">
      <c r="A165" s="32" t="str">
        <f>'Trial Balance'!A350&amp;"-"&amp;'Trial Balance'!B350</f>
        <v>5660-General Advertising Expenses</v>
      </c>
      <c r="B165" s="23">
        <f>'Trial Balance'!J350</f>
        <v>18923</v>
      </c>
    </row>
    <row r="166" spans="1:2" ht="15" customHeight="1">
      <c r="A166" s="32" t="str">
        <f>'Trial Balance'!A351&amp;"-"&amp;'Trial Balance'!B351</f>
        <v>5665-Miscellaneous Expenses</v>
      </c>
      <c r="B166" s="23">
        <f>'Trial Balance'!J351</f>
        <v>92617.94</v>
      </c>
    </row>
    <row r="167" spans="1:2" ht="15" customHeight="1">
      <c r="A167" s="32" t="str">
        <f>'Trial Balance'!A352&amp;"-"&amp;'Trial Balance'!B352</f>
        <v>5670-Rent  </v>
      </c>
      <c r="B167" s="23">
        <f>'Trial Balance'!J352</f>
        <v>0</v>
      </c>
    </row>
    <row r="168" spans="1:2" ht="15" customHeight="1">
      <c r="A168" s="32" t="str">
        <f>'Trial Balance'!A353&amp;"-"&amp;'Trial Balance'!B353</f>
        <v>5675-Maintenance of General Plant</v>
      </c>
      <c r="B168" s="23">
        <f>'Trial Balance'!J353</f>
        <v>144180.11</v>
      </c>
    </row>
    <row r="169" spans="1:2" ht="15" customHeight="1">
      <c r="A169" s="32" t="str">
        <f>'Trial Balance'!A354&amp;"-"&amp;'Trial Balance'!B354</f>
        <v>5680-Electrical Safety Authority Fees</v>
      </c>
      <c r="B169" s="23">
        <f>'Trial Balance'!J354</f>
        <v>10849</v>
      </c>
    </row>
    <row r="170" spans="1:2" ht="15" customHeight="1">
      <c r="A170" s="32" t="str">
        <f>'Trial Balance'!A355&amp;"-"&amp;'Trial Balance'!B355</f>
        <v>5685-Independent Market Operator Fees and Penalties</v>
      </c>
      <c r="B170" s="23">
        <f>'Trial Balance'!J355</f>
        <v>0</v>
      </c>
    </row>
    <row r="171" spans="1:2" ht="15" customHeight="1" thickBot="1">
      <c r="A171" s="32" t="str">
        <f>'Trial Balance'!A356&amp;"-"&amp;'Trial Balance'!B356</f>
        <v>5695-OM&amp;A Contra Account</v>
      </c>
      <c r="B171" s="23">
        <f>'Trial Balance'!J356</f>
        <v>0</v>
      </c>
    </row>
    <row r="172" spans="1:2" ht="15" customHeight="1" thickBot="1">
      <c r="A172" s="38" t="s">
        <v>75</v>
      </c>
      <c r="B172" s="24">
        <f>SUM(B154:B171)</f>
        <v>2181806.72</v>
      </c>
    </row>
    <row r="173" spans="1:2" s="21" customFormat="1" ht="15" customHeight="1">
      <c r="A173" s="423"/>
      <c r="B173" s="424"/>
    </row>
    <row r="174" spans="1:2" s="21" customFormat="1" ht="15" customHeight="1">
      <c r="A174" s="425" t="s">
        <v>76</v>
      </c>
      <c r="B174" s="426"/>
    </row>
    <row r="175" spans="1:2" s="21" customFormat="1" ht="15" customHeight="1">
      <c r="A175" s="32" t="str">
        <f>'Trial Balance'!A358&amp;"-"&amp;'Trial Balance'!B358</f>
        <v>5705-Amortization Expense - Property, Plant and Equipment</v>
      </c>
      <c r="B175" s="23">
        <f>'Trial Balance'!J358</f>
        <v>2595248.0340690357</v>
      </c>
    </row>
    <row r="176" spans="1:2" s="21" customFormat="1" ht="15" customHeight="1">
      <c r="A176" s="32" t="str">
        <f>'Trial Balance'!A359&amp;"-"&amp;'Trial Balance'!B359</f>
        <v>5710-Amortization of Limited Term Electric Plant</v>
      </c>
      <c r="B176" s="23">
        <f>'Trial Balance'!J359</f>
        <v>0</v>
      </c>
    </row>
    <row r="177" spans="1:2" s="21" customFormat="1" ht="15" customHeight="1">
      <c r="A177" s="32" t="str">
        <f>'Trial Balance'!A360&amp;"-"&amp;'Trial Balance'!B360</f>
        <v>5715-Amortization of Intangibles and Other Electric Plant</v>
      </c>
      <c r="B177" s="23">
        <f>'Trial Balance'!J360</f>
        <v>0</v>
      </c>
    </row>
    <row r="178" spans="1:2" s="21" customFormat="1" ht="15" customHeight="1">
      <c r="A178" s="32" t="str">
        <f>'Trial Balance'!A361&amp;"-"&amp;'Trial Balance'!B361</f>
        <v>5720-Amortization of Electric Plant Acquisition Adjustments</v>
      </c>
      <c r="B178" s="23">
        <f>'Trial Balance'!J361</f>
        <v>0</v>
      </c>
    </row>
    <row r="179" spans="1:2" s="21" customFormat="1" ht="15" customHeight="1">
      <c r="A179" s="32" t="str">
        <f>'Trial Balance'!A362&amp;"-"&amp;'Trial Balance'!B362</f>
        <v>5725-Miscellaneous Amortization</v>
      </c>
      <c r="B179" s="23">
        <f>'Trial Balance'!J362</f>
        <v>0</v>
      </c>
    </row>
    <row r="180" spans="1:2" s="21" customFormat="1" ht="15" customHeight="1">
      <c r="A180" s="32" t="str">
        <f>'Trial Balance'!A363&amp;"-"&amp;'Trial Balance'!B363</f>
        <v>5730-Amortization of Unrecovered Plant and Regulatory Study Costs</v>
      </c>
      <c r="B180" s="23">
        <f>'Trial Balance'!J363</f>
        <v>0</v>
      </c>
    </row>
    <row r="181" spans="1:2" s="21" customFormat="1" ht="15" customHeight="1">
      <c r="A181" s="32" t="str">
        <f>'Trial Balance'!A364&amp;"-"&amp;'Trial Balance'!B364</f>
        <v>5735-Amortization of Deferred Development Costs</v>
      </c>
      <c r="B181" s="23">
        <f>'Trial Balance'!J364</f>
        <v>0</v>
      </c>
    </row>
    <row r="182" spans="1:2" ht="15" customHeight="1" thickBot="1">
      <c r="A182" s="32" t="str">
        <f>'Trial Balance'!A365&amp;"-"&amp;'Trial Balance'!B365</f>
        <v>5740-Amortization of Deferred Charges</v>
      </c>
      <c r="B182" s="23">
        <f>'Trial Balance'!J365</f>
        <v>0</v>
      </c>
    </row>
    <row r="183" spans="1:2" ht="15" customHeight="1" thickBot="1">
      <c r="A183" s="38" t="s">
        <v>77</v>
      </c>
      <c r="B183" s="24">
        <f>SUM(B175:B182)</f>
        <v>2595248.0340690357</v>
      </c>
    </row>
    <row r="184" spans="1:2" s="21" customFormat="1" ht="15" customHeight="1">
      <c r="A184" s="423"/>
      <c r="B184" s="424"/>
    </row>
    <row r="185" spans="1:2" s="21" customFormat="1" ht="15" customHeight="1">
      <c r="A185" s="425" t="s">
        <v>78</v>
      </c>
      <c r="B185" s="426"/>
    </row>
    <row r="186" spans="1:2" ht="15" customHeight="1">
      <c r="A186" s="32" t="str">
        <f>'Trial Balance'!A367&amp;"-"&amp;'Trial Balance'!B367</f>
        <v>6005-Interest on Long Term Debt</v>
      </c>
      <c r="B186" s="23">
        <f>'Trial Balance'!J367</f>
        <v>37443.96</v>
      </c>
    </row>
    <row r="187" spans="1:2" ht="15" customHeight="1">
      <c r="A187" s="32" t="str">
        <f>'Trial Balance'!A368&amp;"-"&amp;'Trial Balance'!B368</f>
        <v>6010-Amortization of Debt Discount and Expense</v>
      </c>
      <c r="B187" s="23">
        <f>'Trial Balance'!J368</f>
        <v>0</v>
      </c>
    </row>
    <row r="188" spans="1:2" ht="15" customHeight="1">
      <c r="A188" s="32" t="str">
        <f>'Trial Balance'!A369&amp;"-"&amp;'Trial Balance'!B369</f>
        <v>6015-Amortization of Premium on Debt-Credit</v>
      </c>
      <c r="B188" s="23">
        <f>'Trial Balance'!J369</f>
        <v>0</v>
      </c>
    </row>
    <row r="189" spans="1:2" ht="15" customHeight="1">
      <c r="A189" s="32" t="str">
        <f>'Trial Balance'!A370&amp;"-"&amp;'Trial Balance'!B370</f>
        <v>6020-Amortization of Loss on Reacquired Debt</v>
      </c>
      <c r="B189" s="23">
        <f>'Trial Balance'!J370</f>
        <v>0</v>
      </c>
    </row>
    <row r="190" spans="1:2" ht="15" customHeight="1">
      <c r="A190" s="32" t="str">
        <f>'Trial Balance'!A371&amp;"-"&amp;'Trial Balance'!B371</f>
        <v>6025-Amortization of Gain on Reacquired Debt-Credit</v>
      </c>
      <c r="B190" s="23">
        <f>'Trial Balance'!J371</f>
        <v>0</v>
      </c>
    </row>
    <row r="191" spans="1:2" ht="15" customHeight="1">
      <c r="A191" s="32" t="str">
        <f>'Trial Balance'!A372&amp;"-"&amp;'Trial Balance'!B372</f>
        <v>6030-Interest on Debt to Associated Companies</v>
      </c>
      <c r="B191" s="23">
        <f>'Trial Balance'!J372</f>
        <v>975580</v>
      </c>
    </row>
    <row r="192" spans="1:2" ht="15" customHeight="1">
      <c r="A192" s="32" t="str">
        <f>'Trial Balance'!A373&amp;"-"&amp;'Trial Balance'!B373</f>
        <v>6035-Other Interest Expense</v>
      </c>
      <c r="B192" s="23">
        <f>'Trial Balance'!J373</f>
        <v>44973.360154449285</v>
      </c>
    </row>
    <row r="193" spans="1:2" ht="15" customHeight="1">
      <c r="A193" s="32" t="str">
        <f>'Trial Balance'!A374&amp;"-"&amp;'Trial Balance'!B374</f>
        <v>6040-Allowance for Borrowed Funds Used During Construction-Credit</v>
      </c>
      <c r="B193" s="23">
        <f>'Trial Balance'!J374</f>
        <v>0</v>
      </c>
    </row>
    <row r="194" spans="1:2" ht="15" customHeight="1">
      <c r="A194" s="32" t="str">
        <f>'Trial Balance'!A375&amp;"-"&amp;'Trial Balance'!B375</f>
        <v>6042-Allowance for Other Funds Used During Construction</v>
      </c>
      <c r="B194" s="23">
        <f>'Trial Balance'!J375</f>
        <v>0</v>
      </c>
    </row>
    <row r="195" spans="1:2" ht="15" customHeight="1" thickBot="1">
      <c r="A195" s="32" t="str">
        <f>'Trial Balance'!A376&amp;"-"&amp;'Trial Balance'!B376</f>
        <v>6045-Interest Expense on Capital Lease Obligations</v>
      </c>
      <c r="B195" s="23">
        <f>'Trial Balance'!J376</f>
        <v>0</v>
      </c>
    </row>
    <row r="196" spans="1:2" ht="15" customHeight="1" thickBot="1">
      <c r="A196" s="38" t="s">
        <v>556</v>
      </c>
      <c r="B196" s="24">
        <f>SUM(B186:B195)</f>
        <v>1057997.3201544492</v>
      </c>
    </row>
    <row r="197" spans="1:2" s="21" customFormat="1" ht="15" customHeight="1">
      <c r="A197" s="423"/>
      <c r="B197" s="424"/>
    </row>
    <row r="198" spans="1:2" s="21" customFormat="1" ht="15" customHeight="1">
      <c r="A198" s="425" t="s">
        <v>557</v>
      </c>
      <c r="B198" s="426"/>
    </row>
    <row r="199" spans="1:2" ht="15" customHeight="1" thickBot="1">
      <c r="A199" s="32" t="str">
        <f>'Trial Balance'!A378&amp;"-"&amp;'Trial Balance'!B378</f>
        <v>6105-Taxes Other Than Income Taxes</v>
      </c>
      <c r="B199" s="23">
        <f>'Trial Balance'!J378</f>
        <v>62428.78</v>
      </c>
    </row>
    <row r="200" spans="1:2" ht="15" customHeight="1" thickBot="1">
      <c r="A200" s="38" t="s">
        <v>560</v>
      </c>
      <c r="B200" s="24">
        <f>SUM(B199)</f>
        <v>62428.78</v>
      </c>
    </row>
    <row r="201" spans="1:2" s="21" customFormat="1" ht="15" customHeight="1">
      <c r="A201" s="423"/>
      <c r="B201" s="424"/>
    </row>
    <row r="202" spans="1:2" s="21" customFormat="1" ht="15" customHeight="1">
      <c r="A202" s="425" t="s">
        <v>561</v>
      </c>
      <c r="B202" s="426"/>
    </row>
    <row r="203" spans="1:2" ht="15" customHeight="1">
      <c r="A203" s="32" t="str">
        <f>'Trial Balance'!A379&amp;"-"&amp;'Trial Balance'!B379</f>
        <v>6110-Income Taxes</v>
      </c>
      <c r="B203" s="23">
        <f>'Trial Balance'!J379</f>
        <v>774768.619330172</v>
      </c>
    </row>
    <row r="204" spans="1:2" ht="15" customHeight="1" thickBot="1">
      <c r="A204" s="32" t="str">
        <f>'Trial Balance'!A380&amp;"-"&amp;'Trial Balance'!B380</f>
        <v>6115-Provision for Future Income Taxes</v>
      </c>
      <c r="B204" s="23">
        <f>'Trial Balance'!J380</f>
        <v>0</v>
      </c>
    </row>
    <row r="205" spans="1:2" ht="15" customHeight="1" thickBot="1">
      <c r="A205" s="38" t="s">
        <v>562</v>
      </c>
      <c r="B205" s="24">
        <f>SUM(B203:B204)</f>
        <v>774768.619330172</v>
      </c>
    </row>
    <row r="206" spans="1:2" s="21" customFormat="1" ht="15" customHeight="1">
      <c r="A206" s="423"/>
      <c r="B206" s="424"/>
    </row>
    <row r="207" spans="1:2" s="21" customFormat="1" ht="15" customHeight="1">
      <c r="A207" s="425" t="s">
        <v>542</v>
      </c>
      <c r="B207" s="426"/>
    </row>
    <row r="208" spans="1:2" ht="15" customHeight="1">
      <c r="A208" s="32" t="str">
        <f>'Trial Balance'!A382&amp;"-"&amp;'Trial Balance'!B382</f>
        <v>6205-Donations</v>
      </c>
      <c r="B208" s="23">
        <f>'Trial Balance'!J382</f>
        <v>6000</v>
      </c>
    </row>
    <row r="209" spans="1:2" ht="15" customHeight="1">
      <c r="A209" s="32" t="str">
        <f>'Trial Balance'!A383&amp;"-"&amp;'Trial Balance'!B383</f>
        <v>6210-Life Insurance</v>
      </c>
      <c r="B209" s="23">
        <f>'Trial Balance'!J383</f>
        <v>0</v>
      </c>
    </row>
    <row r="210" spans="1:2" ht="15" customHeight="1">
      <c r="A210" s="32" t="str">
        <f>'Trial Balance'!A384&amp;"-"&amp;'Trial Balance'!B384</f>
        <v>6215-Penalties</v>
      </c>
      <c r="B210" s="23">
        <f>'Trial Balance'!J384</f>
        <v>0</v>
      </c>
    </row>
    <row r="211" spans="1:7" ht="15" customHeight="1">
      <c r="A211" s="32" t="str">
        <f>'Trial Balance'!A385&amp;"-"&amp;'Trial Balance'!B385</f>
        <v>6225-Other Deductions</v>
      </c>
      <c r="B211" s="23">
        <f>'Trial Balance'!J384</f>
        <v>0</v>
      </c>
      <c r="D211" s="13"/>
      <c r="E211" s="13"/>
      <c r="F211" s="13"/>
      <c r="G211" s="13"/>
    </row>
    <row r="212" spans="1:7" ht="15" customHeight="1" thickBot="1">
      <c r="A212" s="32" t="str">
        <f>'Trial Balance'!A388&amp;"-"&amp;'Trial Balance'!B388</f>
        <v>6310-Extraordinary Deductions</v>
      </c>
      <c r="B212" s="23">
        <f>'Trial Balance'!J388</f>
        <v>1935769.26</v>
      </c>
      <c r="D212" s="13"/>
      <c r="E212" s="13"/>
      <c r="F212" s="13"/>
      <c r="G212" s="13"/>
    </row>
    <row r="213" spans="1:2" ht="15" customHeight="1" thickBot="1">
      <c r="A213" s="38" t="s">
        <v>543</v>
      </c>
      <c r="B213" s="24">
        <f>SUM(B208:B212)</f>
        <v>1941769.26</v>
      </c>
    </row>
    <row r="214" spans="1:7" s="13" customFormat="1" ht="15" customHeight="1" thickBot="1">
      <c r="A214" s="423"/>
      <c r="B214" s="424"/>
      <c r="D214"/>
      <c r="E214"/>
      <c r="F214"/>
      <c r="G214"/>
    </row>
    <row r="215" spans="1:2" ht="18.75" customHeight="1" thickBot="1">
      <c r="A215" s="39" t="s">
        <v>817</v>
      </c>
      <c r="B215" s="26">
        <f>B24+B31+B43+B66+B71+B85+B111+B132+B143+B151+B172+B183+B196+B200+B205+B213</f>
        <v>468981.4922398182</v>
      </c>
    </row>
    <row r="216" spans="1:2" ht="15">
      <c r="A216" s="11"/>
      <c r="B216" s="11"/>
    </row>
    <row r="217" spans="1:2" ht="15">
      <c r="A217" s="11"/>
      <c r="B217" s="11"/>
    </row>
    <row r="218" spans="1:2" ht="15">
      <c r="A218" s="11"/>
      <c r="B218" s="398"/>
    </row>
    <row r="219" spans="1:2" ht="15">
      <c r="A219" s="11"/>
      <c r="B219" s="11"/>
    </row>
    <row r="220" spans="1:2" ht="15">
      <c r="A220" s="11"/>
      <c r="B220" s="11"/>
    </row>
    <row r="221" spans="1:2" ht="15">
      <c r="A221" s="11"/>
      <c r="B221" s="11"/>
    </row>
    <row r="222" spans="1:2" ht="15">
      <c r="A222" s="11"/>
      <c r="B222" s="11"/>
    </row>
    <row r="223" spans="1:2" ht="15">
      <c r="A223" s="11"/>
      <c r="B223" s="11"/>
    </row>
    <row r="224" spans="1:2" ht="15">
      <c r="A224" s="11"/>
      <c r="B224" s="11"/>
    </row>
    <row r="225" spans="1:2" ht="15">
      <c r="A225" s="11"/>
      <c r="B225" s="11"/>
    </row>
    <row r="226" spans="1:2" ht="15">
      <c r="A226" s="11"/>
      <c r="B226" s="11"/>
    </row>
    <row r="227" spans="1:2" ht="15">
      <c r="A227" s="11"/>
      <c r="B227" s="11"/>
    </row>
    <row r="228" spans="1:2" ht="15">
      <c r="A228" s="11"/>
      <c r="B228" s="11"/>
    </row>
    <row r="229" spans="1:2" ht="15">
      <c r="A229" s="11"/>
      <c r="B229" s="11"/>
    </row>
    <row r="230" spans="1:2" ht="15">
      <c r="A230" s="11"/>
      <c r="B230" s="11"/>
    </row>
    <row r="231" spans="1:2" ht="15">
      <c r="A231" s="11"/>
      <c r="B231" s="11"/>
    </row>
    <row r="232" spans="1:2" ht="15">
      <c r="A232" s="11"/>
      <c r="B232" s="11"/>
    </row>
    <row r="233" spans="1:2" ht="15">
      <c r="A233" s="11"/>
      <c r="B233" s="11"/>
    </row>
    <row r="234" spans="1:2" ht="15">
      <c r="A234" s="11"/>
      <c r="B234" s="11"/>
    </row>
    <row r="235" spans="1:2" ht="15">
      <c r="A235" s="11"/>
      <c r="B235" s="11"/>
    </row>
    <row r="236" spans="1:2" ht="15">
      <c r="A236" s="11"/>
      <c r="B236" s="11"/>
    </row>
    <row r="237" spans="1:2" ht="15">
      <c r="A237" s="11"/>
      <c r="B237" s="11"/>
    </row>
    <row r="238" spans="1:2" ht="15">
      <c r="A238" s="11"/>
      <c r="B238" s="11"/>
    </row>
    <row r="239" spans="1:2" ht="15">
      <c r="A239" s="11"/>
      <c r="B239" s="11"/>
    </row>
    <row r="240" spans="1:2" ht="15">
      <c r="A240" s="11"/>
      <c r="B240" s="11"/>
    </row>
    <row r="241" spans="1:2" ht="15">
      <c r="A241" s="11"/>
      <c r="B241" s="11"/>
    </row>
    <row r="242" spans="1:2" ht="15">
      <c r="A242" s="11"/>
      <c r="B242" s="11"/>
    </row>
    <row r="243" spans="1:2" ht="15">
      <c r="A243" s="11"/>
      <c r="B243" s="11"/>
    </row>
    <row r="244" spans="1:2" ht="15">
      <c r="A244" s="11"/>
      <c r="B244" s="11"/>
    </row>
    <row r="245" spans="1:2" ht="15">
      <c r="A245" s="11"/>
      <c r="B245" s="11"/>
    </row>
    <row r="246" spans="1:2" ht="15">
      <c r="A246" s="11"/>
      <c r="B246" s="11"/>
    </row>
    <row r="247" spans="1:2" ht="15">
      <c r="A247" s="11"/>
      <c r="B247" s="11"/>
    </row>
    <row r="248" spans="1:2" ht="15">
      <c r="A248" s="11"/>
      <c r="B248" s="11"/>
    </row>
    <row r="249" spans="1:2" ht="15">
      <c r="A249" s="11"/>
      <c r="B249" s="11"/>
    </row>
    <row r="250" spans="1:2" ht="15">
      <c r="A250" s="11"/>
      <c r="B250" s="11"/>
    </row>
    <row r="251" spans="1:2" ht="15">
      <c r="A251" s="11"/>
      <c r="B251" s="11"/>
    </row>
    <row r="252" spans="1:2" ht="15">
      <c r="A252" s="11"/>
      <c r="B252" s="11"/>
    </row>
    <row r="253" spans="1:2" ht="15">
      <c r="A253" s="11"/>
      <c r="B253" s="11"/>
    </row>
    <row r="254" spans="1:2" ht="15">
      <c r="A254" s="11"/>
      <c r="B254" s="11"/>
    </row>
    <row r="255" spans="1:2" ht="15">
      <c r="A255" s="11"/>
      <c r="B255" s="11"/>
    </row>
    <row r="256" spans="1:2" ht="15">
      <c r="A256" s="11"/>
      <c r="B256" s="11"/>
    </row>
    <row r="257" spans="1:2" ht="15">
      <c r="A257" s="11"/>
      <c r="B257" s="11"/>
    </row>
    <row r="258" spans="1:2" ht="15">
      <c r="A258" s="11"/>
      <c r="B258" s="11"/>
    </row>
    <row r="259" spans="1:2" ht="15">
      <c r="A259" s="11"/>
      <c r="B259" s="11"/>
    </row>
    <row r="260" spans="1:2" ht="15">
      <c r="A260" s="11"/>
      <c r="B260" s="11"/>
    </row>
    <row r="261" spans="1:2" ht="15">
      <c r="A261" s="11"/>
      <c r="B261" s="11"/>
    </row>
    <row r="262" spans="1:2" ht="15">
      <c r="A262" s="11"/>
      <c r="B262" s="11"/>
    </row>
    <row r="263" spans="1:2" ht="15">
      <c r="A263" s="11"/>
      <c r="B263" s="11"/>
    </row>
    <row r="264" spans="1:2" ht="15">
      <c r="A264" s="11"/>
      <c r="B264" s="11"/>
    </row>
    <row r="265" spans="1:2" ht="15">
      <c r="A265" s="11"/>
      <c r="B265" s="11"/>
    </row>
    <row r="266" spans="1:2" ht="15">
      <c r="A266" s="11"/>
      <c r="B266" s="11"/>
    </row>
    <row r="267" spans="1:2" ht="15">
      <c r="A267" s="11"/>
      <c r="B267" s="11"/>
    </row>
    <row r="268" spans="1:2" ht="15">
      <c r="A268" s="11"/>
      <c r="B268" s="11"/>
    </row>
    <row r="269" spans="1:2" ht="15">
      <c r="A269" s="11"/>
      <c r="B269" s="11"/>
    </row>
    <row r="270" spans="1:2" ht="15">
      <c r="A270" s="11"/>
      <c r="B270" s="11"/>
    </row>
    <row r="271" spans="1:2" ht="15">
      <c r="A271" s="11"/>
      <c r="B271" s="11"/>
    </row>
    <row r="272" spans="1:2" ht="15">
      <c r="A272" s="11"/>
      <c r="B272" s="11"/>
    </row>
    <row r="273" spans="1:2" ht="15">
      <c r="A273" s="11"/>
      <c r="B273" s="11"/>
    </row>
    <row r="274" spans="1:2" ht="15">
      <c r="A274" s="11"/>
      <c r="B274" s="11"/>
    </row>
    <row r="275" spans="1:2" ht="15">
      <c r="A275" s="11"/>
      <c r="B275" s="11"/>
    </row>
    <row r="276" spans="1:2" ht="15">
      <c r="A276" s="11"/>
      <c r="B276" s="11"/>
    </row>
    <row r="277" spans="1:2" ht="15">
      <c r="A277" s="11"/>
      <c r="B277" s="11"/>
    </row>
    <row r="278" spans="1:2" ht="15">
      <c r="A278" s="11"/>
      <c r="B278" s="11"/>
    </row>
    <row r="279" spans="1:2" ht="15">
      <c r="A279" s="11"/>
      <c r="B279" s="11"/>
    </row>
    <row r="280" spans="1:2" ht="15">
      <c r="A280" s="11"/>
      <c r="B280" s="11"/>
    </row>
    <row r="281" spans="1:2" ht="15">
      <c r="A281" s="11"/>
      <c r="B281" s="11"/>
    </row>
    <row r="282" spans="1:2" ht="15">
      <c r="A282" s="11"/>
      <c r="B282" s="11"/>
    </row>
    <row r="283" spans="1:2" ht="15">
      <c r="A283" s="11"/>
      <c r="B283" s="11"/>
    </row>
    <row r="284" spans="1:2" ht="15">
      <c r="A284" s="11"/>
      <c r="B284" s="11"/>
    </row>
    <row r="285" spans="1:2" ht="15">
      <c r="A285" s="11"/>
      <c r="B285" s="11"/>
    </row>
    <row r="286" spans="1:2" ht="15">
      <c r="A286" s="11"/>
      <c r="B286" s="11"/>
    </row>
    <row r="287" spans="1:2" ht="15">
      <c r="A287" s="11"/>
      <c r="B287" s="11"/>
    </row>
    <row r="288" spans="1:2" ht="15">
      <c r="A288" s="11"/>
      <c r="B288" s="11"/>
    </row>
    <row r="289" spans="1:2" ht="15">
      <c r="A289" s="11"/>
      <c r="B289" s="11"/>
    </row>
    <row r="290" spans="1:2" ht="15">
      <c r="A290" s="11"/>
      <c r="B290" s="11"/>
    </row>
    <row r="291" spans="1:2" ht="15">
      <c r="A291" s="11"/>
      <c r="B291" s="11"/>
    </row>
    <row r="292" spans="1:2" ht="15">
      <c r="A292" s="11"/>
      <c r="B292" s="11"/>
    </row>
    <row r="293" spans="1:2" ht="15">
      <c r="A293" s="11"/>
      <c r="B293" s="11"/>
    </row>
    <row r="294" spans="1:2" ht="15">
      <c r="A294" s="11"/>
      <c r="B294" s="11"/>
    </row>
    <row r="295" spans="1:2" ht="15">
      <c r="A295" s="11"/>
      <c r="B295" s="11"/>
    </row>
    <row r="296" spans="1:2" ht="15">
      <c r="A296" s="11"/>
      <c r="B296" s="11"/>
    </row>
    <row r="297" spans="1:2" ht="15">
      <c r="A297" s="11"/>
      <c r="B297" s="11"/>
    </row>
    <row r="298" spans="1:2" ht="15">
      <c r="A298" s="11"/>
      <c r="B298" s="11"/>
    </row>
    <row r="299" spans="1:2" ht="15">
      <c r="A299" s="11"/>
      <c r="B299" s="11"/>
    </row>
    <row r="300" spans="1:2" ht="15">
      <c r="A300" s="11"/>
      <c r="B300" s="11"/>
    </row>
    <row r="301" spans="1:2" ht="15">
      <c r="A301" s="11"/>
      <c r="B301" s="11"/>
    </row>
    <row r="302" spans="1:2" ht="15">
      <c r="A302" s="11"/>
      <c r="B302" s="11"/>
    </row>
    <row r="303" spans="1:2" ht="15">
      <c r="A303" s="11"/>
      <c r="B303" s="11"/>
    </row>
    <row r="304" spans="1:2" ht="15">
      <c r="A304" s="11"/>
      <c r="B304" s="11"/>
    </row>
    <row r="305" spans="1:2" ht="15">
      <c r="A305" s="11"/>
      <c r="B305" s="11"/>
    </row>
    <row r="306" spans="1:2" ht="15">
      <c r="A306" s="11"/>
      <c r="B306" s="11"/>
    </row>
    <row r="307" spans="1:2" ht="15">
      <c r="A307" s="11"/>
      <c r="B307" s="11"/>
    </row>
    <row r="308" spans="1:2" ht="15">
      <c r="A308" s="11"/>
      <c r="B308" s="11"/>
    </row>
    <row r="309" spans="1:2" ht="15">
      <c r="A309" s="11"/>
      <c r="B309" s="11"/>
    </row>
    <row r="310" spans="1:2" ht="15">
      <c r="A310" s="11"/>
      <c r="B310" s="11"/>
    </row>
    <row r="311" spans="1:2" ht="15">
      <c r="A311" s="11"/>
      <c r="B311" s="11"/>
    </row>
    <row r="312" spans="1:2" ht="15">
      <c r="A312" s="11"/>
      <c r="B312" s="11"/>
    </row>
    <row r="313" spans="1:2" ht="15">
      <c r="A313" s="11"/>
      <c r="B313" s="11"/>
    </row>
    <row r="314" spans="1:2" ht="15">
      <c r="A314" s="11"/>
      <c r="B314" s="11"/>
    </row>
    <row r="315" spans="1:2" ht="15">
      <c r="A315" s="11"/>
      <c r="B315" s="11"/>
    </row>
    <row r="316" spans="1:2" ht="15">
      <c r="A316" s="11"/>
      <c r="B316" s="11"/>
    </row>
    <row r="317" spans="1:2" ht="15">
      <c r="A317" s="11"/>
      <c r="B317" s="11"/>
    </row>
    <row r="318" spans="1:2" ht="15">
      <c r="A318" s="11"/>
      <c r="B318" s="11"/>
    </row>
    <row r="319" spans="1:2" ht="15">
      <c r="A319" s="11"/>
      <c r="B319" s="11"/>
    </row>
    <row r="320" spans="1:2" ht="15">
      <c r="A320" s="11"/>
      <c r="B320" s="11"/>
    </row>
    <row r="321" spans="1:2" ht="15">
      <c r="A321" s="11"/>
      <c r="B321" s="11"/>
    </row>
    <row r="322" spans="1:2" ht="15">
      <c r="A322" s="11"/>
      <c r="B322" s="11"/>
    </row>
    <row r="323" spans="1:2" ht="15">
      <c r="A323" s="11"/>
      <c r="B323" s="11"/>
    </row>
    <row r="324" spans="1:2" ht="15">
      <c r="A324" s="11"/>
      <c r="B324" s="11"/>
    </row>
    <row r="325" spans="1:2" ht="15">
      <c r="A325" s="11"/>
      <c r="B325" s="11"/>
    </row>
    <row r="326" spans="1:2" ht="15">
      <c r="A326" s="11"/>
      <c r="B326" s="11"/>
    </row>
    <row r="327" spans="1:2" ht="15">
      <c r="A327" s="11"/>
      <c r="B327" s="11"/>
    </row>
    <row r="328" spans="1:2" ht="15">
      <c r="A328" s="11"/>
      <c r="B328" s="11"/>
    </row>
    <row r="329" spans="1:2" ht="15">
      <c r="A329" s="11"/>
      <c r="B329" s="11"/>
    </row>
    <row r="330" spans="1:2" ht="15">
      <c r="A330" s="11"/>
      <c r="B330" s="11"/>
    </row>
    <row r="331" spans="1:2" ht="15">
      <c r="A331" s="11"/>
      <c r="B331" s="11"/>
    </row>
  </sheetData>
  <mergeCells count="36">
    <mergeCell ref="A3:B3"/>
    <mergeCell ref="A4:B4"/>
    <mergeCell ref="A6:B6"/>
    <mergeCell ref="A1:B1"/>
    <mergeCell ref="A2:B2"/>
    <mergeCell ref="A44:B44"/>
    <mergeCell ref="A67:B67"/>
    <mergeCell ref="A68:B68"/>
    <mergeCell ref="A72:B72"/>
    <mergeCell ref="A45:B45"/>
    <mergeCell ref="A25:B25"/>
    <mergeCell ref="A26:B26"/>
    <mergeCell ref="A32:B32"/>
    <mergeCell ref="A33:B33"/>
    <mergeCell ref="A73:B73"/>
    <mergeCell ref="A86:B86"/>
    <mergeCell ref="A87:B87"/>
    <mergeCell ref="A112:B112"/>
    <mergeCell ref="A113:B113"/>
    <mergeCell ref="A152:B152"/>
    <mergeCell ref="A173:B173"/>
    <mergeCell ref="A174:B174"/>
    <mergeCell ref="A145:B145"/>
    <mergeCell ref="A134:B134"/>
    <mergeCell ref="A153:B153"/>
    <mergeCell ref="A133:B133"/>
    <mergeCell ref="A144:B144"/>
    <mergeCell ref="A184:B184"/>
    <mergeCell ref="A185:B185"/>
    <mergeCell ref="A197:B197"/>
    <mergeCell ref="A198:B198"/>
    <mergeCell ref="A214:B214"/>
    <mergeCell ref="A201:B201"/>
    <mergeCell ref="A202:B202"/>
    <mergeCell ref="A206:B206"/>
    <mergeCell ref="A207:B207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portrait" scale="96" r:id="rId1"/>
  <headerFooter alignWithMargins="0">
    <oddFooter>&amp;L&amp;A</oddFooter>
  </headerFooter>
  <rowBreaks count="5" manualBreakCount="5">
    <brk id="44" max="255" man="1"/>
    <brk id="86" max="255" man="1"/>
    <brk id="112" max="255" man="1"/>
    <brk id="152" max="255" man="1"/>
    <brk id="18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C354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73.28125" style="30" customWidth="1"/>
    <col min="2" max="2" width="20.8515625" style="0" customWidth="1"/>
    <col min="3" max="3" width="10.28125" style="0" bestFit="1" customWidth="1"/>
  </cols>
  <sheetData>
    <row r="1" spans="1:2" ht="12.75">
      <c r="A1" s="441" t="str">
        <f>'Trial Balance'!A1:J1</f>
        <v>North Bay Hydro Distribution Ltd.</v>
      </c>
      <c r="B1" s="441"/>
    </row>
    <row r="2" spans="1:2" ht="12.75">
      <c r="A2" s="441" t="str">
        <f>'Trial Balance'!A2:J2</f>
        <v>License Number ED-2003-0024, File Number EB-2009-0270</v>
      </c>
      <c r="B2" s="441"/>
    </row>
    <row r="3" spans="1:2" ht="15.75">
      <c r="A3" s="433" t="str">
        <f>Notes!B4</f>
        <v>North Bay Hydro Distribution Ltd.</v>
      </c>
      <c r="B3" s="433"/>
    </row>
    <row r="4" spans="1:2" ht="15.75">
      <c r="A4" s="433" t="s">
        <v>826</v>
      </c>
      <c r="B4" s="433"/>
    </row>
    <row r="5" spans="1:2" ht="15" customHeight="1">
      <c r="A5" s="71" t="s">
        <v>545</v>
      </c>
      <c r="B5" s="71" t="s">
        <v>153</v>
      </c>
    </row>
    <row r="6" spans="1:2" s="21" customFormat="1" ht="15" customHeight="1">
      <c r="A6" s="434" t="s">
        <v>148</v>
      </c>
      <c r="B6" s="434"/>
    </row>
    <row r="7" spans="1:2" ht="15" customHeight="1">
      <c r="A7" s="32" t="str">
        <f>'Trial Balance'!A8&amp;"-"&amp;'Trial Balance'!B8</f>
        <v>1005-Cash</v>
      </c>
      <c r="B7" s="23">
        <f>'Trial Balance'!L8</f>
        <v>3935552.9241519338</v>
      </c>
    </row>
    <row r="8" spans="1:2" ht="15" customHeight="1">
      <c r="A8" s="32" t="str">
        <f>'Trial Balance'!A9&amp;"-"&amp;'Trial Balance'!B9</f>
        <v>1010-Cash Advances and Working Funds</v>
      </c>
      <c r="B8" s="23">
        <f>'Trial Balance'!L9</f>
        <v>0</v>
      </c>
    </row>
    <row r="9" spans="1:2" ht="15" customHeight="1">
      <c r="A9" s="32" t="str">
        <f>'Trial Balance'!A10&amp;"-"&amp;'Trial Balance'!B10</f>
        <v>1020-Interest Special Deposits</v>
      </c>
      <c r="B9" s="23">
        <f>'Trial Balance'!L10</f>
        <v>0</v>
      </c>
    </row>
    <row r="10" spans="1:2" ht="15" customHeight="1">
      <c r="A10" s="32" t="str">
        <f>'Trial Balance'!A11&amp;"-"&amp;'Trial Balance'!B11</f>
        <v>1030-Dividend Special Deposits</v>
      </c>
      <c r="B10" s="23">
        <f>'Trial Balance'!L11</f>
        <v>0</v>
      </c>
    </row>
    <row r="11" spans="1:2" ht="15" customHeight="1">
      <c r="A11" s="32" t="str">
        <f>'Trial Balance'!A12&amp;"-"&amp;'Trial Balance'!B12</f>
        <v>1040-Other Special Deposits</v>
      </c>
      <c r="B11" s="23">
        <f>'Trial Balance'!L12</f>
        <v>0</v>
      </c>
    </row>
    <row r="12" spans="1:2" ht="15" customHeight="1">
      <c r="A12" s="32" t="str">
        <f>'Trial Balance'!A13&amp;"-"&amp;'Trial Balance'!B13</f>
        <v>1060-Term Deposits</v>
      </c>
      <c r="B12" s="23">
        <f>'Trial Balance'!L13</f>
        <v>2438251.72</v>
      </c>
    </row>
    <row r="13" spans="1:2" ht="15" customHeight="1">
      <c r="A13" s="32" t="str">
        <f>'Trial Balance'!A14&amp;"-"&amp;'Trial Balance'!B14</f>
        <v>1070-Current Investments</v>
      </c>
      <c r="B13" s="23">
        <f>'Trial Balance'!L14</f>
        <v>0</v>
      </c>
    </row>
    <row r="14" spans="1:2" ht="15" customHeight="1">
      <c r="A14" s="32" t="str">
        <f>'Trial Balance'!A15&amp;"-"&amp;'Trial Balance'!B15</f>
        <v>1100-Customer Accounts Receivable</v>
      </c>
      <c r="B14" s="23">
        <f>'Trial Balance'!L15</f>
        <v>4964933.166393105</v>
      </c>
    </row>
    <row r="15" spans="1:2" ht="15" customHeight="1">
      <c r="A15" s="32" t="str">
        <f>'Trial Balance'!A16&amp;"-"&amp;'Trial Balance'!B16</f>
        <v>1102-Accounts Receivable - Services</v>
      </c>
      <c r="B15" s="23">
        <f>'Trial Balance'!L16</f>
        <v>-257309.09624678965</v>
      </c>
    </row>
    <row r="16" spans="1:2" ht="15" customHeight="1">
      <c r="A16" s="32" t="str">
        <f>'Trial Balance'!A17&amp;"-"&amp;'Trial Balance'!B17</f>
        <v>1104-Accounts Receivable - Recoverable Work</v>
      </c>
      <c r="B16" s="23">
        <f>'Trial Balance'!L17</f>
        <v>327651.7171870619</v>
      </c>
    </row>
    <row r="17" spans="1:2" ht="15" customHeight="1">
      <c r="A17" s="32" t="str">
        <f>'Trial Balance'!A18&amp;"-"&amp;'Trial Balance'!B18</f>
        <v>1105-Accounts Receivable - Merchandise, Jobbing, etc.</v>
      </c>
      <c r="B17" s="23">
        <f>'Trial Balance'!L18</f>
        <v>2608.4656343583415</v>
      </c>
    </row>
    <row r="18" spans="1:2" ht="15" customHeight="1">
      <c r="A18" s="32" t="str">
        <f>'Trial Balance'!A19&amp;"-"&amp;'Trial Balance'!B19</f>
        <v>1110-Other Accounts Receivable</v>
      </c>
      <c r="B18" s="23">
        <f>'Trial Balance'!L19</f>
        <v>199303.25766013915</v>
      </c>
    </row>
    <row r="19" spans="1:2" ht="15" customHeight="1">
      <c r="A19" s="32" t="str">
        <f>'Trial Balance'!A20&amp;"-"&amp;'Trial Balance'!B20</f>
        <v>1120-Accrued Utility Revenues</v>
      </c>
      <c r="B19" s="23">
        <f>'Trial Balance'!L20</f>
        <v>6040620.935214063</v>
      </c>
    </row>
    <row r="20" spans="1:2" ht="15" customHeight="1">
      <c r="A20" s="32" t="str">
        <f>'Trial Balance'!A21&amp;"-"&amp;'Trial Balance'!B21</f>
        <v>1130-Accumulated Provision for Uncollectable Accounts -- Credit</v>
      </c>
      <c r="B20" s="23">
        <f>'Trial Balance'!L21</f>
        <v>-515974.85705326335</v>
      </c>
    </row>
    <row r="21" spans="1:2" ht="15" customHeight="1">
      <c r="A21" s="32" t="str">
        <f>'Trial Balance'!A22&amp;"-"&amp;'Trial Balance'!B22</f>
        <v>1140-Interest and Dividends Receivable</v>
      </c>
      <c r="B21" s="23">
        <f>'Trial Balance'!L22</f>
        <v>0</v>
      </c>
    </row>
    <row r="22" spans="1:2" ht="15" customHeight="1">
      <c r="A22" s="32" t="str">
        <f>'Trial Balance'!A23&amp;"-"&amp;'Trial Balance'!B23</f>
        <v>1150-Rents Receivable</v>
      </c>
      <c r="B22" s="23">
        <f>'Trial Balance'!L23</f>
        <v>0</v>
      </c>
    </row>
    <row r="23" spans="1:2" ht="15" customHeight="1">
      <c r="A23" s="32" t="str">
        <f>'Trial Balance'!A24&amp;"-"&amp;'Trial Balance'!B24</f>
        <v>1170-Notes Receivable</v>
      </c>
      <c r="B23" s="23">
        <f>'Trial Balance'!L24</f>
        <v>0</v>
      </c>
    </row>
    <row r="24" spans="1:2" ht="15" customHeight="1">
      <c r="A24" s="32" t="str">
        <f>'Trial Balance'!A25&amp;"-"&amp;'Trial Balance'!B25</f>
        <v>1180-Prepayments</v>
      </c>
      <c r="B24" s="23">
        <f>'Trial Balance'!L25</f>
        <v>387450.5462696535</v>
      </c>
    </row>
    <row r="25" spans="1:2" ht="15" customHeight="1">
      <c r="A25" s="32" t="str">
        <f>'Trial Balance'!A26&amp;"-"&amp;'Trial Balance'!B26</f>
        <v>1190-Miscellaneous Current and Accrued Assets</v>
      </c>
      <c r="B25" s="23">
        <f>'Trial Balance'!L26</f>
        <v>0</v>
      </c>
    </row>
    <row r="26" spans="1:2" ht="15" customHeight="1">
      <c r="A26" s="32" t="str">
        <f>'Trial Balance'!A27&amp;"-"&amp;'Trial Balance'!B27</f>
        <v>1200-Accounts Receivable from Associated Companies</v>
      </c>
      <c r="B26" s="23">
        <f>'Trial Balance'!L27</f>
        <v>367667.0917006224</v>
      </c>
    </row>
    <row r="27" spans="1:2" ht="15" customHeight="1" thickBot="1">
      <c r="A27" s="32" t="str">
        <f>'Trial Balance'!A28&amp;"-"&amp;'Trial Balance'!B28</f>
        <v>1210-Notes  Receivable from Associated Companies</v>
      </c>
      <c r="B27" s="23">
        <f>'Trial Balance'!L28</f>
        <v>0</v>
      </c>
    </row>
    <row r="28" spans="1:2" ht="15" customHeight="1" thickBot="1">
      <c r="A28" s="34" t="s">
        <v>149</v>
      </c>
      <c r="B28" s="31">
        <f>SUM(B7:B27)</f>
        <v>17890755.870910883</v>
      </c>
    </row>
    <row r="29" spans="1:2" s="21" customFormat="1" ht="8.25" customHeight="1">
      <c r="A29" s="435"/>
      <c r="B29" s="435"/>
    </row>
    <row r="30" spans="1:2" s="21" customFormat="1" ht="15" customHeight="1">
      <c r="A30" s="432" t="s">
        <v>150</v>
      </c>
      <c r="B30" s="432"/>
    </row>
    <row r="31" spans="1:2" ht="15" customHeight="1">
      <c r="A31" s="32" t="str">
        <f>'Trial Balance'!A30&amp;"-"&amp;'Trial Balance'!B30</f>
        <v>1305-Fuel Stock</v>
      </c>
      <c r="B31" s="23">
        <f>'Trial Balance'!L30</f>
        <v>0</v>
      </c>
    </row>
    <row r="32" spans="1:2" ht="15" customHeight="1">
      <c r="A32" s="32" t="str">
        <f>'Trial Balance'!A31&amp;"-"&amp;'Trial Balance'!B31</f>
        <v>1330-Plant Materials and Operating Supplies</v>
      </c>
      <c r="B32" s="23">
        <f>'Trial Balance'!L31</f>
        <v>987403.1788731709</v>
      </c>
    </row>
    <row r="33" spans="1:2" ht="15" customHeight="1">
      <c r="A33" s="32" t="str">
        <f>'Trial Balance'!A32&amp;"-"&amp;'Trial Balance'!B32</f>
        <v>1340-Merchandise</v>
      </c>
      <c r="B33" s="23">
        <f>'Trial Balance'!L32</f>
        <v>0</v>
      </c>
    </row>
    <row r="34" spans="1:2" ht="15" customHeight="1" thickBot="1">
      <c r="A34" s="32" t="str">
        <f>'Trial Balance'!A33&amp;"-"&amp;'Trial Balance'!B33</f>
        <v>1350-Other Material and Supplies</v>
      </c>
      <c r="B34" s="23">
        <f>'Trial Balance'!L33</f>
        <v>0</v>
      </c>
    </row>
    <row r="35" spans="1:2" ht="15" customHeight="1" thickBot="1">
      <c r="A35" s="35" t="s">
        <v>102</v>
      </c>
      <c r="B35" s="31">
        <f>SUM(B31:B34)</f>
        <v>987403.1788731709</v>
      </c>
    </row>
    <row r="36" spans="1:2" s="21" customFormat="1" ht="15" customHeight="1">
      <c r="A36" s="28"/>
      <c r="B36" s="12"/>
    </row>
    <row r="37" spans="1:2" s="21" customFormat="1" ht="15" customHeight="1">
      <c r="A37" s="432" t="s">
        <v>103</v>
      </c>
      <c r="B37" s="432"/>
    </row>
    <row r="38" spans="1:2" ht="15" customHeight="1">
      <c r="A38" s="32" t="str">
        <f>'Trial Balance'!A35&amp;"-"&amp;'Trial Balance'!B35</f>
        <v>1405-Long Term Investments in Non-Associated Companies</v>
      </c>
      <c r="B38" s="23">
        <f>'Trial Balance'!L35</f>
        <v>0</v>
      </c>
    </row>
    <row r="39" spans="1:2" ht="15" customHeight="1">
      <c r="A39" s="32" t="str">
        <f>'Trial Balance'!A36&amp;"-"&amp;'Trial Balance'!B36</f>
        <v>1408-Long Term Receivable - Street Lighting Transfer</v>
      </c>
      <c r="B39" s="23">
        <f>'Trial Balance'!L36</f>
        <v>0</v>
      </c>
    </row>
    <row r="40" spans="1:2" ht="15" customHeight="1">
      <c r="A40" s="32" t="str">
        <f>'Trial Balance'!A37&amp;"-"&amp;'Trial Balance'!B37</f>
        <v>1410-Other Special or Collateral Funds</v>
      </c>
      <c r="B40" s="23">
        <f>'Trial Balance'!L37</f>
        <v>0</v>
      </c>
    </row>
    <row r="41" spans="1:2" ht="15" customHeight="1">
      <c r="A41" s="32" t="str">
        <f>'Trial Balance'!A38&amp;"-"&amp;'Trial Balance'!B38</f>
        <v>1415-Sinking Funds</v>
      </c>
      <c r="B41" s="23">
        <f>'Trial Balance'!L38</f>
        <v>0</v>
      </c>
    </row>
    <row r="42" spans="1:2" ht="15" customHeight="1">
      <c r="A42" s="32" t="str">
        <f>'Trial Balance'!A39&amp;"-"&amp;'Trial Balance'!B39</f>
        <v>1425-Unamortized Debt Expense</v>
      </c>
      <c r="B42" s="23">
        <f>'Trial Balance'!L39</f>
        <v>0</v>
      </c>
    </row>
    <row r="43" spans="1:2" ht="15" customHeight="1">
      <c r="A43" s="32" t="str">
        <f>'Trial Balance'!A40&amp;"-"&amp;'Trial Balance'!B40</f>
        <v>1445-Unamortized Discount on Long-Term Debt--Debit</v>
      </c>
      <c r="B43" s="23">
        <f>'Trial Balance'!L40</f>
        <v>0</v>
      </c>
    </row>
    <row r="44" spans="1:2" ht="15" customHeight="1">
      <c r="A44" s="32" t="str">
        <f>'Trial Balance'!A41&amp;"-"&amp;'Trial Balance'!B41</f>
        <v>1455-Unamortized Deferred Foreign Currency Translation Gains and Losses</v>
      </c>
      <c r="B44" s="23">
        <f>'Trial Balance'!L41</f>
        <v>0</v>
      </c>
    </row>
    <row r="45" spans="1:2" ht="15" customHeight="1">
      <c r="A45" s="32" t="str">
        <f>'Trial Balance'!A42&amp;"-"&amp;'Trial Balance'!B42</f>
        <v>1460-Other Non-Current Assets</v>
      </c>
      <c r="B45" s="23">
        <f>'Trial Balance'!L42</f>
        <v>0</v>
      </c>
    </row>
    <row r="46" spans="1:2" ht="15" customHeight="1">
      <c r="A46" s="32" t="str">
        <f>'Trial Balance'!A43&amp;"-"&amp;'Trial Balance'!B43</f>
        <v>1465-O.M.E.R.S. Past Service Costs</v>
      </c>
      <c r="B46" s="23">
        <f>'Trial Balance'!L43</f>
        <v>0</v>
      </c>
    </row>
    <row r="47" spans="1:2" ht="15" customHeight="1">
      <c r="A47" s="32" t="str">
        <f>'Trial Balance'!A44&amp;"-"&amp;'Trial Balance'!B44</f>
        <v>1470-Past Service Costs - Employee Future Benefits</v>
      </c>
      <c r="B47" s="23">
        <f>'Trial Balance'!L44</f>
        <v>0</v>
      </c>
    </row>
    <row r="48" spans="1:2" ht="15" customHeight="1">
      <c r="A48" s="32" t="str">
        <f>'Trial Balance'!A45&amp;"-"&amp;'Trial Balance'!B45</f>
        <v>1475-Past Service Costs -Other Pension Plans</v>
      </c>
      <c r="B48" s="23">
        <f>'Trial Balance'!L45</f>
        <v>0</v>
      </c>
    </row>
    <row r="49" spans="1:2" ht="15" customHeight="1">
      <c r="A49" s="32" t="str">
        <f>'Trial Balance'!A46&amp;"-"&amp;'Trial Balance'!B46</f>
        <v>1480-Portfolio Investments - Associated Companies</v>
      </c>
      <c r="B49" s="23">
        <f>'Trial Balance'!L46</f>
        <v>0</v>
      </c>
    </row>
    <row r="50" spans="1:2" ht="15" customHeight="1">
      <c r="A50" s="32" t="str">
        <f>'Trial Balance'!A47&amp;"-"&amp;'Trial Balance'!B47</f>
        <v>1485-Investment In Subsidiary Companies - Significant Influence</v>
      </c>
      <c r="B50" s="23">
        <f>'Trial Balance'!L47</f>
        <v>0</v>
      </c>
    </row>
    <row r="51" spans="1:2" ht="15" customHeight="1" thickBot="1">
      <c r="A51" s="32" t="str">
        <f>'Trial Balance'!A48&amp;"-"&amp;'Trial Balance'!B48</f>
        <v>1490-Investment in Subsidiary Companies</v>
      </c>
      <c r="B51" s="23">
        <f>'Trial Balance'!L48</f>
        <v>0</v>
      </c>
    </row>
    <row r="52" spans="1:2" ht="15" customHeight="1" thickBot="1">
      <c r="A52" s="35" t="s">
        <v>104</v>
      </c>
      <c r="B52" s="31">
        <f>SUM(B38:B51)</f>
        <v>0</v>
      </c>
    </row>
    <row r="53" spans="1:2" s="21" customFormat="1" ht="15" customHeight="1">
      <c r="A53" s="28"/>
      <c r="B53" s="12"/>
    </row>
    <row r="54" spans="1:2" s="21" customFormat="1" ht="15" customHeight="1">
      <c r="A54" s="432" t="s">
        <v>874</v>
      </c>
      <c r="B54" s="432"/>
    </row>
    <row r="55" spans="1:2" s="21" customFormat="1" ht="15" customHeight="1">
      <c r="A55" s="32" t="str">
        <f>'Trial Balance'!A392&amp;"-"&amp;'Trial Balance'!B392</f>
        <v>1606-Intangible Plant - Organization</v>
      </c>
      <c r="B55" s="23">
        <f>+'Trial Balance'!L392</f>
        <v>6361.01</v>
      </c>
    </row>
    <row r="56" spans="1:2" s="21" customFormat="1" ht="15" customHeight="1" thickBot="1">
      <c r="A56" s="32" t="str">
        <f>'Trial Balance'!A393&amp;"-"&amp;'Trial Balance'!B393</f>
        <v>1610-Intangible Plant - Misc. Intangible Plant</v>
      </c>
      <c r="B56" s="23">
        <f>+'Trial Balance'!L393</f>
        <v>22150</v>
      </c>
    </row>
    <row r="57" spans="1:2" s="21" customFormat="1" ht="15" customHeight="1" thickBot="1">
      <c r="A57" s="35" t="s">
        <v>875</v>
      </c>
      <c r="B57" s="31">
        <f>SUM(B55:B56)</f>
        <v>28511.010000000002</v>
      </c>
    </row>
    <row r="58" spans="1:2" s="21" customFormat="1" ht="15" customHeight="1">
      <c r="A58" s="28"/>
      <c r="B58" s="12"/>
    </row>
    <row r="59" spans="1:2" s="21" customFormat="1" ht="15" customHeight="1">
      <c r="A59" s="432" t="s">
        <v>105</v>
      </c>
      <c r="B59" s="432"/>
    </row>
    <row r="60" spans="1:2" ht="15" customHeight="1">
      <c r="A60" s="32" t="str">
        <f>'Trial Balance'!A50&amp;"-"&amp;'Trial Balance'!B50</f>
        <v>1505-Unrecovered Plant and Regulatory Study Costs</v>
      </c>
      <c r="B60" s="23">
        <f>'Trial Balance'!L50</f>
        <v>0</v>
      </c>
    </row>
    <row r="61" spans="1:2" ht="15" customHeight="1">
      <c r="A61" s="32" t="str">
        <f>'Trial Balance'!A51&amp;"-"&amp;'Trial Balance'!B51</f>
        <v>1508-Other Regulatory Assets</v>
      </c>
      <c r="B61" s="23">
        <f>'Trial Balance'!L51</f>
        <v>569.82407</v>
      </c>
    </row>
    <row r="62" spans="1:2" ht="15" customHeight="1">
      <c r="A62" s="32" t="str">
        <f>'Trial Balance'!A52&amp;"-"&amp;'Trial Balance'!B52</f>
        <v>1510-Preliminary Survey and Investigation Charges</v>
      </c>
      <c r="B62" s="23">
        <f>'Trial Balance'!L52</f>
        <v>0</v>
      </c>
    </row>
    <row r="63" spans="1:2" ht="15" customHeight="1">
      <c r="A63" s="32" t="str">
        <f>'Trial Balance'!A53&amp;"-"&amp;'Trial Balance'!B53</f>
        <v>1515-Emission Allowance Inventory</v>
      </c>
      <c r="B63" s="23">
        <f>'Trial Balance'!L53</f>
        <v>0</v>
      </c>
    </row>
    <row r="64" spans="1:2" ht="15" customHeight="1">
      <c r="A64" s="32" t="str">
        <f>'Trial Balance'!A54&amp;"-"&amp;'Trial Balance'!B54</f>
        <v>1516-Emission Allowance Withheld</v>
      </c>
      <c r="B64" s="23">
        <f>'Trial Balance'!L54</f>
        <v>0</v>
      </c>
    </row>
    <row r="65" spans="1:2" ht="15" customHeight="1">
      <c r="A65" s="32" t="str">
        <f>'Trial Balance'!A55&amp;"-"&amp;'Trial Balance'!B55</f>
        <v>1518-RCVA - Retail</v>
      </c>
      <c r="B65" s="23">
        <f>'Trial Balance'!L55</f>
        <v>-141924.03613708334</v>
      </c>
    </row>
    <row r="66" spans="1:2" ht="15" customHeight="1">
      <c r="A66" s="32" t="str">
        <f>'Trial Balance'!A56&amp;"-"&amp;'Trial Balance'!B56</f>
        <v>1525-Miscellaneous Deferred Debits</v>
      </c>
      <c r="B66" s="23">
        <f>'Trial Balance'!L56</f>
        <v>0.009616666666573792</v>
      </c>
    </row>
    <row r="67" spans="1:2" ht="15" customHeight="1">
      <c r="A67" s="32" t="str">
        <f>'Trial Balance'!A57&amp;"-"&amp;'Trial Balance'!B57</f>
        <v>1530-Deferred Losses from Disposition of Utility Plant</v>
      </c>
      <c r="B67" s="23">
        <f>'Trial Balance'!L57</f>
        <v>0</v>
      </c>
    </row>
    <row r="68" spans="1:2" ht="15" customHeight="1">
      <c r="A68" s="32" t="str">
        <f>'Trial Balance'!A58&amp;"-"&amp;'Trial Balance'!B58</f>
        <v>1540-Deferred Losses from Disposition of Utility Plant</v>
      </c>
      <c r="B68" s="23">
        <f>'Trial Balance'!L58</f>
        <v>0</v>
      </c>
    </row>
    <row r="69" spans="1:2" ht="15" customHeight="1">
      <c r="A69" s="32" t="str">
        <f>'Trial Balance'!A59&amp;"-"&amp;'Trial Balance'!B59</f>
        <v>1545-Development Charge Deposits/ Receivables</v>
      </c>
      <c r="B69" s="23">
        <f>'Trial Balance'!L59</f>
        <v>0</v>
      </c>
    </row>
    <row r="70" spans="1:2" ht="15" customHeight="1">
      <c r="A70" s="32" t="str">
        <f>'Trial Balance'!A60&amp;"-"&amp;'Trial Balance'!B60</f>
        <v>1548-RCVA - Service Transaction Request (STR)</v>
      </c>
      <c r="B70" s="23">
        <f>'Trial Balance'!L60</f>
        <v>9843.053167916569</v>
      </c>
    </row>
    <row r="71" spans="1:2" ht="15" customHeight="1">
      <c r="A71" s="32" t="str">
        <f>'Trial Balance'!A61&amp;"-"&amp;'Trial Balance'!B61</f>
        <v>1550-LV Charges - Variance</v>
      </c>
      <c r="B71" s="23">
        <f>'Trial Balance'!L61</f>
        <v>43216.066637916665</v>
      </c>
    </row>
    <row r="72" spans="1:2" ht="15" customHeight="1">
      <c r="A72" s="32" t="str">
        <f>'Trial Balance'!A62&amp;"-"&amp;'Trial Balance'!B62</f>
        <v>1555-Smart Meters Recovery</v>
      </c>
      <c r="B72" s="23">
        <f>'Trial Balance'!L62</f>
        <v>3541680.3782337504</v>
      </c>
    </row>
    <row r="73" spans="1:2" ht="15" customHeight="1">
      <c r="A73" s="32" t="str">
        <f>'Trial Balance'!A63&amp;"-"&amp;'Trial Balance'!B63</f>
        <v>1556-Smart Meters OM &amp; A</v>
      </c>
      <c r="B73" s="23">
        <f>'Trial Balance'!L63</f>
        <v>1092844.45096625</v>
      </c>
    </row>
    <row r="74" spans="1:2" ht="15" customHeight="1">
      <c r="A74" s="32" t="str">
        <f>'Trial Balance'!A64&amp;"-"&amp;'Trial Balance'!B64</f>
        <v>1562-Deferred PILs</v>
      </c>
      <c r="B74" s="23">
        <f>'Trial Balance'!L64</f>
        <v>-360578.3555625002</v>
      </c>
    </row>
    <row r="75" spans="1:2" ht="15" customHeight="1">
      <c r="A75" s="32" t="str">
        <f>'Trial Balance'!A65&amp;"-"&amp;'Trial Balance'!B65</f>
        <v>1563-Deferred PILs - Contra</v>
      </c>
      <c r="B75" s="23">
        <f>'Trial Balance'!L65</f>
        <v>0</v>
      </c>
    </row>
    <row r="76" spans="1:2" ht="15" customHeight="1">
      <c r="A76" s="32" t="str">
        <f>'Trial Balance'!A66&amp;"-"&amp;'Trial Balance'!B66</f>
        <v>1565-C &amp; DM Costs</v>
      </c>
      <c r="B76" s="23">
        <f>'Trial Balance'!L66</f>
        <v>0</v>
      </c>
    </row>
    <row r="77" spans="1:2" ht="15" customHeight="1">
      <c r="A77" s="32" t="str">
        <f>'Trial Balance'!A67&amp;"-"&amp;'Trial Balance'!B67</f>
        <v>1566-C &amp; DM Costs Contra</v>
      </c>
      <c r="B77" s="23">
        <f>'Trial Balance'!L67</f>
        <v>0</v>
      </c>
    </row>
    <row r="78" spans="1:2" ht="15" customHeight="1">
      <c r="A78" s="32" t="str">
        <f>'Trial Balance'!A68&amp;"-"&amp;'Trial Balance'!B68</f>
        <v>1570-Qualifying Transition Costs</v>
      </c>
      <c r="B78" s="23">
        <f>'Trial Balance'!L68</f>
        <v>0</v>
      </c>
    </row>
    <row r="79" spans="1:2" ht="15" customHeight="1">
      <c r="A79" s="32" t="str">
        <f>'Trial Balance'!A69&amp;"-"&amp;'Trial Balance'!B69</f>
        <v>1571-Pre Market CofP Variance</v>
      </c>
      <c r="B79" s="23">
        <f>'Trial Balance'!L69</f>
        <v>0</v>
      </c>
    </row>
    <row r="80" spans="1:2" ht="15" customHeight="1">
      <c r="A80" s="32" t="str">
        <f>'Trial Balance'!A70&amp;"-"&amp;'Trial Balance'!B70</f>
        <v>1572-Extraordinary Event Losses</v>
      </c>
      <c r="B80" s="23">
        <f>'Trial Balance'!L70</f>
        <v>20317.91</v>
      </c>
    </row>
    <row r="81" spans="1:2" ht="15" customHeight="1">
      <c r="A81" s="32" t="str">
        <f>'Trial Balance'!A71&amp;"-"&amp;'Trial Balance'!B71</f>
        <v>1574-Deferred Rate Impact Amounts</v>
      </c>
      <c r="B81" s="23">
        <f>'Trial Balance'!L71</f>
        <v>0</v>
      </c>
    </row>
    <row r="82" spans="1:2" ht="15" customHeight="1">
      <c r="A82" s="32" t="str">
        <f>'Trial Balance'!A72&amp;"-"&amp;'Trial Balance'!B72</f>
        <v>1580-RSVA - Wholesale Market Services</v>
      </c>
      <c r="B82" s="23">
        <f>'Trial Balance'!L72</f>
        <v>-472784.3072069314</v>
      </c>
    </row>
    <row r="83" spans="1:2" ht="15" customHeight="1">
      <c r="A83" s="32" t="str">
        <f>'Trial Balance'!A73&amp;"-"&amp;'Trial Balance'!B73</f>
        <v>1582-RSVA - One-Time</v>
      </c>
      <c r="B83" s="23">
        <f>'Trial Balance'!L73</f>
        <v>0</v>
      </c>
    </row>
    <row r="84" spans="1:2" ht="15" customHeight="1">
      <c r="A84" s="32" t="str">
        <f>'Trial Balance'!A74&amp;"-"&amp;'Trial Balance'!B74</f>
        <v>1584-RSVA - Network Charges</v>
      </c>
      <c r="B84" s="23">
        <f>'Trial Balance'!L74</f>
        <v>-266369.97276265454</v>
      </c>
    </row>
    <row r="85" spans="1:2" ht="15" customHeight="1">
      <c r="A85" s="32" t="str">
        <f>'Trial Balance'!A75&amp;"-"&amp;'Trial Balance'!B75</f>
        <v>1586-RSVA - Connection Charges</v>
      </c>
      <c r="B85" s="23">
        <f>'Trial Balance'!L75</f>
        <v>-275995.3614533844</v>
      </c>
    </row>
    <row r="86" spans="1:2" ht="15" customHeight="1">
      <c r="A86" s="32" t="str">
        <f>'Trial Balance'!A76&amp;"-"&amp;'Trial Balance'!B76</f>
        <v>1588-RSVA - Commodity (Power)</v>
      </c>
      <c r="B86" s="23">
        <f>'Trial Balance'!L76</f>
        <v>346699.2900854166</v>
      </c>
    </row>
    <row r="87" spans="1:2" ht="15" customHeight="1">
      <c r="A87" s="32" t="str">
        <f>'Trial Balance'!A77&amp;"-"&amp;'Trial Balance'!B77</f>
        <v>1590-Recovery of Regulatory Assets (25% of 2002 bal.)</v>
      </c>
      <c r="B87" s="23">
        <f>'Trial Balance'!L77</f>
        <v>0</v>
      </c>
    </row>
    <row r="88" spans="1:2" ht="15" customHeight="1">
      <c r="A88" s="32" t="str">
        <f>'Trial Balance'!A78&amp;"-"&amp;'Trial Balance'!B78</f>
        <v>1592-PILs and Tax Variance for 2006 &amp; Subsequent Years</v>
      </c>
      <c r="B88" s="23">
        <f>'Trial Balance'!L78</f>
        <v>-187.975975</v>
      </c>
    </row>
    <row r="89" spans="1:2" s="21" customFormat="1" ht="15" customHeight="1" thickBot="1">
      <c r="A89" s="32" t="str">
        <f>'Trial Balance'!A394&amp;"-"&amp;'Trial Balance'!B394</f>
        <v>1595-Recovery of Regulatory Asset Balances</v>
      </c>
      <c r="B89" s="23">
        <f>+'Trial Balance'!L394</f>
        <v>160835.74</v>
      </c>
    </row>
    <row r="90" spans="1:2" ht="15" customHeight="1" thickBot="1">
      <c r="A90" s="35" t="s">
        <v>154</v>
      </c>
      <c r="B90" s="31">
        <f>SUM(B60:B89)</f>
        <v>3698166.7136803633</v>
      </c>
    </row>
    <row r="91" spans="1:2" s="21" customFormat="1" ht="15" customHeight="1">
      <c r="A91" s="28"/>
      <c r="B91" s="12"/>
    </row>
    <row r="92" spans="1:2" s="21" customFormat="1" ht="15" customHeight="1">
      <c r="A92" s="432" t="s">
        <v>155</v>
      </c>
      <c r="B92" s="432"/>
    </row>
    <row r="93" spans="1:2" ht="15" customHeight="1">
      <c r="A93" s="32" t="str">
        <f>'Trial Balance'!A80&amp;"-"&amp;'Trial Balance'!B80</f>
        <v>1805-Land</v>
      </c>
      <c r="B93" s="23">
        <f>'Trial Balance'!L80</f>
        <v>371194.54000000004</v>
      </c>
    </row>
    <row r="94" spans="1:2" ht="15" customHeight="1">
      <c r="A94" s="32" t="str">
        <f>'Trial Balance'!A81&amp;"-"&amp;'Trial Balance'!B81</f>
        <v>1806-Land Rights</v>
      </c>
      <c r="B94" s="23">
        <f>'Trial Balance'!L81</f>
        <v>0</v>
      </c>
    </row>
    <row r="95" spans="1:2" ht="15" customHeight="1">
      <c r="A95" s="32" t="str">
        <f>'Trial Balance'!A82&amp;"-"&amp;'Trial Balance'!B82</f>
        <v>1808-Buildings and Fixtures</v>
      </c>
      <c r="B95" s="23">
        <f>'Trial Balance'!L82</f>
        <v>769640.81</v>
      </c>
    </row>
    <row r="96" spans="1:2" ht="15" customHeight="1">
      <c r="A96" s="32" t="str">
        <f>'Trial Balance'!A83&amp;"-"&amp;'Trial Balance'!B83</f>
        <v>1810-Leasehold Improvements</v>
      </c>
      <c r="B96" s="23">
        <f>'Trial Balance'!L83</f>
        <v>0</v>
      </c>
    </row>
    <row r="97" spans="1:2" ht="15" customHeight="1">
      <c r="A97" s="32" t="str">
        <f>'Trial Balance'!A84&amp;"-"&amp;'Trial Balance'!B84</f>
        <v>1815-Transformer Station Equipment -  &gt; 50 kV</v>
      </c>
      <c r="B97" s="23">
        <f>'Trial Balance'!L84</f>
        <v>0</v>
      </c>
    </row>
    <row r="98" spans="1:2" ht="15" customHeight="1">
      <c r="A98" s="32" t="str">
        <f>'Trial Balance'!A85&amp;"-"&amp;'Trial Balance'!B85</f>
        <v>1820-Distribution Station Equipment - &lt; 50 kV</v>
      </c>
      <c r="B98" s="23">
        <f>'Trial Balance'!L85</f>
        <v>9655552.678328903</v>
      </c>
    </row>
    <row r="99" spans="1:2" ht="15" customHeight="1">
      <c r="A99" s="32" t="str">
        <f>'Trial Balance'!A86&amp;"-"&amp;'Trial Balance'!B86</f>
        <v>1825-Storage Battery Equipment</v>
      </c>
      <c r="B99" s="23">
        <f>'Trial Balance'!L86</f>
        <v>0</v>
      </c>
    </row>
    <row r="100" spans="1:2" ht="15" customHeight="1">
      <c r="A100" s="32" t="str">
        <f>'Trial Balance'!A87&amp;"-"&amp;'Trial Balance'!B87</f>
        <v>1830-Poles, Towers and Fixtures</v>
      </c>
      <c r="B100" s="23">
        <f>'Trial Balance'!L87</f>
        <v>18499190.37194004</v>
      </c>
    </row>
    <row r="101" spans="1:2" ht="15" customHeight="1">
      <c r="A101" s="32" t="str">
        <f>'Trial Balance'!A88&amp;"-"&amp;'Trial Balance'!B88</f>
        <v>1835-Overhead Conductors and Devices</v>
      </c>
      <c r="B101" s="23">
        <f>'Trial Balance'!L88</f>
        <v>14633157.090548294</v>
      </c>
    </row>
    <row r="102" spans="1:2" ht="15" customHeight="1">
      <c r="A102" s="32" t="str">
        <f>'Trial Balance'!A89&amp;"-"&amp;'Trial Balance'!B89</f>
        <v>1840-Underground Conduit</v>
      </c>
      <c r="B102" s="23">
        <f>'Trial Balance'!L89</f>
        <v>1737894.639386257</v>
      </c>
    </row>
    <row r="103" spans="1:2" ht="15" customHeight="1">
      <c r="A103" s="32" t="str">
        <f>'Trial Balance'!A90&amp;"-"&amp;'Trial Balance'!B90</f>
        <v>1845-Underground Conductors and Devices</v>
      </c>
      <c r="B103" s="23">
        <f>'Trial Balance'!L90</f>
        <v>6894149.101498551</v>
      </c>
    </row>
    <row r="104" spans="1:2" ht="15" customHeight="1">
      <c r="A104" s="32" t="str">
        <f>'Trial Balance'!A91&amp;"-"&amp;'Trial Balance'!B91</f>
        <v>1850-Line Transformers</v>
      </c>
      <c r="B104" s="23">
        <f>'Trial Balance'!L91</f>
        <v>15852284.600000001</v>
      </c>
    </row>
    <row r="105" spans="1:2" ht="15" customHeight="1">
      <c r="A105" s="32" t="str">
        <f>'Trial Balance'!A92&amp;"-"&amp;'Trial Balance'!B92</f>
        <v>1855-Services</v>
      </c>
      <c r="B105" s="23">
        <f>'Trial Balance'!L92</f>
        <v>15192963.940000001</v>
      </c>
    </row>
    <row r="106" spans="1:2" ht="15" customHeight="1">
      <c r="A106" s="32" t="str">
        <f>'Trial Balance'!A93&amp;"-"&amp;'Trial Balance'!B93</f>
        <v>1860-Meters</v>
      </c>
      <c r="B106" s="23">
        <f>'Trial Balance'!L93</f>
        <v>3823170.1478058244</v>
      </c>
    </row>
    <row r="107" spans="1:2" ht="15" customHeight="1" thickBot="1">
      <c r="A107" s="32" t="str">
        <f>'Trial Balance'!A94&amp;"-"&amp;'Trial Balance'!B94</f>
        <v>1865-Other Installations on Customer's Premises</v>
      </c>
      <c r="B107" s="23">
        <f>'Trial Balance'!L94</f>
        <v>0</v>
      </c>
    </row>
    <row r="108" spans="1:2" ht="15" customHeight="1" thickBot="1">
      <c r="A108" s="36" t="s">
        <v>79</v>
      </c>
      <c r="B108" s="31">
        <f>SUM(B93:B107)</f>
        <v>87429197.91950788</v>
      </c>
    </row>
    <row r="109" spans="1:2" s="21" customFormat="1" ht="15" customHeight="1">
      <c r="A109" s="27"/>
      <c r="B109" s="12"/>
    </row>
    <row r="110" spans="1:2" s="21" customFormat="1" ht="15" customHeight="1">
      <c r="A110" s="432" t="s">
        <v>80</v>
      </c>
      <c r="B110" s="432"/>
    </row>
    <row r="111" spans="1:2" ht="15" customHeight="1">
      <c r="A111" s="32" t="str">
        <f>'Trial Balance'!A95&amp;"-"&amp;'Trial Balance'!B95</f>
        <v>1905-Land</v>
      </c>
      <c r="B111" s="23">
        <f>'Trial Balance'!L95</f>
        <v>86550.51</v>
      </c>
    </row>
    <row r="112" spans="1:2" ht="15" customHeight="1">
      <c r="A112" s="32" t="str">
        <f>'Trial Balance'!A96&amp;"-"&amp;'Trial Balance'!B96</f>
        <v>1906-Land Rights</v>
      </c>
      <c r="B112" s="23">
        <f>'Trial Balance'!L96</f>
        <v>0</v>
      </c>
    </row>
    <row r="113" spans="1:2" ht="15" customHeight="1">
      <c r="A113" s="32" t="str">
        <f>'Trial Balance'!A97&amp;"-"&amp;'Trial Balance'!B97</f>
        <v>1908-Buildings and Fixtures</v>
      </c>
      <c r="B113" s="23">
        <f>'Trial Balance'!L97</f>
        <v>2049915.5120962071</v>
      </c>
    </row>
    <row r="114" spans="1:2" ht="15" customHeight="1">
      <c r="A114" s="32" t="str">
        <f>'Trial Balance'!A98&amp;"-"&amp;'Trial Balance'!B98</f>
        <v>1910-Leasehold Improvements</v>
      </c>
      <c r="B114" s="23">
        <f>'Trial Balance'!L98</f>
        <v>0</v>
      </c>
    </row>
    <row r="115" spans="1:2" ht="15" customHeight="1">
      <c r="A115" s="32" t="str">
        <f>'Trial Balance'!A99&amp;"-"&amp;'Trial Balance'!B99</f>
        <v>1915-Office Furniture and Equipment</v>
      </c>
      <c r="B115" s="23">
        <f>'Trial Balance'!L99</f>
        <v>340725.6237749718</v>
      </c>
    </row>
    <row r="116" spans="1:2" ht="15" customHeight="1">
      <c r="A116" s="32" t="str">
        <f>'Trial Balance'!A100&amp;"-"&amp;'Trial Balance'!B100</f>
        <v>1920-Computer Equipment - Hardware</v>
      </c>
      <c r="B116" s="23">
        <f>'Trial Balance'!L100</f>
        <v>618047.5715554908</v>
      </c>
    </row>
    <row r="117" spans="1:2" ht="15" customHeight="1">
      <c r="A117" s="32" t="str">
        <f>'Trial Balance'!A101&amp;"-"&amp;'Trial Balance'!B101</f>
        <v>1925-Computer Software</v>
      </c>
      <c r="B117" s="23">
        <f>'Trial Balance'!L101</f>
        <v>1069837.5642604276</v>
      </c>
    </row>
    <row r="118" spans="1:2" ht="15" customHeight="1">
      <c r="A118" s="32" t="str">
        <f>'Trial Balance'!A102&amp;"-"&amp;'Trial Balance'!B102</f>
        <v>1930-Transportation Equipment</v>
      </c>
      <c r="B118" s="23">
        <f>'Trial Balance'!L102</f>
        <v>2620335.35</v>
      </c>
    </row>
    <row r="119" spans="1:2" ht="15" customHeight="1">
      <c r="A119" s="32" t="str">
        <f>'Trial Balance'!A103&amp;"-"&amp;'Trial Balance'!B103</f>
        <v>1935-Stores Equipment</v>
      </c>
      <c r="B119" s="23">
        <f>'Trial Balance'!L103</f>
        <v>75195.87</v>
      </c>
    </row>
    <row r="120" spans="1:2" ht="15" customHeight="1">
      <c r="A120" s="32" t="str">
        <f>'Trial Balance'!A104&amp;"-"&amp;'Trial Balance'!B104</f>
        <v>1940-Tools, Shop and Garage Equipment</v>
      </c>
      <c r="B120" s="23">
        <f>'Trial Balance'!L104</f>
        <v>1196076.488282552</v>
      </c>
    </row>
    <row r="121" spans="1:2" ht="15" customHeight="1">
      <c r="A121" s="32" t="str">
        <f>'Trial Balance'!A105&amp;"-"&amp;'Trial Balance'!B105</f>
        <v>1945-Measurement and Testing Equipment</v>
      </c>
      <c r="B121" s="23">
        <f>'Trial Balance'!L105</f>
        <v>0</v>
      </c>
    </row>
    <row r="122" spans="1:2" ht="15" customHeight="1">
      <c r="A122" s="32" t="str">
        <f>'Trial Balance'!A106&amp;"-"&amp;'Trial Balance'!B106</f>
        <v>1950-Power Operated Equipment</v>
      </c>
      <c r="B122" s="23">
        <f>'Trial Balance'!L106</f>
        <v>0</v>
      </c>
    </row>
    <row r="123" spans="1:2" ht="15" customHeight="1">
      <c r="A123" s="32" t="str">
        <f>'Trial Balance'!A107&amp;"-"&amp;'Trial Balance'!B107</f>
        <v>1955-Communication Equipment</v>
      </c>
      <c r="B123" s="23">
        <f>'Trial Balance'!L107</f>
        <v>85917.44</v>
      </c>
    </row>
    <row r="124" spans="1:2" ht="15" customHeight="1">
      <c r="A124" s="32" t="str">
        <f>'Trial Balance'!A108&amp;"-"&amp;'Trial Balance'!B108</f>
        <v>1960-Miscellaneous Equipment</v>
      </c>
      <c r="B124" s="23">
        <f>'Trial Balance'!L108</f>
        <v>18079.15</v>
      </c>
    </row>
    <row r="125" spans="1:2" ht="15" customHeight="1">
      <c r="A125" s="32" t="str">
        <f>'Trial Balance'!A109&amp;"-"&amp;'Trial Balance'!B109</f>
        <v>1970-Load Management Controls - Customer Premises </v>
      </c>
      <c r="B125" s="23">
        <f>'Trial Balance'!L109</f>
        <v>403930.62</v>
      </c>
    </row>
    <row r="126" spans="1:2" ht="15" customHeight="1">
      <c r="A126" s="32" t="str">
        <f>'Trial Balance'!A110&amp;"-"&amp;'Trial Balance'!B110</f>
        <v>1975-Load Management Controls - Utility Premises</v>
      </c>
      <c r="B126" s="23">
        <f>'Trial Balance'!L110</f>
        <v>165151.45</v>
      </c>
    </row>
    <row r="127" spans="1:2" ht="15" customHeight="1">
      <c r="A127" s="32" t="str">
        <f>'Trial Balance'!A111&amp;"-"&amp;'Trial Balance'!B111</f>
        <v>1980-System Supervisory Equipment</v>
      </c>
      <c r="B127" s="23">
        <f>'Trial Balance'!L111</f>
        <v>1242249.3512707017</v>
      </c>
    </row>
    <row r="128" spans="1:2" ht="15" customHeight="1">
      <c r="A128" s="32" t="str">
        <f>'Trial Balance'!A112&amp;"-"&amp;'Trial Balance'!B112</f>
        <v>1985-Sentinel Lighting Rentals</v>
      </c>
      <c r="B128" s="23">
        <f>'Trial Balance'!L112</f>
        <v>0</v>
      </c>
    </row>
    <row r="129" spans="1:2" ht="15" customHeight="1">
      <c r="A129" s="32" t="str">
        <f>'Trial Balance'!A113&amp;"-"&amp;'Trial Balance'!B113</f>
        <v>1990-Other Tangible Property</v>
      </c>
      <c r="B129" s="23">
        <f>'Trial Balance'!L113</f>
        <v>53060.28</v>
      </c>
    </row>
    <row r="130" spans="1:2" ht="15" customHeight="1" thickBot="1">
      <c r="A130" s="32" t="str">
        <f>'Trial Balance'!A114&amp;"-"&amp;'Trial Balance'!B114</f>
        <v>1995-Contributions and Grants</v>
      </c>
      <c r="B130" s="23">
        <f>'Trial Balance'!L114</f>
        <v>-6958947.92598612</v>
      </c>
    </row>
    <row r="131" spans="1:2" ht="15" customHeight="1" thickBot="1">
      <c r="A131" s="36" t="s">
        <v>144</v>
      </c>
      <c r="B131" s="31">
        <f>SUM(B111:B130)</f>
        <v>3066124.85525423</v>
      </c>
    </row>
    <row r="132" spans="1:2" s="21" customFormat="1" ht="15" customHeight="1">
      <c r="A132" s="27"/>
      <c r="B132" s="12"/>
    </row>
    <row r="133" spans="1:2" s="21" customFormat="1" ht="15" customHeight="1">
      <c r="A133" s="432" t="s">
        <v>145</v>
      </c>
      <c r="B133" s="432"/>
    </row>
    <row r="134" spans="1:2" ht="15" customHeight="1">
      <c r="A134" s="32" t="str">
        <f>'Trial Balance'!A116&amp;"-"&amp;'Trial Balance'!B116</f>
        <v>2005-Property Under Capital Leases</v>
      </c>
      <c r="B134" s="23">
        <f>'Trial Balance'!L116</f>
        <v>0</v>
      </c>
    </row>
    <row r="135" spans="1:2" ht="15" customHeight="1">
      <c r="A135" s="32" t="str">
        <f>'Trial Balance'!A117&amp;"-"&amp;'Trial Balance'!B117</f>
        <v>2010-Electric Plant Purchased or Sold</v>
      </c>
      <c r="B135" s="23">
        <f>'Trial Balance'!L117</f>
        <v>0</v>
      </c>
    </row>
    <row r="136" spans="1:2" ht="15" customHeight="1">
      <c r="A136" s="32" t="str">
        <f>'Trial Balance'!A118&amp;"-"&amp;'Trial Balance'!B118</f>
        <v>2020-Experimental Electric Plant Unclassified</v>
      </c>
      <c r="B136" s="23">
        <f>'Trial Balance'!L118</f>
        <v>0</v>
      </c>
    </row>
    <row r="137" spans="1:2" ht="15" customHeight="1">
      <c r="A137" s="32" t="str">
        <f>'Trial Balance'!A119&amp;"-"&amp;'Trial Balance'!B119</f>
        <v>2030-Electric Plant and Equipment Leased to Others</v>
      </c>
      <c r="B137" s="23">
        <f>'Trial Balance'!L119</f>
        <v>0</v>
      </c>
    </row>
    <row r="138" spans="1:2" ht="15" customHeight="1">
      <c r="A138" s="32" t="str">
        <f>'Trial Balance'!A120&amp;"-"&amp;'Trial Balance'!B120</f>
        <v>2040-Electric Plant Held for Future Use</v>
      </c>
      <c r="B138" s="23">
        <f>'Trial Balance'!L120</f>
        <v>0</v>
      </c>
    </row>
    <row r="139" spans="1:2" ht="15" customHeight="1">
      <c r="A139" s="32" t="str">
        <f>'Trial Balance'!A121&amp;"-"&amp;'Trial Balance'!B121</f>
        <v>2050-Completed Construction Not Classified--Electric</v>
      </c>
      <c r="B139" s="23">
        <f>'Trial Balance'!L121</f>
        <v>0</v>
      </c>
    </row>
    <row r="140" spans="1:2" ht="15" customHeight="1">
      <c r="A140" s="32" t="str">
        <f>'Trial Balance'!A122&amp;"-"&amp;'Trial Balance'!B122</f>
        <v>2055-Construction Work in Progress--Electric</v>
      </c>
      <c r="B140" s="23">
        <f>'Trial Balance'!L122</f>
        <v>0</v>
      </c>
    </row>
    <row r="141" spans="1:2" ht="15" customHeight="1">
      <c r="A141" s="32" t="str">
        <f>'Trial Balance'!A123&amp;"-"&amp;'Trial Balance'!B123</f>
        <v>2060-Electric Plant Acquisition Adjustment</v>
      </c>
      <c r="B141" s="23">
        <f>'Trial Balance'!L123</f>
        <v>0</v>
      </c>
    </row>
    <row r="142" spans="1:2" ht="15" customHeight="1">
      <c r="A142" s="32" t="str">
        <f>'Trial Balance'!A124&amp;"-"&amp;'Trial Balance'!B124</f>
        <v>2065-Other Electric Plant Adjustment</v>
      </c>
      <c r="B142" s="23">
        <f>'Trial Balance'!L124</f>
        <v>0</v>
      </c>
    </row>
    <row r="143" spans="1:2" ht="15" customHeight="1">
      <c r="A143" s="32" t="str">
        <f>'Trial Balance'!A125&amp;"-"&amp;'Trial Balance'!B125</f>
        <v>2070-Other Utility Plant</v>
      </c>
      <c r="B143" s="23">
        <f>'Trial Balance'!L125</f>
        <v>0</v>
      </c>
    </row>
    <row r="144" spans="1:2" ht="15" customHeight="1" thickBot="1">
      <c r="A144" s="32" t="str">
        <f>'Trial Balance'!A126&amp;"-"&amp;'Trial Balance'!B126</f>
        <v>2075-Non-Utility Property Owned or Under Capital Lease</v>
      </c>
      <c r="B144" s="23">
        <f>'Trial Balance'!L126</f>
        <v>0</v>
      </c>
    </row>
    <row r="145" spans="1:2" ht="15" customHeight="1" thickBot="1">
      <c r="A145" s="36" t="s">
        <v>146</v>
      </c>
      <c r="B145" s="31">
        <f>SUM(B134:B144)</f>
        <v>0</v>
      </c>
    </row>
    <row r="146" spans="1:2" s="21" customFormat="1" ht="15" customHeight="1">
      <c r="A146" s="27"/>
      <c r="B146" s="12"/>
    </row>
    <row r="147" spans="1:2" s="21" customFormat="1" ht="15" customHeight="1">
      <c r="A147" s="432" t="s">
        <v>147</v>
      </c>
      <c r="B147" s="432"/>
    </row>
    <row r="148" spans="1:2" ht="15" customHeight="1">
      <c r="A148" s="32" t="str">
        <f>'Trial Balance'!A128&amp;"-"&amp;'Trial Balance'!B128</f>
        <v>2105-Accumulated Amortization of Electric Utility Plant - Property, Plant and Equipment</v>
      </c>
      <c r="B148" s="23">
        <f>'Trial Balance'!L128</f>
        <v>-49372181.83382449</v>
      </c>
    </row>
    <row r="149" spans="1:2" ht="15" customHeight="1">
      <c r="A149" s="32" t="str">
        <f>'Trial Balance'!A129&amp;"-"&amp;'Trial Balance'!B129</f>
        <v>2120-Accumulated Amortization of Electric Utility Plant - Intangibles</v>
      </c>
      <c r="B149" s="23">
        <f>'Trial Balance'!L129</f>
        <v>0</v>
      </c>
    </row>
    <row r="150" spans="1:2" ht="15" customHeight="1">
      <c r="A150" s="32" t="str">
        <f>'Trial Balance'!A130&amp;"-"&amp;'Trial Balance'!B130</f>
        <v>2140-Accumulated Amortization of Electric Plant Acquisition Adjustment</v>
      </c>
      <c r="B150" s="23">
        <f>'Trial Balance'!L130</f>
        <v>0</v>
      </c>
    </row>
    <row r="151" spans="1:2" ht="15" customHeight="1">
      <c r="A151" s="32" t="str">
        <f>'Trial Balance'!A131&amp;"-"&amp;'Trial Balance'!B131</f>
        <v>2160-Accumulated Amortization of Other Utility Plant</v>
      </c>
      <c r="B151" s="23">
        <f>'Trial Balance'!L131</f>
        <v>0</v>
      </c>
    </row>
    <row r="152" spans="1:2" ht="15" customHeight="1" thickBot="1">
      <c r="A152" s="32" t="str">
        <f>'Trial Balance'!A132&amp;"-"&amp;'Trial Balance'!B132</f>
        <v>2180-Accumulated Amortization of Non-Utility Property</v>
      </c>
      <c r="B152" s="23">
        <f>'Trial Balance'!L132</f>
        <v>0</v>
      </c>
    </row>
    <row r="153" spans="1:2" ht="15" customHeight="1" thickBot="1">
      <c r="A153" s="229" t="s">
        <v>151</v>
      </c>
      <c r="B153" s="228">
        <f>SUM(B148:B152)</f>
        <v>-49372181.83382449</v>
      </c>
    </row>
    <row r="154" spans="1:2" ht="15" customHeight="1" thickBot="1">
      <c r="A154" s="223"/>
      <c r="B154" s="12"/>
    </row>
    <row r="155" spans="1:2" ht="15" customHeight="1" thickBot="1">
      <c r="A155" s="224" t="s">
        <v>272</v>
      </c>
      <c r="B155" s="225">
        <f>B28+B35+B52+B57+B90+B108+B131+B145+B153</f>
        <v>63727977.71440204</v>
      </c>
    </row>
    <row r="156" spans="1:2" s="21" customFormat="1" ht="15" customHeight="1">
      <c r="A156" s="28"/>
      <c r="B156" s="12"/>
    </row>
    <row r="157" spans="1:2" s="21" customFormat="1" ht="15" customHeight="1">
      <c r="A157" s="432" t="s">
        <v>152</v>
      </c>
      <c r="B157" s="432"/>
    </row>
    <row r="158" spans="1:2" ht="15" customHeight="1">
      <c r="A158" s="32" t="str">
        <f>'Trial Balance'!A134&amp;"-"&amp;'Trial Balance'!B134</f>
        <v>2205-Accounts Payable</v>
      </c>
      <c r="B158" s="23">
        <f>-'Trial Balance'!L134</f>
        <v>5628309.32554701</v>
      </c>
    </row>
    <row r="159" spans="1:2" ht="15" customHeight="1">
      <c r="A159" s="32" t="str">
        <f>'Trial Balance'!A135&amp;"-"&amp;'Trial Balance'!B135</f>
        <v>2208-Customer Credit Balances</v>
      </c>
      <c r="B159" s="23">
        <f>-'Trial Balance'!L135</f>
        <v>952940.764738476</v>
      </c>
    </row>
    <row r="160" spans="1:2" ht="15" customHeight="1">
      <c r="A160" s="32" t="str">
        <f>'Trial Balance'!A136&amp;"-"&amp;'Trial Balance'!B136</f>
        <v>2210-Current Portion of Customer Deposits </v>
      </c>
      <c r="B160" s="23">
        <f>-'Trial Balance'!L136</f>
        <v>72364</v>
      </c>
    </row>
    <row r="161" spans="1:2" ht="15" customHeight="1">
      <c r="A161" s="32" t="str">
        <f>'Trial Balance'!A137&amp;"-"&amp;'Trial Balance'!B137</f>
        <v>2215-Dividends Declared</v>
      </c>
      <c r="B161" s="23">
        <f>-'Trial Balance'!L137</f>
        <v>0</v>
      </c>
    </row>
    <row r="162" spans="1:2" ht="15" customHeight="1">
      <c r="A162" s="32" t="str">
        <f>'Trial Balance'!A138&amp;"-"&amp;'Trial Balance'!B138</f>
        <v>2220-Miscellaneous Current and Accrued Liabilities</v>
      </c>
      <c r="B162" s="23">
        <f>-'Trial Balance'!L138</f>
        <v>1191596.2329282034</v>
      </c>
    </row>
    <row r="163" spans="1:2" ht="15" customHeight="1">
      <c r="A163" s="32" t="str">
        <f>'Trial Balance'!A139&amp;"-"&amp;'Trial Balance'!B139</f>
        <v>2225-Notes and Loans Payable</v>
      </c>
      <c r="B163" s="23">
        <f>-'Trial Balance'!L139</f>
        <v>0</v>
      </c>
    </row>
    <row r="164" spans="1:2" ht="15" customHeight="1">
      <c r="A164" s="32" t="str">
        <f>'Trial Balance'!A140&amp;"-"&amp;'Trial Balance'!B140</f>
        <v>2240-Accounts Payable to Associated Companies</v>
      </c>
      <c r="B164" s="23">
        <f>-'Trial Balance'!L140</f>
        <v>8260</v>
      </c>
    </row>
    <row r="165" spans="1:2" ht="15" customHeight="1">
      <c r="A165" s="32" t="str">
        <f>'Trial Balance'!A141&amp;"-"&amp;'Trial Balance'!B141</f>
        <v>2242-Notes Payable to Associated Companies</v>
      </c>
      <c r="B165" s="23">
        <f>-'Trial Balance'!L141</f>
        <v>0</v>
      </c>
    </row>
    <row r="166" spans="1:2" ht="15" customHeight="1">
      <c r="A166" s="32" t="str">
        <f>'Trial Balance'!A142&amp;"-"&amp;'Trial Balance'!B142</f>
        <v>2250-Competition Transition Charges Payable</v>
      </c>
      <c r="B166" s="23">
        <f>-'Trial Balance'!L142</f>
        <v>334261.766215916</v>
      </c>
    </row>
    <row r="167" spans="1:2" ht="15" customHeight="1">
      <c r="A167" s="32" t="str">
        <f>'Trial Balance'!A143&amp;"-"&amp;'Trial Balance'!B143</f>
        <v>2252-Transmission Charges Payable</v>
      </c>
      <c r="B167" s="23">
        <f>-'Trial Balance'!L143</f>
        <v>0</v>
      </c>
    </row>
    <row r="168" spans="1:2" ht="15" customHeight="1">
      <c r="A168" s="32" t="str">
        <f>'Trial Balance'!A144&amp;"-"&amp;'Trial Balance'!B144</f>
        <v>2254-Electric Safety Authority Fees Payable</v>
      </c>
      <c r="B168" s="23">
        <f>-'Trial Balance'!L144</f>
        <v>0</v>
      </c>
    </row>
    <row r="169" spans="1:2" ht="15" customHeight="1">
      <c r="A169" s="32" t="str">
        <f>'Trial Balance'!A145&amp;"-"&amp;'Trial Balance'!B145</f>
        <v>2256-Independent Market Operator Fees and Penalties Payable</v>
      </c>
      <c r="B169" s="23">
        <f>-'Trial Balance'!L145</f>
        <v>0</v>
      </c>
    </row>
    <row r="170" spans="1:2" ht="15" customHeight="1">
      <c r="A170" s="32" t="str">
        <f>'Trial Balance'!A146&amp;"-"&amp;'Trial Balance'!B146</f>
        <v>2260-Current Portion of Long Term Debt</v>
      </c>
      <c r="B170" s="23">
        <f>-'Trial Balance'!L146</f>
        <v>759608.566108362</v>
      </c>
    </row>
    <row r="171" spans="1:2" ht="15" customHeight="1">
      <c r="A171" s="32" t="str">
        <f>'Trial Balance'!A147&amp;"-"&amp;'Trial Balance'!B147</f>
        <v>2262-Ontario Hydro Debt - Current Portion</v>
      </c>
      <c r="B171" s="23">
        <f>-'Trial Balance'!L147</f>
        <v>0</v>
      </c>
    </row>
    <row r="172" spans="1:2" ht="15" customHeight="1">
      <c r="A172" s="32" t="str">
        <f>'Trial Balance'!A148&amp;"-"&amp;'Trial Balance'!B148</f>
        <v>2264-Pensions and Employee Benefits - Current Portion</v>
      </c>
      <c r="B172" s="23">
        <f>-'Trial Balance'!L148</f>
        <v>0</v>
      </c>
    </row>
    <row r="173" spans="1:2" ht="15" customHeight="1">
      <c r="A173" s="32" t="str">
        <f>'Trial Balance'!A149&amp;"-"&amp;'Trial Balance'!B149</f>
        <v>2268-Accrued Interest on Long Term Debt</v>
      </c>
      <c r="B173" s="23">
        <f>-'Trial Balance'!L149</f>
        <v>0</v>
      </c>
    </row>
    <row r="174" spans="1:2" ht="15" customHeight="1">
      <c r="A174" s="32" t="str">
        <f>'Trial Balance'!A150&amp;"-"&amp;'Trial Balance'!B150</f>
        <v>2270-Matured Long Term Debt</v>
      </c>
      <c r="B174" s="23">
        <f>-'Trial Balance'!L150</f>
        <v>0</v>
      </c>
    </row>
    <row r="175" spans="1:2" ht="15" customHeight="1">
      <c r="A175" s="32" t="str">
        <f>'Trial Balance'!A151&amp;"-"&amp;'Trial Balance'!B151</f>
        <v>2272-Matured Interest on Long Term Debt</v>
      </c>
      <c r="B175" s="23">
        <f>-'Trial Balance'!L151</f>
        <v>0</v>
      </c>
    </row>
    <row r="176" spans="1:2" ht="15" customHeight="1">
      <c r="A176" s="32" t="str">
        <f>'Trial Balance'!A152&amp;"-"&amp;'Trial Balance'!B152</f>
        <v>2285-Obligations Under Capital Leases--Current</v>
      </c>
      <c r="B176" s="23">
        <f>-'Trial Balance'!L152</f>
        <v>0</v>
      </c>
    </row>
    <row r="177" spans="1:2" ht="15" customHeight="1">
      <c r="A177" s="32" t="str">
        <f>'Trial Balance'!A153&amp;"-"&amp;'Trial Balance'!B153</f>
        <v>2290-Commodity Taxes</v>
      </c>
      <c r="B177" s="23">
        <f>-'Trial Balance'!L153</f>
        <v>56098.75439978597</v>
      </c>
    </row>
    <row r="178" spans="1:2" ht="15" customHeight="1">
      <c r="A178" s="32" t="str">
        <f>'Trial Balance'!A154&amp;"-"&amp;'Trial Balance'!B154</f>
        <v>2292-Payroll Deductions / Expenses Payable</v>
      </c>
      <c r="B178" s="23">
        <f>-'Trial Balance'!L154</f>
        <v>437706.132609</v>
      </c>
    </row>
    <row r="179" spans="1:2" ht="15" customHeight="1">
      <c r="A179" s="32" t="str">
        <f>'Trial Balance'!A155&amp;"-"&amp;'Trial Balance'!B155</f>
        <v>2294-Accrual for Taxes, "Payments in Lieu" of Taxes, Etc.</v>
      </c>
      <c r="B179" s="23">
        <f>-'Trial Balance'!L155</f>
        <v>0</v>
      </c>
    </row>
    <row r="180" spans="1:2" ht="15" customHeight="1" thickBot="1">
      <c r="A180" s="32" t="str">
        <f>'Trial Balance'!A156&amp;"-"&amp;'Trial Balance'!B156</f>
        <v>2296-Future Income Taxes - Current</v>
      </c>
      <c r="B180" s="23">
        <f>-'Trial Balance'!L156</f>
        <v>0</v>
      </c>
    </row>
    <row r="181" spans="1:2" ht="15" customHeight="1" thickBot="1">
      <c r="A181" s="36" t="s">
        <v>540</v>
      </c>
      <c r="B181" s="31">
        <f>SUM(B158:B180)</f>
        <v>9441145.542546753</v>
      </c>
    </row>
    <row r="182" spans="1:2" s="21" customFormat="1" ht="15" customHeight="1">
      <c r="A182" s="27"/>
      <c r="B182" s="12"/>
    </row>
    <row r="183" spans="1:2" s="21" customFormat="1" ht="15" customHeight="1">
      <c r="A183" s="432" t="s">
        <v>541</v>
      </c>
      <c r="B183" s="432"/>
    </row>
    <row r="184" spans="1:2" ht="15" customHeight="1">
      <c r="A184" s="32" t="str">
        <f>'Trial Balance'!A158&amp;"-"&amp;'Trial Balance'!B158</f>
        <v>2305-Accumulated Provision for Injuries and Damages</v>
      </c>
      <c r="B184" s="23">
        <f>-'Trial Balance'!L158</f>
        <v>0</v>
      </c>
    </row>
    <row r="185" spans="1:2" ht="15" customHeight="1">
      <c r="A185" s="32" t="str">
        <f>'Trial Balance'!A159&amp;"-"&amp;'Trial Balance'!B159</f>
        <v>2306-Employee Future Benefits</v>
      </c>
      <c r="B185" s="23">
        <f>-'Trial Balance'!L159</f>
        <v>4813890</v>
      </c>
    </row>
    <row r="186" spans="1:2" ht="15" customHeight="1">
      <c r="A186" s="32" t="str">
        <f>'Trial Balance'!A160&amp;"-"&amp;'Trial Balance'!B160</f>
        <v>2308-Other Pensions - Past Service Liability</v>
      </c>
      <c r="B186" s="23">
        <f>-'Trial Balance'!L160</f>
        <v>0</v>
      </c>
    </row>
    <row r="187" spans="1:2" ht="15" customHeight="1">
      <c r="A187" s="32" t="str">
        <f>'Trial Balance'!A161&amp;"-"&amp;'Trial Balance'!B161</f>
        <v>2310-Vested Sick Leave Liability</v>
      </c>
      <c r="B187" s="23">
        <f>-'Trial Balance'!L161</f>
        <v>0</v>
      </c>
    </row>
    <row r="188" spans="1:2" ht="15" customHeight="1">
      <c r="A188" s="32" t="str">
        <f>'Trial Balance'!A162&amp;"-"&amp;'Trial Balance'!B162</f>
        <v>2315-Accumulated Provision for Rate Refunds</v>
      </c>
      <c r="B188" s="23">
        <f>-'Trial Balance'!L162</f>
        <v>0</v>
      </c>
    </row>
    <row r="189" spans="1:2" ht="15" customHeight="1">
      <c r="A189" s="32" t="str">
        <f>'Trial Balance'!A163&amp;"-"&amp;'Trial Balance'!B163</f>
        <v>2320-Other Miscellaneous Non-Current Liabilities</v>
      </c>
      <c r="B189" s="23">
        <f>-'Trial Balance'!L163</f>
        <v>0</v>
      </c>
    </row>
    <row r="190" spans="1:2" ht="15" customHeight="1">
      <c r="A190" s="32" t="str">
        <f>'Trial Balance'!A164&amp;"-"&amp;'Trial Balance'!B164</f>
        <v>2325-Obligations Under Capital Lease--Non-Current</v>
      </c>
      <c r="B190" s="23">
        <f>-'Trial Balance'!L164</f>
        <v>0</v>
      </c>
    </row>
    <row r="191" spans="1:2" ht="15" customHeight="1">
      <c r="A191" s="32" t="str">
        <f>'Trial Balance'!A165&amp;"-"&amp;'Trial Balance'!B165</f>
        <v>2330-Devolpment Charge Fund</v>
      </c>
      <c r="B191" s="23">
        <f>-'Trial Balance'!L165</f>
        <v>0</v>
      </c>
    </row>
    <row r="192" spans="1:2" ht="15" customHeight="1">
      <c r="A192" s="32" t="str">
        <f>'Trial Balance'!A166&amp;"-"&amp;'Trial Balance'!B166</f>
        <v>2335-Long Term Customer Deposits</v>
      </c>
      <c r="B192" s="23">
        <f>-'Trial Balance'!L166</f>
        <v>659328.88</v>
      </c>
    </row>
    <row r="193" spans="1:2" ht="15" customHeight="1">
      <c r="A193" s="32" t="str">
        <f>'Trial Balance'!A167&amp;"-"&amp;'Trial Balance'!B167</f>
        <v>2340-Collateral Funds Liability</v>
      </c>
      <c r="B193" s="23">
        <f>-'Trial Balance'!L167</f>
        <v>0</v>
      </c>
    </row>
    <row r="194" spans="1:2" ht="15" customHeight="1">
      <c r="A194" s="32" t="str">
        <f>'Trial Balance'!A168&amp;"-"&amp;'Trial Balance'!B168</f>
        <v>2345-Unamortized Premium on Long Term Debt</v>
      </c>
      <c r="B194" s="23">
        <f>-'Trial Balance'!L168</f>
        <v>0</v>
      </c>
    </row>
    <row r="195" spans="1:2" ht="15" customHeight="1">
      <c r="A195" s="32" t="str">
        <f>'Trial Balance'!A169&amp;"-"&amp;'Trial Balance'!B169</f>
        <v>2348-O.M.E.R.S. - Past Service Liability - Long Term Portion</v>
      </c>
      <c r="B195" s="23">
        <f>-'Trial Balance'!L169</f>
        <v>0</v>
      </c>
    </row>
    <row r="196" spans="1:2" ht="15" customHeight="1">
      <c r="A196" s="32" t="str">
        <f>'Trial Balance'!A170&amp;"-"&amp;'Trial Balance'!B170</f>
        <v>2350-Future Income Tax - Non-Current</v>
      </c>
      <c r="B196" s="23">
        <f>-'Trial Balance'!L170</f>
        <v>0</v>
      </c>
    </row>
    <row r="197" spans="1:2" ht="15" customHeight="1">
      <c r="A197" s="32" t="str">
        <f>'Trial Balance'!A172&amp;"-"&amp;'Trial Balance'!B172</f>
        <v>2405-Other Regulatory Liabilities</v>
      </c>
      <c r="B197" s="23">
        <f>-'Trial Balance'!L172</f>
        <v>-1150.0000901937008</v>
      </c>
    </row>
    <row r="198" spans="1:2" ht="15" customHeight="1">
      <c r="A198" s="32" t="str">
        <f>'Trial Balance'!A173&amp;"-"&amp;'Trial Balance'!B173</f>
        <v>2410-Deferred Gains From Disposition of Utility Plant</v>
      </c>
      <c r="B198" s="23">
        <f>-'Trial Balance'!L173</f>
        <v>0</v>
      </c>
    </row>
    <row r="199" spans="1:2" ht="15" customHeight="1">
      <c r="A199" s="32" t="str">
        <f>'Trial Balance'!A174&amp;"-"&amp;'Trial Balance'!B174</f>
        <v>2415-Unamortized Gain on Reacquired Debt</v>
      </c>
      <c r="B199" s="23">
        <f>-'Trial Balance'!L174</f>
        <v>0</v>
      </c>
    </row>
    <row r="200" spans="1:2" ht="15" customHeight="1">
      <c r="A200" s="32" t="str">
        <f>'Trial Balance'!A175&amp;"-"&amp;'Trial Balance'!B175</f>
        <v>2425-Other Deferred Credits</v>
      </c>
      <c r="B200" s="23">
        <f>-'Trial Balance'!L175</f>
        <v>0</v>
      </c>
    </row>
    <row r="201" spans="1:2" ht="15" customHeight="1" thickBot="1">
      <c r="A201" s="32" t="str">
        <f>'Trial Balance'!A176&amp;"-"&amp;'Trial Balance'!B176</f>
        <v>2435-Accrued Rate-Payer Benefit</v>
      </c>
      <c r="B201" s="23">
        <f>-'Trial Balance'!L176</f>
        <v>0</v>
      </c>
    </row>
    <row r="202" spans="1:2" ht="15" customHeight="1" thickBot="1">
      <c r="A202" s="36" t="s">
        <v>156</v>
      </c>
      <c r="B202" s="31">
        <f>SUM(B184:B201)</f>
        <v>5472068.879909806</v>
      </c>
    </row>
    <row r="203" spans="1:2" s="21" customFormat="1" ht="15" customHeight="1">
      <c r="A203" s="27"/>
      <c r="B203" s="12"/>
    </row>
    <row r="204" spans="1:2" s="21" customFormat="1" ht="15" customHeight="1">
      <c r="A204" s="432" t="s">
        <v>157</v>
      </c>
      <c r="B204" s="432"/>
    </row>
    <row r="205" spans="1:2" s="21" customFormat="1" ht="15" customHeight="1">
      <c r="A205" s="32" t="str">
        <f>'Trial Balance'!A178&amp;"-"&amp;'Trial Balance'!B178</f>
        <v>2505-Debentures Outstanding - Long Term Portion</v>
      </c>
      <c r="B205" s="23">
        <f>-'Trial Balance'!L178</f>
        <v>0</v>
      </c>
    </row>
    <row r="206" spans="1:2" s="21" customFormat="1" ht="15" customHeight="1">
      <c r="A206" s="32" t="str">
        <f>'Trial Balance'!A179&amp;"-"&amp;'Trial Balance'!B179</f>
        <v>2510-Debenture Advances</v>
      </c>
      <c r="B206" s="23">
        <f>-'Trial Balance'!L179</f>
        <v>0</v>
      </c>
    </row>
    <row r="207" spans="1:2" s="21" customFormat="1" ht="15" customHeight="1">
      <c r="A207" s="32" t="str">
        <f>'Trial Balance'!A180&amp;"-"&amp;'Trial Balance'!B180</f>
        <v>2515-Required Bonds</v>
      </c>
      <c r="B207" s="23">
        <f>-'Trial Balance'!L180</f>
        <v>0</v>
      </c>
    </row>
    <row r="208" spans="1:2" s="21" customFormat="1" ht="15" customHeight="1">
      <c r="A208" s="32" t="str">
        <f>'Trial Balance'!A181&amp;"-"&amp;'Trial Balance'!B181</f>
        <v>2520-Other Long Term Debt</v>
      </c>
      <c r="B208" s="23">
        <f>-'Trial Balance'!L181</f>
        <v>0</v>
      </c>
    </row>
    <row r="209" spans="1:2" s="21" customFormat="1" ht="15" customHeight="1">
      <c r="A209" s="32" t="str">
        <f>'Trial Balance'!A182&amp;"-"&amp;'Trial Balance'!B182</f>
        <v>2525-Term Bank Loans - Long Term Portion</v>
      </c>
      <c r="B209" s="23">
        <f>-'Trial Balance'!L182</f>
        <v>4743349.11389164</v>
      </c>
    </row>
    <row r="210" spans="1:2" s="21" customFormat="1" ht="15" customHeight="1">
      <c r="A210" s="32" t="str">
        <f>'Trial Balance'!A183&amp;"-"&amp;'Trial Balance'!B183</f>
        <v>2530-Ontario Hydro Debt Outstanding - Long Term Portion</v>
      </c>
      <c r="B210" s="23">
        <f>-'Trial Balance'!L183</f>
        <v>0</v>
      </c>
    </row>
    <row r="211" spans="1:2" ht="15" customHeight="1" thickBot="1">
      <c r="A211" s="32" t="str">
        <f>'Trial Balance'!A184&amp;"-"&amp;'Trial Balance'!B184</f>
        <v>2550-Advances from Associated Companies</v>
      </c>
      <c r="B211" s="23">
        <f>-'Trial Balance'!L184</f>
        <v>19511601</v>
      </c>
    </row>
    <row r="212" spans="1:2" ht="15" customHeight="1" thickBot="1">
      <c r="A212" s="36" t="s">
        <v>158</v>
      </c>
      <c r="B212" s="31">
        <f>SUM(B205:B211)</f>
        <v>24254950.11389164</v>
      </c>
    </row>
    <row r="213" spans="1:2" s="21" customFormat="1" ht="15" customHeight="1">
      <c r="A213" s="27"/>
      <c r="B213" s="12"/>
    </row>
    <row r="214" spans="1:2" s="21" customFormat="1" ht="15" customHeight="1">
      <c r="A214" s="432" t="s">
        <v>159</v>
      </c>
      <c r="B214" s="432"/>
    </row>
    <row r="215" spans="1:2" ht="15" customHeight="1">
      <c r="A215" s="32" t="str">
        <f>'Trial Balance'!A186&amp;"-"&amp;'Trial Balance'!B186</f>
        <v>3005-Common Shares Issued</v>
      </c>
      <c r="B215" s="23">
        <f>-'Trial Balance'!L186</f>
        <v>19511601</v>
      </c>
    </row>
    <row r="216" spans="1:2" ht="15" customHeight="1">
      <c r="A216" s="32" t="str">
        <f>'Trial Balance'!A187&amp;"-"&amp;'Trial Balance'!B187</f>
        <v>3008-Preference Shares Issued</v>
      </c>
      <c r="B216" s="23">
        <f>-'Trial Balance'!L187</f>
        <v>0</v>
      </c>
    </row>
    <row r="217" spans="1:2" ht="15" customHeight="1">
      <c r="A217" s="32" t="str">
        <f>'Trial Balance'!A188&amp;"-"&amp;'Trial Balance'!B188</f>
        <v>3010-Contributed Surplus</v>
      </c>
      <c r="B217" s="23">
        <f>-'Trial Balance'!L188</f>
        <v>0</v>
      </c>
    </row>
    <row r="218" spans="1:2" ht="15" customHeight="1">
      <c r="A218" s="32" t="str">
        <f>'Trial Balance'!A189&amp;"-"&amp;'Trial Balance'!B189</f>
        <v>3020-Donations Received</v>
      </c>
      <c r="B218" s="23">
        <f>-'Trial Balance'!L189</f>
        <v>0</v>
      </c>
    </row>
    <row r="219" spans="1:2" ht="15" customHeight="1">
      <c r="A219" s="32" t="str">
        <f>'Trial Balance'!A190&amp;"-"&amp;'Trial Balance'!B190</f>
        <v>3022-Devolpment Charges Transferred to Equity</v>
      </c>
      <c r="B219" s="23">
        <f>-'Trial Balance'!L190</f>
        <v>0</v>
      </c>
    </row>
    <row r="220" spans="1:2" ht="15" customHeight="1">
      <c r="A220" s="32" t="str">
        <f>'Trial Balance'!A191&amp;"-"&amp;'Trial Balance'!B191</f>
        <v>3026-Capital Stock Held in Treasury</v>
      </c>
      <c r="B220" s="23">
        <f>-'Trial Balance'!L191</f>
        <v>0</v>
      </c>
    </row>
    <row r="221" spans="1:2" ht="15" customHeight="1">
      <c r="A221" s="32" t="str">
        <f>'Trial Balance'!A192&amp;"-"&amp;'Trial Balance'!B192</f>
        <v>3030-Miscellaneous Paid-In Capital</v>
      </c>
      <c r="B221" s="23">
        <f>-'Trial Balance'!L192</f>
        <v>0</v>
      </c>
    </row>
    <row r="222" spans="1:2" ht="15" customHeight="1">
      <c r="A222" s="32" t="str">
        <f>'Trial Balance'!A193&amp;"-"&amp;'Trial Balance'!B193</f>
        <v>3035-Installments Received on Capital Stock</v>
      </c>
      <c r="B222" s="23">
        <f>-'Trial Balance'!L193</f>
        <v>0</v>
      </c>
    </row>
    <row r="223" spans="1:2" ht="15" customHeight="1">
      <c r="A223" s="32" t="str">
        <f>'Trial Balance'!A194&amp;"-"&amp;'Trial Balance'!B194</f>
        <v>3040-Appropriated Retained Earnings</v>
      </c>
      <c r="B223" s="23">
        <f>-'Trial Balance'!L194</f>
        <v>0</v>
      </c>
    </row>
    <row r="224" spans="1:2" ht="15" customHeight="1">
      <c r="A224" s="32" t="str">
        <f>'Trial Balance'!A195&amp;"-"&amp;'Trial Balance'!B195</f>
        <v>3045-Unappropriated Retained Earnings</v>
      </c>
      <c r="B224" s="23">
        <f>-'Trial Balance'!L195</f>
        <v>4448474.33076126</v>
      </c>
    </row>
    <row r="225" spans="1:3" ht="15" customHeight="1">
      <c r="A225" s="32" t="s">
        <v>563</v>
      </c>
      <c r="B225" s="320">
        <f>-'2010 Income Statement'!B214</f>
        <v>599737.8501078275</v>
      </c>
      <c r="C225" t="s">
        <v>544</v>
      </c>
    </row>
    <row r="226" spans="1:2" ht="15" customHeight="1">
      <c r="A226" s="32" t="str">
        <f>'Trial Balance'!A197&amp;"-"&amp;'Trial Balance'!B197</f>
        <v>3047-Appropriations of Retained Earnings - Current Period</v>
      </c>
      <c r="B226" s="23">
        <f>-'Trial Balance'!L197</f>
        <v>0</v>
      </c>
    </row>
    <row r="227" spans="1:2" ht="15" customHeight="1">
      <c r="A227" s="32" t="str">
        <f>'Trial Balance'!A198&amp;"-"&amp;'Trial Balance'!B198</f>
        <v>3048-Dividends Payable-Preference Shares</v>
      </c>
      <c r="B227" s="23">
        <f>-'Trial Balance'!L198</f>
        <v>0</v>
      </c>
    </row>
    <row r="228" spans="1:2" ht="15" customHeight="1">
      <c r="A228" s="32" t="str">
        <f>'Trial Balance'!A199&amp;"-"&amp;'Trial Balance'!B199</f>
        <v>3049-Dividends Payable-Common Shares</v>
      </c>
      <c r="B228" s="23">
        <f>-'Trial Balance'!L199</f>
        <v>0</v>
      </c>
    </row>
    <row r="229" spans="1:2" ht="15" customHeight="1">
      <c r="A229" s="32" t="str">
        <f>'Trial Balance'!A200&amp;"-"&amp;'Trial Balance'!B200</f>
        <v>3055-Adjustment to Retained Earnings                 </v>
      </c>
      <c r="B229" s="23">
        <f>-'Trial Balance'!L200</f>
        <v>0</v>
      </c>
    </row>
    <row r="230" spans="1:2" ht="15" customHeight="1" thickBot="1">
      <c r="A230" s="32" t="str">
        <f>'Trial Balance'!A201&amp;"-"&amp;'Trial Balance'!B201</f>
        <v>3065-Unappropriated Undistributed Subsidiary Earnings</v>
      </c>
      <c r="B230" s="23">
        <f>-'Trial Balance'!L201</f>
        <v>0</v>
      </c>
    </row>
    <row r="231" spans="1:2" ht="15" customHeight="1" thickBot="1">
      <c r="A231" s="34" t="s">
        <v>564</v>
      </c>
      <c r="B231" s="31">
        <f>SUM(B215:B230)</f>
        <v>24559813.180869088</v>
      </c>
    </row>
    <row r="232" spans="1:3" s="13" customFormat="1" ht="15" customHeight="1">
      <c r="A232" s="28"/>
      <c r="B232" s="12"/>
      <c r="C232" s="367"/>
    </row>
    <row r="233" spans="1:2" s="13" customFormat="1" ht="15" customHeight="1">
      <c r="A233" s="226" t="s">
        <v>282</v>
      </c>
      <c r="B233" s="227">
        <f>B181+B202+B212+B231</f>
        <v>63727977.71721728</v>
      </c>
    </row>
    <row r="234" spans="1:2" s="13" customFormat="1" ht="15" customHeight="1" thickBot="1">
      <c r="A234" s="28"/>
      <c r="B234" s="12"/>
    </row>
    <row r="235" spans="1:2" ht="15" customHeight="1" thickBot="1">
      <c r="A235" s="37" t="s">
        <v>281</v>
      </c>
      <c r="B235" s="254">
        <f>B155-B233</f>
        <v>-0.002815239131450653</v>
      </c>
    </row>
    <row r="236" spans="1:2" ht="15">
      <c r="A236" s="29"/>
      <c r="B236" s="10"/>
    </row>
    <row r="237" spans="1:2" ht="15">
      <c r="A237" s="29"/>
      <c r="B237" s="316"/>
    </row>
    <row r="238" spans="1:2" ht="15">
      <c r="A238" s="29"/>
      <c r="B238" s="10"/>
    </row>
    <row r="239" spans="1:2" ht="15">
      <c r="A239" s="29"/>
      <c r="B239" s="10"/>
    </row>
    <row r="240" spans="1:2" ht="15">
      <c r="A240" s="29"/>
      <c r="B240" s="10"/>
    </row>
    <row r="241" spans="1:2" ht="15">
      <c r="A241" s="29"/>
      <c r="B241" s="10"/>
    </row>
    <row r="242" spans="1:2" ht="15">
      <c r="A242" s="29"/>
      <c r="B242" s="10"/>
    </row>
    <row r="243" spans="1:2" ht="15">
      <c r="A243" s="29"/>
      <c r="B243" s="10"/>
    </row>
    <row r="244" spans="1:2" ht="15">
      <c r="A244" s="29"/>
      <c r="B244" s="10"/>
    </row>
    <row r="245" spans="1:2" ht="15">
      <c r="A245" s="29"/>
      <c r="B245" s="10"/>
    </row>
    <row r="246" spans="1:2" ht="15">
      <c r="A246" s="29"/>
      <c r="B246" s="10"/>
    </row>
    <row r="247" spans="1:2" ht="15">
      <c r="A247" s="29"/>
      <c r="B247" s="10"/>
    </row>
    <row r="248" spans="1:2" ht="15">
      <c r="A248" s="29"/>
      <c r="B248" s="10"/>
    </row>
    <row r="249" spans="1:2" ht="15">
      <c r="A249" s="29"/>
      <c r="B249" s="10"/>
    </row>
    <row r="250" spans="1:2" ht="15">
      <c r="A250" s="29"/>
      <c r="B250" s="10"/>
    </row>
    <row r="251" spans="1:2" ht="15">
      <c r="A251" s="29"/>
      <c r="B251" s="10"/>
    </row>
    <row r="252" spans="1:2" ht="15">
      <c r="A252" s="29"/>
      <c r="B252" s="10"/>
    </row>
    <row r="253" spans="1:2" ht="15">
      <c r="A253" s="29"/>
      <c r="B253" s="10"/>
    </row>
    <row r="254" spans="1:2" ht="15">
      <c r="A254" s="29"/>
      <c r="B254" s="10"/>
    </row>
    <row r="255" spans="1:2" ht="15">
      <c r="A255" s="29"/>
      <c r="B255" s="10"/>
    </row>
    <row r="256" spans="1:2" ht="15">
      <c r="A256" s="29"/>
      <c r="B256" s="10"/>
    </row>
    <row r="257" spans="1:2" ht="15">
      <c r="A257" s="29"/>
      <c r="B257" s="10"/>
    </row>
    <row r="258" spans="1:2" ht="15">
      <c r="A258" s="29"/>
      <c r="B258" s="10"/>
    </row>
    <row r="259" spans="1:2" ht="15">
      <c r="A259" s="29"/>
      <c r="B259" s="10"/>
    </row>
    <row r="260" spans="1:2" ht="15">
      <c r="A260" s="29"/>
      <c r="B260" s="10"/>
    </row>
    <row r="261" spans="1:2" ht="15">
      <c r="A261" s="29"/>
      <c r="B261" s="10"/>
    </row>
    <row r="262" spans="1:2" ht="15">
      <c r="A262" s="29"/>
      <c r="B262" s="10"/>
    </row>
    <row r="263" spans="1:2" ht="15">
      <c r="A263" s="29"/>
      <c r="B263" s="10"/>
    </row>
    <row r="264" spans="1:2" ht="15">
      <c r="A264" s="29"/>
      <c r="B264" s="10"/>
    </row>
    <row r="265" spans="1:2" ht="15">
      <c r="A265" s="29"/>
      <c r="B265" s="10"/>
    </row>
    <row r="266" spans="1:2" ht="15">
      <c r="A266" s="29"/>
      <c r="B266" s="10"/>
    </row>
    <row r="267" spans="1:2" ht="15">
      <c r="A267" s="29"/>
      <c r="B267" s="10"/>
    </row>
    <row r="268" spans="1:2" ht="15">
      <c r="A268" s="29"/>
      <c r="B268" s="10"/>
    </row>
    <row r="269" spans="1:2" ht="15">
      <c r="A269" s="29"/>
      <c r="B269" s="10"/>
    </row>
    <row r="270" spans="1:2" ht="15">
      <c r="A270" s="29"/>
      <c r="B270" s="10"/>
    </row>
    <row r="271" spans="1:2" ht="15">
      <c r="A271" s="29"/>
      <c r="B271" s="10"/>
    </row>
    <row r="272" spans="1:2" ht="15">
      <c r="A272" s="29"/>
      <c r="B272" s="10"/>
    </row>
    <row r="273" spans="1:2" ht="15">
      <c r="A273" s="29"/>
      <c r="B273" s="10"/>
    </row>
    <row r="274" spans="1:2" ht="15">
      <c r="A274" s="29"/>
      <c r="B274" s="10"/>
    </row>
    <row r="275" spans="1:2" ht="15">
      <c r="A275" s="29"/>
      <c r="B275" s="10"/>
    </row>
    <row r="276" spans="1:2" ht="15">
      <c r="A276" s="29"/>
      <c r="B276" s="10"/>
    </row>
    <row r="277" spans="1:2" ht="15">
      <c r="A277" s="29"/>
      <c r="B277" s="10"/>
    </row>
    <row r="278" spans="1:2" ht="15">
      <c r="A278" s="29"/>
      <c r="B278" s="10"/>
    </row>
    <row r="279" spans="1:2" ht="15">
      <c r="A279" s="29"/>
      <c r="B279" s="10"/>
    </row>
    <row r="280" spans="1:2" ht="15">
      <c r="A280" s="29"/>
      <c r="B280" s="10"/>
    </row>
    <row r="281" spans="1:2" ht="15">
      <c r="A281" s="29"/>
      <c r="B281" s="10"/>
    </row>
    <row r="282" spans="1:2" ht="15">
      <c r="A282" s="29"/>
      <c r="B282" s="10"/>
    </row>
    <row r="283" spans="1:2" ht="15">
      <c r="A283" s="29"/>
      <c r="B283" s="10"/>
    </row>
    <row r="284" spans="1:2" ht="15">
      <c r="A284" s="29"/>
      <c r="B284" s="10"/>
    </row>
    <row r="285" spans="1:2" ht="15">
      <c r="A285" s="29"/>
      <c r="B285" s="10"/>
    </row>
    <row r="286" spans="1:2" ht="15">
      <c r="A286" s="29"/>
      <c r="B286" s="10"/>
    </row>
    <row r="287" spans="1:2" ht="15">
      <c r="A287" s="29"/>
      <c r="B287" s="10"/>
    </row>
    <row r="288" spans="1:2" ht="15">
      <c r="A288" s="29"/>
      <c r="B288" s="10"/>
    </row>
    <row r="289" spans="1:2" ht="15">
      <c r="A289" s="29"/>
      <c r="B289" s="10"/>
    </row>
    <row r="290" spans="1:2" ht="15">
      <c r="A290" s="29"/>
      <c r="B290" s="10"/>
    </row>
    <row r="291" spans="1:2" ht="15">
      <c r="A291" s="29"/>
      <c r="B291" s="10"/>
    </row>
    <row r="292" spans="1:2" ht="15">
      <c r="A292" s="29"/>
      <c r="B292" s="10"/>
    </row>
    <row r="293" spans="1:2" ht="15">
      <c r="A293" s="29"/>
      <c r="B293" s="10"/>
    </row>
    <row r="294" spans="1:2" ht="15">
      <c r="A294" s="29"/>
      <c r="B294" s="10"/>
    </row>
    <row r="295" spans="1:2" ht="15">
      <c r="A295" s="29"/>
      <c r="B295" s="10"/>
    </row>
    <row r="296" spans="1:2" ht="15">
      <c r="A296" s="29"/>
      <c r="B296" s="10"/>
    </row>
    <row r="297" spans="1:2" ht="15">
      <c r="A297" s="29"/>
      <c r="B297" s="10"/>
    </row>
    <row r="298" spans="1:2" ht="15">
      <c r="A298" s="29"/>
      <c r="B298" s="10"/>
    </row>
    <row r="299" spans="1:2" ht="15">
      <c r="A299" s="29"/>
      <c r="B299" s="10"/>
    </row>
    <row r="300" spans="1:2" ht="15">
      <c r="A300" s="29"/>
      <c r="B300" s="10"/>
    </row>
    <row r="301" spans="1:2" ht="15">
      <c r="A301" s="29"/>
      <c r="B301" s="10"/>
    </row>
    <row r="302" spans="1:2" ht="15">
      <c r="A302" s="29"/>
      <c r="B302" s="10"/>
    </row>
    <row r="303" spans="1:2" ht="15">
      <c r="A303" s="29"/>
      <c r="B303" s="10"/>
    </row>
    <row r="304" spans="1:2" ht="15">
      <c r="A304" s="29"/>
      <c r="B304" s="10"/>
    </row>
    <row r="305" spans="1:2" ht="15">
      <c r="A305" s="29"/>
      <c r="B305" s="10"/>
    </row>
    <row r="306" spans="1:2" ht="15">
      <c r="A306" s="29"/>
      <c r="B306" s="10"/>
    </row>
    <row r="307" spans="1:2" ht="15">
      <c r="A307" s="29"/>
      <c r="B307" s="10"/>
    </row>
    <row r="308" spans="1:2" ht="15">
      <c r="A308" s="29"/>
      <c r="B308" s="10"/>
    </row>
    <row r="309" spans="1:2" ht="15">
      <c r="A309" s="29"/>
      <c r="B309" s="10"/>
    </row>
    <row r="310" spans="1:2" ht="15">
      <c r="A310" s="29"/>
      <c r="B310" s="10"/>
    </row>
    <row r="311" spans="1:2" ht="15">
      <c r="A311" s="29"/>
      <c r="B311" s="10"/>
    </row>
    <row r="312" spans="1:2" ht="15">
      <c r="A312" s="29"/>
      <c r="B312" s="10"/>
    </row>
    <row r="313" spans="1:2" ht="15">
      <c r="A313" s="29"/>
      <c r="B313" s="10"/>
    </row>
    <row r="314" spans="1:2" ht="15">
      <c r="A314" s="29"/>
      <c r="B314" s="10"/>
    </row>
    <row r="315" spans="1:2" ht="15">
      <c r="A315" s="29"/>
      <c r="B315" s="10"/>
    </row>
    <row r="316" spans="1:2" ht="15">
      <c r="A316" s="29"/>
      <c r="B316" s="10"/>
    </row>
    <row r="317" spans="1:2" ht="15">
      <c r="A317" s="29"/>
      <c r="B317" s="10"/>
    </row>
    <row r="318" spans="1:2" ht="15">
      <c r="A318" s="29"/>
      <c r="B318" s="10"/>
    </row>
    <row r="319" spans="1:2" ht="15">
      <c r="A319" s="29"/>
      <c r="B319" s="10"/>
    </row>
    <row r="320" spans="1:2" ht="15">
      <c r="A320" s="29"/>
      <c r="B320" s="10"/>
    </row>
    <row r="321" spans="1:2" ht="15">
      <c r="A321" s="29"/>
      <c r="B321" s="10"/>
    </row>
    <row r="322" spans="1:2" ht="15">
      <c r="A322" s="29"/>
      <c r="B322" s="10"/>
    </row>
    <row r="323" spans="1:2" ht="15">
      <c r="A323" s="29"/>
      <c r="B323" s="10"/>
    </row>
    <row r="324" spans="1:2" ht="15">
      <c r="A324" s="29"/>
      <c r="B324" s="10"/>
    </row>
    <row r="325" spans="1:2" ht="15">
      <c r="A325" s="29"/>
      <c r="B325" s="10"/>
    </row>
    <row r="326" spans="1:2" ht="15">
      <c r="A326" s="29"/>
      <c r="B326" s="10"/>
    </row>
    <row r="327" spans="1:2" ht="15">
      <c r="A327" s="29"/>
      <c r="B327" s="10"/>
    </row>
    <row r="328" spans="1:2" ht="15">
      <c r="A328" s="29"/>
      <c r="B328" s="10"/>
    </row>
    <row r="329" spans="1:2" ht="15">
      <c r="A329" s="29"/>
      <c r="B329" s="10"/>
    </row>
    <row r="330" spans="1:2" ht="15">
      <c r="A330" s="29"/>
      <c r="B330" s="10"/>
    </row>
    <row r="331" spans="1:2" ht="15">
      <c r="A331" s="29"/>
      <c r="B331" s="10"/>
    </row>
    <row r="332" spans="1:2" ht="15">
      <c r="A332" s="29"/>
      <c r="B332" s="10"/>
    </row>
    <row r="333" spans="1:2" ht="15">
      <c r="A333" s="29"/>
      <c r="B333" s="10"/>
    </row>
    <row r="334" spans="1:2" ht="15">
      <c r="A334" s="29"/>
      <c r="B334" s="10"/>
    </row>
    <row r="335" spans="1:2" ht="15">
      <c r="A335" s="29"/>
      <c r="B335" s="10"/>
    </row>
    <row r="336" spans="1:2" ht="15">
      <c r="A336" s="29"/>
      <c r="B336" s="10"/>
    </row>
    <row r="337" spans="1:2" ht="15">
      <c r="A337" s="29"/>
      <c r="B337" s="10"/>
    </row>
    <row r="338" spans="1:2" ht="15">
      <c r="A338" s="29"/>
      <c r="B338" s="10"/>
    </row>
    <row r="339" spans="1:2" ht="15">
      <c r="A339" s="29"/>
      <c r="B339" s="10"/>
    </row>
    <row r="340" spans="1:2" ht="15">
      <c r="A340" s="29"/>
      <c r="B340" s="10"/>
    </row>
    <row r="341" spans="1:2" ht="15">
      <c r="A341" s="29"/>
      <c r="B341" s="10"/>
    </row>
    <row r="342" spans="1:2" ht="15">
      <c r="A342" s="29"/>
      <c r="B342" s="10"/>
    </row>
    <row r="343" spans="1:2" ht="15">
      <c r="A343" s="29"/>
      <c r="B343" s="10"/>
    </row>
    <row r="344" spans="1:2" ht="15">
      <c r="A344" s="29"/>
      <c r="B344" s="10"/>
    </row>
    <row r="345" spans="1:2" ht="15">
      <c r="A345" s="29"/>
      <c r="B345" s="10"/>
    </row>
    <row r="346" spans="1:2" ht="15">
      <c r="A346" s="29"/>
      <c r="B346" s="10"/>
    </row>
    <row r="347" spans="1:2" ht="15">
      <c r="A347" s="29"/>
      <c r="B347" s="10"/>
    </row>
    <row r="348" spans="1:2" ht="15">
      <c r="A348" s="29"/>
      <c r="B348" s="10"/>
    </row>
    <row r="349" spans="1:2" ht="15">
      <c r="A349" s="29"/>
      <c r="B349" s="10"/>
    </row>
    <row r="350" spans="1:2" ht="15">
      <c r="A350" s="29"/>
      <c r="B350" s="10"/>
    </row>
    <row r="351" spans="1:2" ht="15">
      <c r="A351" s="29"/>
      <c r="B351" s="10"/>
    </row>
    <row r="352" spans="1:2" ht="15">
      <c r="A352" s="29"/>
      <c r="B352" s="10"/>
    </row>
    <row r="353" spans="1:2" ht="15">
      <c r="A353" s="29"/>
      <c r="B353" s="10"/>
    </row>
    <row r="354" spans="1:2" ht="15">
      <c r="A354" s="29"/>
      <c r="B354" s="10"/>
    </row>
  </sheetData>
  <mergeCells count="18">
    <mergeCell ref="A214:B214"/>
    <mergeCell ref="A147:B147"/>
    <mergeCell ref="A157:B157"/>
    <mergeCell ref="A183:B183"/>
    <mergeCell ref="A204:B204"/>
    <mergeCell ref="A59:B59"/>
    <mergeCell ref="A92:B92"/>
    <mergeCell ref="A110:B110"/>
    <mergeCell ref="A133:B133"/>
    <mergeCell ref="A54:B54"/>
    <mergeCell ref="A30:B30"/>
    <mergeCell ref="A1:B1"/>
    <mergeCell ref="A2:B2"/>
    <mergeCell ref="A37:B37"/>
    <mergeCell ref="A3:B3"/>
    <mergeCell ref="A4:B4"/>
    <mergeCell ref="A6:B6"/>
    <mergeCell ref="A29:B29"/>
  </mergeCells>
  <printOptions/>
  <pageMargins left="0.4724409448818898" right="0.7480314960629921" top="0.984251968503937" bottom="0.984251968503937" header="0.5118110236220472" footer="0.5118110236220472"/>
  <pageSetup fitToHeight="5" horizontalDpi="355" verticalDpi="355" orientation="portrait" scale="77" r:id="rId1"/>
  <headerFooter alignWithMargins="0">
    <oddFooter>&amp;L&amp;A</oddFooter>
  </headerFooter>
  <rowBreaks count="4" manualBreakCount="4">
    <brk id="58" max="255" man="1"/>
    <brk id="109" max="255" man="1"/>
    <brk id="156" max="255" man="1"/>
    <brk id="20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330"/>
  <sheetViews>
    <sheetView workbookViewId="0" topLeftCell="A1">
      <selection activeCell="A1" sqref="A1:B1"/>
    </sheetView>
  </sheetViews>
  <sheetFormatPr defaultColWidth="9.140625" defaultRowHeight="12.75"/>
  <cols>
    <col min="1" max="1" width="72.28125" style="0" customWidth="1"/>
    <col min="2" max="2" width="21.8515625" style="0" customWidth="1"/>
    <col min="5" max="5" width="3.57421875" style="0" customWidth="1"/>
    <col min="6" max="6" width="2.421875" style="0" customWidth="1"/>
    <col min="7" max="7" width="14.57421875" style="0" bestFit="1" customWidth="1"/>
  </cols>
  <sheetData>
    <row r="1" spans="1:2" ht="12.75">
      <c r="A1" s="441" t="str">
        <f>'Trial Balance'!A1:J1</f>
        <v>North Bay Hydro Distribution Ltd.</v>
      </c>
      <c r="B1" s="441"/>
    </row>
    <row r="2" spans="1:2" ht="12.75">
      <c r="A2" s="441" t="str">
        <f>'Trial Balance'!A2:J2</f>
        <v>License Number ED-2003-0024, File Number EB-2009-0270</v>
      </c>
      <c r="B2" s="441"/>
    </row>
    <row r="3" spans="1:2" s="25" customFormat="1" ht="15.75">
      <c r="A3" s="433" t="str">
        <f>Notes!B4</f>
        <v>North Bay Hydro Distribution Ltd.</v>
      </c>
      <c r="B3" s="433"/>
    </row>
    <row r="4" spans="1:2" s="25" customFormat="1" ht="15.75">
      <c r="A4" s="427" t="s">
        <v>827</v>
      </c>
      <c r="B4" s="427"/>
    </row>
    <row r="5" spans="1:2" ht="15" customHeight="1">
      <c r="A5" s="72" t="s">
        <v>545</v>
      </c>
      <c r="B5" s="72" t="s">
        <v>153</v>
      </c>
    </row>
    <row r="6" spans="1:2" ht="15" customHeight="1">
      <c r="A6" s="428" t="s">
        <v>141</v>
      </c>
      <c r="B6" s="428"/>
    </row>
    <row r="7" spans="1:7" ht="15" customHeight="1">
      <c r="A7" s="32" t="str">
        <f>'Trial Balance'!A203&amp;"-"&amp;'Trial Balance'!B203</f>
        <v>4006-Residential Energy Sales</v>
      </c>
      <c r="B7" s="23">
        <f>'Trial Balance'!L203</f>
        <v>-11436562.548645522</v>
      </c>
      <c r="D7" s="14"/>
      <c r="E7" s="15"/>
      <c r="F7" s="16"/>
      <c r="G7" s="18"/>
    </row>
    <row r="8" spans="1:7" ht="15" customHeight="1">
      <c r="A8" s="32" t="str">
        <f>'Trial Balance'!A204&amp;"-"&amp;'Trial Balance'!B204</f>
        <v>4010-Commercial Energy Sales</v>
      </c>
      <c r="B8" s="23">
        <f>'Trial Balance'!L204</f>
        <v>-4747700.848502402</v>
      </c>
      <c r="D8" s="14"/>
      <c r="E8" s="15"/>
      <c r="F8" s="16"/>
      <c r="G8" s="18"/>
    </row>
    <row r="9" spans="1:7" ht="15" customHeight="1">
      <c r="A9" s="32" t="str">
        <f>'Trial Balance'!A205&amp;"-"&amp;'Trial Balance'!B205</f>
        <v>4015-Industrial Energy Sales</v>
      </c>
      <c r="B9" s="23">
        <f>'Trial Balance'!L205</f>
        <v>0</v>
      </c>
      <c r="D9" s="14"/>
      <c r="E9" s="15"/>
      <c r="F9" s="16"/>
      <c r="G9" s="18"/>
    </row>
    <row r="10" spans="1:7" ht="15" customHeight="1">
      <c r="A10" s="32" t="str">
        <f>'Trial Balance'!A206&amp;"-"&amp;'Trial Balance'!B206</f>
        <v>4020-Energy Sales to Large Users</v>
      </c>
      <c r="B10" s="23">
        <f>'Trial Balance'!L206</f>
        <v>0</v>
      </c>
      <c r="D10" s="14"/>
      <c r="E10" s="15"/>
      <c r="F10" s="16"/>
      <c r="G10" s="18"/>
    </row>
    <row r="11" spans="1:7" ht="15" customHeight="1">
      <c r="A11" s="32" t="str">
        <f>'Trial Balance'!A207&amp;"-"&amp;'Trial Balance'!B207</f>
        <v>4025-Street Lighting Energy Sales</v>
      </c>
      <c r="B11" s="23">
        <f>'Trial Balance'!L207</f>
        <v>-173620.8639521105</v>
      </c>
      <c r="D11" s="14"/>
      <c r="E11" s="15"/>
      <c r="F11" s="16"/>
      <c r="G11" s="18"/>
    </row>
    <row r="12" spans="1:7" ht="15" customHeight="1">
      <c r="A12" s="32" t="str">
        <f>'Trial Balance'!A208&amp;"-"&amp;'Trial Balance'!B208</f>
        <v>4030-Sentinel Energy Sales</v>
      </c>
      <c r="B12" s="23">
        <f>'Trial Balance'!L208</f>
        <v>-30768.42274407067</v>
      </c>
      <c r="D12" s="14"/>
      <c r="E12" s="15"/>
      <c r="F12" s="16"/>
      <c r="G12" s="18"/>
    </row>
    <row r="13" spans="1:7" ht="15" customHeight="1">
      <c r="A13" s="32" t="str">
        <f>'Trial Balance'!A209&amp;"-"&amp;'Trial Balance'!B209</f>
        <v>4035-General Energy Sales</v>
      </c>
      <c r="B13" s="23">
        <f>'Trial Balance'!L209</f>
        <v>-12912998.66147817</v>
      </c>
      <c r="D13" s="14"/>
      <c r="E13" s="15"/>
      <c r="F13" s="16"/>
      <c r="G13" s="18"/>
    </row>
    <row r="14" spans="1:7" ht="15" customHeight="1">
      <c r="A14" s="32" t="str">
        <f>'Trial Balance'!A210&amp;"-"&amp;'Trial Balance'!B210</f>
        <v>4040-Other Energy Sales to Public Authorities</v>
      </c>
      <c r="B14" s="23">
        <f>'Trial Balance'!L210</f>
        <v>0</v>
      </c>
      <c r="D14" s="14"/>
      <c r="E14" s="15"/>
      <c r="F14" s="16"/>
      <c r="G14" s="18"/>
    </row>
    <row r="15" spans="1:7" ht="15" customHeight="1">
      <c r="A15" s="32" t="str">
        <f>'Trial Balance'!A211&amp;"-"&amp;'Trial Balance'!B211</f>
        <v>4045-Energy Sales to Railroads and Railways</v>
      </c>
      <c r="B15" s="23">
        <f>'Trial Balance'!L211</f>
        <v>0</v>
      </c>
      <c r="D15" s="14"/>
      <c r="E15" s="15"/>
      <c r="F15" s="16"/>
      <c r="G15" s="18"/>
    </row>
    <row r="16" spans="1:7" ht="15" customHeight="1">
      <c r="A16" s="32" t="str">
        <f>'Trial Balance'!A212&amp;"-"&amp;'Trial Balance'!B212</f>
        <v>4050-Revenue Adjustment</v>
      </c>
      <c r="B16" s="23">
        <f>'Trial Balance'!L212</f>
        <v>0</v>
      </c>
      <c r="D16" s="14"/>
      <c r="E16" s="15"/>
      <c r="F16" s="16"/>
      <c r="G16" s="18"/>
    </row>
    <row r="17" spans="1:7" ht="15" customHeight="1">
      <c r="A17" s="32" t="str">
        <f>'Trial Balance'!A213&amp;"-"&amp;'Trial Balance'!B213</f>
        <v>4055-Energy Sales for Resale</v>
      </c>
      <c r="B17" s="23">
        <f>'Trial Balance'!L213</f>
        <v>-6425347.592246674</v>
      </c>
      <c r="D17" s="14"/>
      <c r="E17" s="17"/>
      <c r="F17" s="16"/>
      <c r="G17" s="18"/>
    </row>
    <row r="18" spans="1:7" ht="15" customHeight="1">
      <c r="A18" s="32" t="str">
        <f>'Trial Balance'!A214&amp;"-"&amp;'Trial Balance'!B214</f>
        <v>4060-Interdepartmental Energy Sales</v>
      </c>
      <c r="B18" s="23">
        <f>'Trial Balance'!L214</f>
        <v>0</v>
      </c>
      <c r="D18" s="14"/>
      <c r="E18" s="15"/>
      <c r="F18" s="16"/>
      <c r="G18" s="18"/>
    </row>
    <row r="19" spans="1:7" ht="15" customHeight="1">
      <c r="A19" s="32" t="str">
        <f>'Trial Balance'!A215&amp;"-"&amp;'Trial Balance'!B215</f>
        <v>4062-WMS</v>
      </c>
      <c r="B19" s="23">
        <f>'Trial Balance'!L215</f>
        <v>-3589161.9692549435</v>
      </c>
      <c r="D19" s="14"/>
      <c r="E19" s="15"/>
      <c r="F19" s="16"/>
      <c r="G19" s="18"/>
    </row>
    <row r="20" spans="1:7" ht="15" customHeight="1">
      <c r="A20" s="32" t="str">
        <f>'Trial Balance'!A216&amp;"-"&amp;'Trial Balance'!B216</f>
        <v>4064-Billed WMS-One Time</v>
      </c>
      <c r="B20" s="23">
        <f>'Trial Balance'!L216</f>
        <v>0</v>
      </c>
      <c r="D20" s="14"/>
      <c r="E20" s="15"/>
      <c r="F20" s="16"/>
      <c r="G20" s="18"/>
    </row>
    <row r="21" spans="1:7" ht="15" customHeight="1">
      <c r="A21" s="32" t="str">
        <f>'Trial Balance'!A217&amp;"-"&amp;'Trial Balance'!B217</f>
        <v>4066-NS</v>
      </c>
      <c r="B21" s="23">
        <f>'Trial Balance'!L217</f>
        <v>-2821839.9765036916</v>
      </c>
      <c r="D21" s="14"/>
      <c r="E21" s="15"/>
      <c r="F21" s="16"/>
      <c r="G21" s="18"/>
    </row>
    <row r="22" spans="1:7" ht="15" customHeight="1">
      <c r="A22" s="32" t="str">
        <f>'Trial Balance'!A218&amp;"-"&amp;'Trial Balance'!B218</f>
        <v>4068-CS</v>
      </c>
      <c r="B22" s="23">
        <f>'Trial Balance'!L218</f>
        <v>-2478187.893228147</v>
      </c>
      <c r="D22" s="14"/>
      <c r="E22" s="15"/>
      <c r="F22" s="16"/>
      <c r="G22" s="18"/>
    </row>
    <row r="23" spans="1:7" ht="15" customHeight="1" thickBot="1">
      <c r="A23" s="32" t="str">
        <f>'Trial Balance'!A219&amp;"-"&amp;'Trial Balance'!B219</f>
        <v>4075-LV Charges</v>
      </c>
      <c r="B23" s="23">
        <f>'Trial Balance'!L219</f>
        <v>-21564.85</v>
      </c>
      <c r="D23" s="14"/>
      <c r="E23" s="15"/>
      <c r="F23" s="16"/>
      <c r="G23" s="18"/>
    </row>
    <row r="24" spans="1:7" ht="15" customHeight="1" thickBot="1">
      <c r="A24" s="38" t="s">
        <v>142</v>
      </c>
      <c r="B24" s="24">
        <f>SUM(B7:B23)</f>
        <v>-44637753.62655573</v>
      </c>
      <c r="D24" s="14"/>
      <c r="E24" s="17"/>
      <c r="F24" s="16"/>
      <c r="G24" s="18"/>
    </row>
    <row r="25" spans="1:7" s="21" customFormat="1" ht="15" customHeight="1">
      <c r="A25" s="423"/>
      <c r="B25" s="424"/>
      <c r="D25" s="22"/>
      <c r="E25" s="15"/>
      <c r="F25" s="18"/>
      <c r="G25" s="18"/>
    </row>
    <row r="26" spans="1:7" s="21" customFormat="1" ht="15" customHeight="1">
      <c r="A26" s="428" t="s">
        <v>143</v>
      </c>
      <c r="B26" s="428"/>
      <c r="D26" s="22"/>
      <c r="E26" s="15"/>
      <c r="F26" s="18"/>
      <c r="G26" s="18"/>
    </row>
    <row r="27" spans="1:7" ht="15" customHeight="1">
      <c r="A27" s="32" t="str">
        <f>'Trial Balance'!A221&amp;"-"&amp;'Trial Balance'!B221</f>
        <v>4080-Distribution Services Revenue</v>
      </c>
      <c r="B27" s="23">
        <f>'Trial Balance'!L221</f>
        <v>-10049807.0267845</v>
      </c>
      <c r="D27" s="14"/>
      <c r="E27" s="17"/>
      <c r="F27" s="16"/>
      <c r="G27" s="18"/>
    </row>
    <row r="28" spans="1:7" ht="15" customHeight="1">
      <c r="A28" s="32" t="str">
        <f>'Trial Balance'!A222&amp;"-"&amp;'Trial Balance'!B222</f>
        <v>4082-RS Rev</v>
      </c>
      <c r="B28" s="23">
        <f>'Trial Balance'!L222</f>
        <v>0</v>
      </c>
      <c r="D28" s="14"/>
      <c r="E28" s="17"/>
      <c r="F28" s="16"/>
      <c r="G28" s="18"/>
    </row>
    <row r="29" spans="1:7" ht="15" customHeight="1">
      <c r="A29" s="32" t="str">
        <f>'Trial Balance'!A223&amp;"-"&amp;'Trial Balance'!B223</f>
        <v>4084-Serv Tx Requests</v>
      </c>
      <c r="B29" s="23">
        <f>'Trial Balance'!L223</f>
        <v>0</v>
      </c>
      <c r="D29" s="14"/>
      <c r="E29" s="17"/>
      <c r="F29" s="16"/>
      <c r="G29" s="18"/>
    </row>
    <row r="30" spans="1:7" ht="15" customHeight="1" thickBot="1">
      <c r="A30" s="32" t="str">
        <f>'Trial Balance'!A224&amp;"-"&amp;'Trial Balance'!B224</f>
        <v>4090-Electric Services Incidental to Energy Sales</v>
      </c>
      <c r="B30" s="23">
        <f>'Trial Balance'!L224</f>
        <v>0</v>
      </c>
      <c r="D30" s="14"/>
      <c r="E30" s="17"/>
      <c r="F30" s="16"/>
      <c r="G30" s="18"/>
    </row>
    <row r="31" spans="1:7" ht="15" customHeight="1" thickBot="1">
      <c r="A31" s="38" t="s">
        <v>73</v>
      </c>
      <c r="B31" s="24">
        <f>SUM(B27:B30)</f>
        <v>-10049807.0267845</v>
      </c>
      <c r="D31" s="14"/>
      <c r="E31" s="15"/>
      <c r="F31" s="16"/>
      <c r="G31" s="18"/>
    </row>
    <row r="32" spans="1:7" s="21" customFormat="1" ht="15" customHeight="1">
      <c r="A32" s="423"/>
      <c r="B32" s="424"/>
      <c r="D32" s="22"/>
      <c r="E32" s="15"/>
      <c r="F32" s="18"/>
      <c r="G32" s="18"/>
    </row>
    <row r="33" spans="1:7" s="21" customFormat="1" ht="15" customHeight="1">
      <c r="A33" s="428" t="s">
        <v>74</v>
      </c>
      <c r="B33" s="428"/>
      <c r="D33" s="22"/>
      <c r="E33" s="15"/>
      <c r="F33" s="18"/>
      <c r="G33" s="18"/>
    </row>
    <row r="34" spans="1:7" ht="15" customHeight="1">
      <c r="A34" s="32" t="str">
        <f>'Trial Balance'!A226&amp;"-"&amp;'Trial Balance'!B226</f>
        <v>4205-Interdepartmental Rents</v>
      </c>
      <c r="B34" s="23">
        <f>'Trial Balance'!L226</f>
        <v>0</v>
      </c>
      <c r="D34" s="14"/>
      <c r="E34" s="17"/>
      <c r="F34" s="16"/>
      <c r="G34" s="18"/>
    </row>
    <row r="35" spans="1:2" ht="15" customHeight="1">
      <c r="A35" s="32" t="str">
        <f>'Trial Balance'!A227&amp;"-"&amp;'Trial Balance'!B227</f>
        <v>4210-Rent from Electric Property</v>
      </c>
      <c r="B35" s="23">
        <f>'Trial Balance'!L227</f>
        <v>-183307.78</v>
      </c>
    </row>
    <row r="36" spans="1:2" ht="15" customHeight="1">
      <c r="A36" s="32" t="str">
        <f>'Trial Balance'!A228&amp;"-"&amp;'Trial Balance'!B228</f>
        <v>4215-Other Utility Operating Income</v>
      </c>
      <c r="B36" s="23">
        <f>'Trial Balance'!L228</f>
        <v>0</v>
      </c>
    </row>
    <row r="37" spans="1:2" ht="15" customHeight="1">
      <c r="A37" s="32" t="str">
        <f>'Trial Balance'!A229&amp;"-"&amp;'Trial Balance'!B229</f>
        <v>4220-Other Electric Revenues</v>
      </c>
      <c r="B37" s="23">
        <f>'Trial Balance'!L229</f>
        <v>0</v>
      </c>
    </row>
    <row r="38" spans="1:2" ht="15" customHeight="1">
      <c r="A38" s="32" t="str">
        <f>'Trial Balance'!A230&amp;"-"&amp;'Trial Balance'!B230</f>
        <v>4225-Late Payment Charges</v>
      </c>
      <c r="B38" s="23">
        <f>'Trial Balance'!L230</f>
        <v>-137700</v>
      </c>
    </row>
    <row r="39" spans="1:2" ht="15" customHeight="1">
      <c r="A39" s="32" t="str">
        <f>'Trial Balance'!A231&amp;"-"&amp;'Trial Balance'!B231</f>
        <v>4230-Sales of Water and Water Power</v>
      </c>
      <c r="B39" s="23">
        <f>'Trial Balance'!L231</f>
        <v>0</v>
      </c>
    </row>
    <row r="40" spans="1:2" ht="15" customHeight="1">
      <c r="A40" s="32" t="str">
        <f>'Trial Balance'!A232&amp;"-"&amp;'Trial Balance'!B232</f>
        <v>4235-Miscellaneous Service Revenues</v>
      </c>
      <c r="B40" s="23">
        <f>'Trial Balance'!L232</f>
        <v>-320753.06</v>
      </c>
    </row>
    <row r="41" spans="1:2" ht="15" customHeight="1">
      <c r="A41" s="32" t="str">
        <f>'Trial Balance'!A233&amp;"-"&amp;'Trial Balance'!B233</f>
        <v>4240-Provision for Rate Refunds</v>
      </c>
      <c r="B41" s="23">
        <f>'Trial Balance'!L233</f>
        <v>0</v>
      </c>
    </row>
    <row r="42" spans="1:2" ht="15" customHeight="1" thickBot="1">
      <c r="A42" s="32" t="str">
        <f>'Trial Balance'!A234&amp;"-"&amp;'Trial Balance'!B234</f>
        <v>4245-Government Assistance Directly Credited to Income</v>
      </c>
      <c r="B42" s="23">
        <f>'Trial Balance'!L234</f>
        <v>0</v>
      </c>
    </row>
    <row r="43" spans="1:2" ht="15" customHeight="1" thickBot="1">
      <c r="A43" s="38" t="s">
        <v>86</v>
      </c>
      <c r="B43" s="24">
        <f>SUM(B34:B42)</f>
        <v>-641760.8400000001</v>
      </c>
    </row>
    <row r="44" spans="1:2" s="21" customFormat="1" ht="15" customHeight="1">
      <c r="A44" s="423"/>
      <c r="B44" s="424"/>
    </row>
    <row r="45" spans="1:2" s="21" customFormat="1" ht="15" customHeight="1">
      <c r="A45" s="428" t="s">
        <v>87</v>
      </c>
      <c r="B45" s="428"/>
    </row>
    <row r="46" spans="1:2" ht="15" customHeight="1">
      <c r="A46" s="32" t="str">
        <f>'Trial Balance'!A236&amp;"-"&amp;'Trial Balance'!B236</f>
        <v>4305-Regulatory Debits</v>
      </c>
      <c r="B46" s="23">
        <f>'Trial Balance'!L236</f>
        <v>0</v>
      </c>
    </row>
    <row r="47" spans="1:2" ht="15" customHeight="1">
      <c r="A47" s="32" t="str">
        <f>'Trial Balance'!A237&amp;"-"&amp;'Trial Balance'!B237</f>
        <v>4310-Regulatory Credits</v>
      </c>
      <c r="B47" s="23">
        <f>'Trial Balance'!L237</f>
        <v>0</v>
      </c>
    </row>
    <row r="48" spans="1:2" ht="15" customHeight="1">
      <c r="A48" s="32" t="str">
        <f>'Trial Balance'!A238&amp;"-"&amp;'Trial Balance'!B238</f>
        <v>4315-Revenues from Electric Plant Leased to Others</v>
      </c>
      <c r="B48" s="23">
        <f>'Trial Balance'!L238</f>
        <v>0</v>
      </c>
    </row>
    <row r="49" spans="1:2" ht="15" customHeight="1">
      <c r="A49" s="32" t="str">
        <f>'Trial Balance'!A239&amp;"-"&amp;'Trial Balance'!B239</f>
        <v>4320-Expenses of Electric Plant Leased to Others</v>
      </c>
      <c r="B49" s="23">
        <f>'Trial Balance'!L239</f>
        <v>0</v>
      </c>
    </row>
    <row r="50" spans="1:2" ht="15" customHeight="1">
      <c r="A50" s="32" t="str">
        <f>'Trial Balance'!A240&amp;"-"&amp;'Trial Balance'!B240</f>
        <v>4325-Revenues from Merchandise, Jobbing, Etc.</v>
      </c>
      <c r="B50" s="23">
        <f>'Trial Balance'!L240</f>
        <v>-12268.92</v>
      </c>
    </row>
    <row r="51" spans="1:2" ht="15" customHeight="1">
      <c r="A51" s="32" t="str">
        <f>'Trial Balance'!A241&amp;"-"&amp;'Trial Balance'!B241</f>
        <v>4330-Costs and Expenses of Merchandising, Jobbing, Etc</v>
      </c>
      <c r="B51" s="23">
        <f>'Trial Balance'!L241</f>
        <v>6152</v>
      </c>
    </row>
    <row r="52" spans="1:2" ht="15" customHeight="1">
      <c r="A52" s="32" t="str">
        <f>'Trial Balance'!A242&amp;"-"&amp;'Trial Balance'!B242</f>
        <v>4335-Profits and Losses from Financial Instrument Hedges</v>
      </c>
      <c r="B52" s="23">
        <f>'Trial Balance'!L242</f>
        <v>0</v>
      </c>
    </row>
    <row r="53" spans="1:2" ht="15" customHeight="1">
      <c r="A53" s="32" t="str">
        <f>'Trial Balance'!A243&amp;"-"&amp;'Trial Balance'!B243</f>
        <v>4340-Profits and Losses from Financial Instrument Investments</v>
      </c>
      <c r="B53" s="23">
        <f>'Trial Balance'!L243</f>
        <v>0</v>
      </c>
    </row>
    <row r="54" spans="1:2" ht="15" customHeight="1">
      <c r="A54" s="32" t="str">
        <f>'Trial Balance'!A244&amp;"-"&amp;'Trial Balance'!B244</f>
        <v>4345-Gains from Disposition of Future Use Utility Plant</v>
      </c>
      <c r="B54" s="23">
        <f>'Trial Balance'!L244</f>
        <v>0</v>
      </c>
    </row>
    <row r="55" spans="1:2" ht="15" customHeight="1">
      <c r="A55" s="32" t="str">
        <f>'Trial Balance'!A245&amp;"-"&amp;'Trial Balance'!B245</f>
        <v>4350-Losses from Disposition of Future Use Utility Plant</v>
      </c>
      <c r="B55" s="23">
        <f>'Trial Balance'!L245</f>
        <v>0</v>
      </c>
    </row>
    <row r="56" spans="1:2" ht="15" customHeight="1">
      <c r="A56" s="32" t="str">
        <f>'Trial Balance'!A246&amp;"-"&amp;'Trial Balance'!B246</f>
        <v>4355-Gain on Disposition of Utility and Other Property</v>
      </c>
      <c r="B56" s="23">
        <f>'Trial Balance'!L246</f>
        <v>0</v>
      </c>
    </row>
    <row r="57" spans="1:2" ht="15" customHeight="1">
      <c r="A57" s="32" t="str">
        <f>'Trial Balance'!A247&amp;"-"&amp;'Trial Balance'!B247</f>
        <v>4360-Loss on Disposition of Utility and Other Property</v>
      </c>
      <c r="B57" s="23">
        <f>'Trial Balance'!L247</f>
        <v>0</v>
      </c>
    </row>
    <row r="58" spans="1:2" ht="15" customHeight="1">
      <c r="A58" s="32" t="str">
        <f>'Trial Balance'!A248&amp;"-"&amp;'Trial Balance'!B248</f>
        <v>4365-Gains from Disposition of Allowances for Emission</v>
      </c>
      <c r="B58" s="23">
        <f>'Trial Balance'!L248</f>
        <v>0</v>
      </c>
    </row>
    <row r="59" spans="1:2" ht="15" customHeight="1">
      <c r="A59" s="32" t="str">
        <f>'Trial Balance'!A249&amp;"-"&amp;'Trial Balance'!B249</f>
        <v>4370-Losses from Disposition of Allowances for Emission</v>
      </c>
      <c r="B59" s="23">
        <f>'Trial Balance'!L249</f>
        <v>0</v>
      </c>
    </row>
    <row r="60" spans="1:2" ht="15" customHeight="1">
      <c r="A60" s="32" t="str">
        <f>'Trial Balance'!A250&amp;"-"&amp;'Trial Balance'!B250</f>
        <v>4375-Revenues from Non-Utility Operations</v>
      </c>
      <c r="B60" s="23">
        <f>'Trial Balance'!L250</f>
        <v>-248349</v>
      </c>
    </row>
    <row r="61" spans="1:2" ht="15" customHeight="1">
      <c r="A61" s="32" t="str">
        <f>'Trial Balance'!A251&amp;"-"&amp;'Trial Balance'!B251</f>
        <v>4380-Expenses of Non-Utility Operations</v>
      </c>
      <c r="B61" s="23">
        <f>'Trial Balance'!L251</f>
        <v>209000</v>
      </c>
    </row>
    <row r="62" spans="1:2" ht="15" customHeight="1">
      <c r="A62" s="32" t="str">
        <f>'Trial Balance'!A252&amp;"-"&amp;'Trial Balance'!B252</f>
        <v>4385-Non-Utility Rental Income</v>
      </c>
      <c r="B62" s="23">
        <f>'Trial Balance'!L252</f>
        <v>122.2</v>
      </c>
    </row>
    <row r="63" spans="1:2" ht="15" customHeight="1">
      <c r="A63" s="32" t="str">
        <f>'Trial Balance'!A253&amp;"-"&amp;'Trial Balance'!B253</f>
        <v>4390-Miscellaneous Non-Operating Income</v>
      </c>
      <c r="B63" s="23">
        <f>'Trial Balance'!L253</f>
        <v>-7134.2</v>
      </c>
    </row>
    <row r="64" spans="1:2" ht="15" customHeight="1">
      <c r="A64" s="32" t="str">
        <f>'Trial Balance'!A254&amp;"-"&amp;'Trial Balance'!B254</f>
        <v>4395-Rate-Payer Benefit Including Interest</v>
      </c>
      <c r="B64" s="23">
        <f>'Trial Balance'!L254</f>
        <v>0</v>
      </c>
    </row>
    <row r="65" spans="1:2" ht="15" customHeight="1" thickBot="1">
      <c r="A65" s="32" t="str">
        <f>'Trial Balance'!A255&amp;"-"&amp;'Trial Balance'!B255</f>
        <v>4398-Foreign Exchange Gains and Losses, Including Amortization</v>
      </c>
      <c r="B65" s="23">
        <f>'Trial Balance'!L255</f>
        <v>0</v>
      </c>
    </row>
    <row r="66" spans="1:2" ht="15" customHeight="1" thickBot="1">
      <c r="A66" s="38" t="s">
        <v>82</v>
      </c>
      <c r="B66" s="24">
        <f>SUM(B46:B65)</f>
        <v>-52477.92000000001</v>
      </c>
    </row>
    <row r="67" spans="1:2" s="21" customFormat="1" ht="15" customHeight="1">
      <c r="A67" s="423"/>
      <c r="B67" s="424"/>
    </row>
    <row r="68" spans="1:2" s="21" customFormat="1" ht="15" customHeight="1">
      <c r="A68" s="428" t="s">
        <v>83</v>
      </c>
      <c r="B68" s="428"/>
    </row>
    <row r="69" spans="1:2" s="21" customFormat="1" ht="15" customHeight="1">
      <c r="A69" s="32" t="str">
        <f>'Trial Balance'!A257&amp;"-"&amp;'Trial Balance'!B257</f>
        <v>4405-Interest and Dividend Income</v>
      </c>
      <c r="B69" s="23">
        <f>'Trial Balance'!L257</f>
        <v>-88751.45141012469</v>
      </c>
    </row>
    <row r="70" spans="1:2" ht="15" customHeight="1" thickBot="1">
      <c r="A70" s="32" t="str">
        <f>'Trial Balance'!A258&amp;"-"&amp;'Trial Balance'!B258</f>
        <v>4415-Equity in Earnings of Subsidiary Companies</v>
      </c>
      <c r="B70" s="23">
        <f>'Trial Balance'!L258</f>
        <v>0</v>
      </c>
    </row>
    <row r="71" spans="1:2" ht="15" customHeight="1" thickBot="1">
      <c r="A71" s="38" t="s">
        <v>84</v>
      </c>
      <c r="B71" s="24">
        <f>SUM(B69:B70)</f>
        <v>-88751.45141012469</v>
      </c>
    </row>
    <row r="72" spans="1:2" s="21" customFormat="1" ht="15" customHeight="1">
      <c r="A72" s="423"/>
      <c r="B72" s="424"/>
    </row>
    <row r="73" spans="1:2" s="21" customFormat="1" ht="15" customHeight="1">
      <c r="A73" s="428" t="s">
        <v>85</v>
      </c>
      <c r="B73" s="428"/>
    </row>
    <row r="74" spans="1:2" ht="15" customHeight="1">
      <c r="A74" s="32" t="str">
        <f>'Trial Balance'!A260&amp;"-"&amp;'Trial Balance'!B260</f>
        <v>4705-Power Purchased</v>
      </c>
      <c r="B74" s="23">
        <f>'Trial Balance'!L260</f>
        <v>35726998.937568955</v>
      </c>
    </row>
    <row r="75" spans="1:2" ht="15" customHeight="1">
      <c r="A75" s="32" t="str">
        <f>'Trial Balance'!A261&amp;"-"&amp;'Trial Balance'!B261</f>
        <v>4708-WMS</v>
      </c>
      <c r="B75" s="23">
        <f>'Trial Balance'!L261</f>
        <v>2824268.690716913</v>
      </c>
    </row>
    <row r="76" spans="1:2" ht="15" customHeight="1">
      <c r="A76" s="32" t="str">
        <f>'Trial Balance'!A262&amp;"-"&amp;'Trial Balance'!B262</f>
        <v>4710-Cost of Power Adjustments</v>
      </c>
      <c r="B76" s="23">
        <f>'Trial Balance'!L262</f>
        <v>0</v>
      </c>
    </row>
    <row r="77" spans="1:2" ht="15" customHeight="1">
      <c r="A77" s="32" t="str">
        <f>'Trial Balance'!A263&amp;"-"&amp;'Trial Balance'!B263</f>
        <v>4712-0</v>
      </c>
      <c r="B77" s="23">
        <f>'Trial Balance'!L263</f>
        <v>0</v>
      </c>
    </row>
    <row r="78" spans="1:2" ht="15" customHeight="1">
      <c r="A78" s="32" t="str">
        <f>'Trial Balance'!A264&amp;"-"&amp;'Trial Balance'!B264</f>
        <v>4714-NW</v>
      </c>
      <c r="B78" s="23">
        <f>'Trial Balance'!L264</f>
        <v>2821839.976503691</v>
      </c>
    </row>
    <row r="79" spans="1:2" ht="15" customHeight="1">
      <c r="A79" s="32" t="str">
        <f>'Trial Balance'!A265&amp;"-"&amp;'Trial Balance'!B265</f>
        <v>4715-System Control and Load Dispatching</v>
      </c>
      <c r="B79" s="23">
        <f>'Trial Balance'!L265</f>
        <v>0</v>
      </c>
    </row>
    <row r="80" spans="1:2" ht="15" customHeight="1">
      <c r="A80" s="32" t="str">
        <f>'Trial Balance'!A266&amp;"-"&amp;'Trial Balance'!B266</f>
        <v>4716-NCN</v>
      </c>
      <c r="B80" s="23">
        <f>'Trial Balance'!L266</f>
        <v>2478187.8932281476</v>
      </c>
    </row>
    <row r="81" spans="1:2" ht="15" customHeight="1">
      <c r="A81" s="32" t="str">
        <f>'Trial Balance'!A267&amp;"-"&amp;'Trial Balance'!B267</f>
        <v>4720-Other Expenses</v>
      </c>
      <c r="B81" s="23">
        <f>'Trial Balance'!L267</f>
        <v>0</v>
      </c>
    </row>
    <row r="82" spans="1:2" ht="15" customHeight="1">
      <c r="A82" s="32" t="str">
        <f>'Trial Balance'!A268&amp;"-"&amp;'Trial Balance'!B268</f>
        <v>4725-Competition Transition Expense</v>
      </c>
      <c r="B82" s="23">
        <f>'Trial Balance'!L268</f>
        <v>0</v>
      </c>
    </row>
    <row r="83" spans="1:2" ht="15" customHeight="1">
      <c r="A83" s="32" t="str">
        <f>'Trial Balance'!A269&amp;"-"&amp;'Trial Balance'!B269</f>
        <v>4730-Rural Rate Assistance Expense</v>
      </c>
      <c r="B83" s="23">
        <f>'Trial Balance'!L269</f>
        <v>764893.2785380313</v>
      </c>
    </row>
    <row r="84" spans="1:2" ht="15" customHeight="1" thickBot="1">
      <c r="A84" s="32" t="str">
        <f>'Trial Balance'!A270&amp;"-"&amp;'Trial Balance'!B270</f>
        <v>4750-LV Charges</v>
      </c>
      <c r="B84" s="23">
        <f>'Trial Balance'!L270</f>
        <v>21564.85</v>
      </c>
    </row>
    <row r="85" spans="1:2" ht="15" customHeight="1" thickBot="1">
      <c r="A85" s="38" t="s">
        <v>554</v>
      </c>
      <c r="B85" s="24">
        <f>SUM(B74:B84)</f>
        <v>44637753.62655575</v>
      </c>
    </row>
    <row r="86" spans="1:2" s="21" customFormat="1" ht="15" customHeight="1">
      <c r="A86" s="423"/>
      <c r="B86" s="424"/>
    </row>
    <row r="87" spans="1:2" s="21" customFormat="1" ht="15" customHeight="1">
      <c r="A87" s="428" t="s">
        <v>555</v>
      </c>
      <c r="B87" s="428"/>
    </row>
    <row r="88" spans="1:2" ht="15" customHeight="1">
      <c r="A88" s="32" t="str">
        <f>'Trial Balance'!A272&amp;"-"&amp;'Trial Balance'!B272</f>
        <v>5005-Operation Supervision and Engineering</v>
      </c>
      <c r="B88" s="23">
        <f>'Trial Balance'!L272</f>
        <v>30003.48</v>
      </c>
    </row>
    <row r="89" spans="1:2" ht="15" customHeight="1">
      <c r="A89" s="32" t="str">
        <f>'Trial Balance'!A273&amp;"-"&amp;'Trial Balance'!B273</f>
        <v>5010-Load Dispatching</v>
      </c>
      <c r="B89" s="23">
        <f>'Trial Balance'!L273</f>
        <v>85199.86</v>
      </c>
    </row>
    <row r="90" spans="1:2" ht="15" customHeight="1">
      <c r="A90" s="32" t="str">
        <f>'Trial Balance'!A274&amp;"-"&amp;'Trial Balance'!B274</f>
        <v>5012-Station Buildings and Fixtures Expense</v>
      </c>
      <c r="B90" s="23">
        <f>'Trial Balance'!L274</f>
        <v>31460</v>
      </c>
    </row>
    <row r="91" spans="1:2" ht="15" customHeight="1">
      <c r="A91" s="32" t="str">
        <f>'Trial Balance'!A275&amp;"-"&amp;'Trial Balance'!B275</f>
        <v>5014-Transformer Station Equipment - Operation Labour</v>
      </c>
      <c r="B91" s="23">
        <f>'Trial Balance'!L275</f>
        <v>0</v>
      </c>
    </row>
    <row r="92" spans="1:2" ht="15" customHeight="1">
      <c r="A92" s="32" t="str">
        <f>'Trial Balance'!A276&amp;"-"&amp;'Trial Balance'!B276</f>
        <v>5015-Transformer Station Equipment - Operation Supplies and Expenses</v>
      </c>
      <c r="B92" s="23">
        <f>'Trial Balance'!L276</f>
        <v>0</v>
      </c>
    </row>
    <row r="93" spans="1:2" ht="15" customHeight="1">
      <c r="A93" s="32" t="str">
        <f>'Trial Balance'!A277&amp;"-"&amp;'Trial Balance'!B277</f>
        <v>5016-Distribution Station Equipment - Operation Labour</v>
      </c>
      <c r="B93" s="23">
        <f>'Trial Balance'!L277</f>
        <v>0</v>
      </c>
    </row>
    <row r="94" spans="1:2" ht="15" customHeight="1">
      <c r="A94" s="32" t="str">
        <f>'Trial Balance'!A278&amp;"-"&amp;'Trial Balance'!B278</f>
        <v>5017-Distribution Station Equipment - Operation Supplies and Expenses</v>
      </c>
      <c r="B94" s="23">
        <f>'Trial Balance'!L278</f>
        <v>0</v>
      </c>
    </row>
    <row r="95" spans="1:2" ht="15" customHeight="1">
      <c r="A95" s="32" t="str">
        <f>'Trial Balance'!A279&amp;"-"&amp;'Trial Balance'!B279</f>
        <v>5020-Overhead Distribution Lines and Feeders - Operation Labour</v>
      </c>
      <c r="B95" s="23">
        <f>'Trial Balance'!L279</f>
        <v>214.91</v>
      </c>
    </row>
    <row r="96" spans="1:2" ht="15" customHeight="1">
      <c r="A96" s="32" t="str">
        <f>'Trial Balance'!A280&amp;"-"&amp;'Trial Balance'!B280</f>
        <v>5025-Overhead Distribution Lines and Feeders - Operation Supplies and Expenses</v>
      </c>
      <c r="B96" s="23">
        <f>'Trial Balance'!L280</f>
        <v>15.85</v>
      </c>
    </row>
    <row r="97" spans="1:2" ht="15" customHeight="1">
      <c r="A97" s="32" t="str">
        <f>'Trial Balance'!A281&amp;"-"&amp;'Trial Balance'!B281</f>
        <v>5030-Overhead Subtransmission Feeders - Operation</v>
      </c>
      <c r="B97" s="23">
        <f>'Trial Balance'!L281</f>
        <v>613.36</v>
      </c>
    </row>
    <row r="98" spans="1:2" ht="15" customHeight="1">
      <c r="A98" s="32" t="str">
        <f>'Trial Balance'!A282&amp;"-"&amp;'Trial Balance'!B282</f>
        <v>5035-Overhead Distribution Transformers - Operation</v>
      </c>
      <c r="B98" s="23">
        <f>'Trial Balance'!L282</f>
        <v>209.28</v>
      </c>
    </row>
    <row r="99" spans="1:2" ht="15" customHeight="1">
      <c r="A99" s="32" t="str">
        <f>'Trial Balance'!A283&amp;"-"&amp;'Trial Balance'!B283</f>
        <v>5040-Underground Distribution Lines and Feeders - Operation Labour</v>
      </c>
      <c r="B99" s="23">
        <f>'Trial Balance'!L283</f>
        <v>53733.17</v>
      </c>
    </row>
    <row r="100" spans="1:2" ht="15" customHeight="1">
      <c r="A100" s="32" t="str">
        <f>'Trial Balance'!A284&amp;"-"&amp;'Trial Balance'!B284</f>
        <v>5045-Underground Distribution Lines and Feeders - Operation Supplies and Expenses</v>
      </c>
      <c r="B100" s="23">
        <f>'Trial Balance'!L284</f>
        <v>4523.64</v>
      </c>
    </row>
    <row r="101" spans="1:2" ht="15" customHeight="1">
      <c r="A101" s="32" t="str">
        <f>'Trial Balance'!A285&amp;"-"&amp;'Trial Balance'!B285</f>
        <v>5050-Underground Subtransmission Feeders - Operation</v>
      </c>
      <c r="B101" s="23">
        <f>'Trial Balance'!L285</f>
        <v>0</v>
      </c>
    </row>
    <row r="102" spans="1:2" ht="15" customHeight="1">
      <c r="A102" s="32" t="str">
        <f>'Trial Balance'!A286&amp;"-"&amp;'Trial Balance'!B286</f>
        <v>5055-Underground Distribution Transformers - Operation</v>
      </c>
      <c r="B102" s="23">
        <f>'Trial Balance'!L286</f>
        <v>0</v>
      </c>
    </row>
    <row r="103" spans="1:2" ht="15" customHeight="1">
      <c r="A103" s="32" t="str">
        <f>'Trial Balance'!A287&amp;"-"&amp;'Trial Balance'!B287</f>
        <v>5060-Street Lighting and Signal System Expense</v>
      </c>
      <c r="B103" s="23">
        <f>'Trial Balance'!L287</f>
        <v>0</v>
      </c>
    </row>
    <row r="104" spans="1:2" ht="15" customHeight="1">
      <c r="A104" s="32" t="str">
        <f>'Trial Balance'!A288&amp;"-"&amp;'Trial Balance'!B288</f>
        <v>5065-Meter Expense</v>
      </c>
      <c r="B104" s="23">
        <f>'Trial Balance'!L288</f>
        <v>119034.84</v>
      </c>
    </row>
    <row r="105" spans="1:2" ht="15" customHeight="1">
      <c r="A105" s="32" t="str">
        <f>'Trial Balance'!A289&amp;"-"&amp;'Trial Balance'!B289</f>
        <v>5070-Customer Premises - Operation Labour</v>
      </c>
      <c r="B105" s="23">
        <f>'Trial Balance'!L289</f>
        <v>0</v>
      </c>
    </row>
    <row r="106" spans="1:2" ht="15" customHeight="1">
      <c r="A106" s="32" t="str">
        <f>'Trial Balance'!A290&amp;"-"&amp;'Trial Balance'!B290</f>
        <v>5075-Customer Premises - Materials and Expenses</v>
      </c>
      <c r="B106" s="23">
        <f>'Trial Balance'!L290</f>
        <v>0</v>
      </c>
    </row>
    <row r="107" spans="1:2" ht="15" customHeight="1">
      <c r="A107" s="32" t="str">
        <f>'Trial Balance'!A291&amp;"-"&amp;'Trial Balance'!B291</f>
        <v>5085-Miscellaneous Distribution Expense</v>
      </c>
      <c r="B107" s="23">
        <f>'Trial Balance'!L291</f>
        <v>232539.03</v>
      </c>
    </row>
    <row r="108" spans="1:2" ht="15" customHeight="1">
      <c r="A108" s="32" t="str">
        <f>'Trial Balance'!A292&amp;"-"&amp;'Trial Balance'!B292</f>
        <v>5090-Underground Distribution Lines and Feeders - Rental Paid</v>
      </c>
      <c r="B108" s="23">
        <f>'Trial Balance'!L292</f>
        <v>0</v>
      </c>
    </row>
    <row r="109" spans="1:2" ht="15" customHeight="1">
      <c r="A109" s="32" t="str">
        <f>'Trial Balance'!A293&amp;"-"&amp;'Trial Balance'!B293</f>
        <v>5095-Overhead Distribution Lines and Feeders - Rental Paid</v>
      </c>
      <c r="B109" s="23">
        <f>'Trial Balance'!L293</f>
        <v>34782</v>
      </c>
    </row>
    <row r="110" spans="1:2" ht="15" customHeight="1" thickBot="1">
      <c r="A110" s="32" t="str">
        <f>'Trial Balance'!A294&amp;"-"&amp;'Trial Balance'!B294</f>
        <v>5096-Other Rent</v>
      </c>
      <c r="B110" s="23">
        <f>'Trial Balance'!L294</f>
        <v>4525.66</v>
      </c>
    </row>
    <row r="111" spans="1:2" ht="15" customHeight="1" thickBot="1">
      <c r="A111" s="38" t="s">
        <v>558</v>
      </c>
      <c r="B111" s="24">
        <f>SUM(B88:B110)</f>
        <v>596855.0800000001</v>
      </c>
    </row>
    <row r="112" spans="1:2" s="21" customFormat="1" ht="15" customHeight="1">
      <c r="A112" s="423"/>
      <c r="B112" s="424"/>
    </row>
    <row r="113" spans="1:2" s="21" customFormat="1" ht="15" customHeight="1">
      <c r="A113" s="428" t="s">
        <v>559</v>
      </c>
      <c r="B113" s="428"/>
    </row>
    <row r="114" spans="1:2" ht="15" customHeight="1">
      <c r="A114" s="32" t="str">
        <f>'Trial Balance'!A296&amp;"-"&amp;'Trial Balance'!B296</f>
        <v>5105-Maintenance Supervision and Engineering</v>
      </c>
      <c r="B114" s="23">
        <f>'Trial Balance'!L296</f>
        <v>0</v>
      </c>
    </row>
    <row r="115" spans="1:2" ht="15" customHeight="1">
      <c r="A115" s="32" t="str">
        <f>'Trial Balance'!A297&amp;"-"&amp;'Trial Balance'!B297</f>
        <v>5110-Maintenance of Structures</v>
      </c>
      <c r="B115" s="23">
        <f>'Trial Balance'!L297</f>
        <v>23390</v>
      </c>
    </row>
    <row r="116" spans="1:2" ht="15" customHeight="1">
      <c r="A116" s="32" t="str">
        <f>'Trial Balance'!A298&amp;"-"&amp;'Trial Balance'!B298</f>
        <v>5112-Maintenance of Transformer Station Equipment</v>
      </c>
      <c r="B116" s="23">
        <f>'Trial Balance'!L298</f>
        <v>0</v>
      </c>
    </row>
    <row r="117" spans="1:2" ht="15" customHeight="1">
      <c r="A117" s="32" t="str">
        <f>'Trial Balance'!A299&amp;"-"&amp;'Trial Balance'!B299</f>
        <v>5114-Maintenance of Distribution Station Equipment</v>
      </c>
      <c r="B117" s="23">
        <f>'Trial Balance'!L299</f>
        <v>320848.93</v>
      </c>
    </row>
    <row r="118" spans="1:2" ht="15" customHeight="1">
      <c r="A118" s="32" t="str">
        <f>'Trial Balance'!A300&amp;"-"&amp;'Trial Balance'!B300</f>
        <v>5120-Maintenance of Poles, Towers and Fixtures</v>
      </c>
      <c r="B118" s="23">
        <f>'Trial Balance'!L300</f>
        <v>114439.68</v>
      </c>
    </row>
    <row r="119" spans="1:2" ht="15" customHeight="1">
      <c r="A119" s="32" t="str">
        <f>'Trial Balance'!A301&amp;"-"&amp;'Trial Balance'!B301</f>
        <v>5125-Maintenance of Overhead Conductors and Devices</v>
      </c>
      <c r="B119" s="23">
        <f>'Trial Balance'!L301</f>
        <v>200520.42</v>
      </c>
    </row>
    <row r="120" spans="1:2" ht="15" customHeight="1">
      <c r="A120" s="32" t="str">
        <f>'Trial Balance'!A302&amp;"-"&amp;'Trial Balance'!B302</f>
        <v>5130-Maintenance of Overhead Services</v>
      </c>
      <c r="B120" s="23">
        <f>'Trial Balance'!L302</f>
        <v>100040.63</v>
      </c>
    </row>
    <row r="121" spans="1:2" ht="15" customHeight="1">
      <c r="A121" s="32" t="str">
        <f>'Trial Balance'!A303&amp;"-"&amp;'Trial Balance'!B303</f>
        <v>5135-Overhead Distribution Lines and Feeders - Right of Way</v>
      </c>
      <c r="B121" s="23">
        <f>'Trial Balance'!L303</f>
        <v>309574.33</v>
      </c>
    </row>
    <row r="122" spans="1:2" ht="15" customHeight="1">
      <c r="A122" s="32" t="str">
        <f>'Trial Balance'!A304&amp;"-"&amp;'Trial Balance'!B304</f>
        <v>5145-Maintenance of Underground Conduit</v>
      </c>
      <c r="B122" s="23">
        <f>'Trial Balance'!L304</f>
        <v>322.21</v>
      </c>
    </row>
    <row r="123" spans="1:2" ht="15" customHeight="1">
      <c r="A123" s="32" t="str">
        <f>'Trial Balance'!A305&amp;"-"&amp;'Trial Balance'!B305</f>
        <v>5150-Maintenance of Underground Conductors and Devices</v>
      </c>
      <c r="B123" s="23">
        <f>'Trial Balance'!L305</f>
        <v>29809.71</v>
      </c>
    </row>
    <row r="124" spans="1:2" ht="15" customHeight="1">
      <c r="A124" s="32" t="str">
        <f>'Trial Balance'!A306&amp;"-"&amp;'Trial Balance'!B306</f>
        <v>5155-Maintenance of Underground Services</v>
      </c>
      <c r="B124" s="23">
        <f>'Trial Balance'!L306</f>
        <v>61509.06</v>
      </c>
    </row>
    <row r="125" spans="1:2" ht="15" customHeight="1">
      <c r="A125" s="32" t="str">
        <f>'Trial Balance'!A307&amp;"-"&amp;'Trial Balance'!B307</f>
        <v>5160-Maintenance of Line Transformers</v>
      </c>
      <c r="B125" s="23">
        <f>'Trial Balance'!L307</f>
        <v>102042.18</v>
      </c>
    </row>
    <row r="126" spans="1:2" ht="15" customHeight="1">
      <c r="A126" s="32" t="str">
        <f>'Trial Balance'!A308&amp;"-"&amp;'Trial Balance'!B308</f>
        <v>5165-Maintenance of Street Lighting and Signal Systems</v>
      </c>
      <c r="B126" s="23">
        <f>'Trial Balance'!L308</f>
        <v>0</v>
      </c>
    </row>
    <row r="127" spans="1:2" ht="15" customHeight="1">
      <c r="A127" s="32" t="str">
        <f>'Trial Balance'!A309&amp;"-"&amp;'Trial Balance'!B309</f>
        <v>5170-Sentinel Lights - Labour</v>
      </c>
      <c r="B127" s="23">
        <f>'Trial Balance'!L309</f>
        <v>0</v>
      </c>
    </row>
    <row r="128" spans="1:2" ht="15" customHeight="1">
      <c r="A128" s="32" t="str">
        <f>'Trial Balance'!A310&amp;"-"&amp;'Trial Balance'!B310</f>
        <v>5172-Sentinel Lights - Materials and Expenses</v>
      </c>
      <c r="B128" s="23">
        <f>'Trial Balance'!L310</f>
        <v>0</v>
      </c>
    </row>
    <row r="129" spans="1:2" ht="15" customHeight="1">
      <c r="A129" s="32" t="str">
        <f>'Trial Balance'!A311&amp;"-"&amp;'Trial Balance'!B311</f>
        <v>5175-Maintenance of Meters</v>
      </c>
      <c r="B129" s="23">
        <f>'Trial Balance'!L311</f>
        <v>8330.62</v>
      </c>
    </row>
    <row r="130" spans="1:2" ht="15" customHeight="1">
      <c r="A130" s="32" t="str">
        <f>'Trial Balance'!A312&amp;"-"&amp;'Trial Balance'!B312</f>
        <v>5178-Customer Installations Expenses - Leased Property</v>
      </c>
      <c r="B130" s="23">
        <f>'Trial Balance'!L312</f>
        <v>0</v>
      </c>
    </row>
    <row r="131" spans="1:2" ht="15" customHeight="1" thickBot="1">
      <c r="A131" s="32" t="str">
        <f>'Trial Balance'!A313&amp;"-"&amp;'Trial Balance'!B313</f>
        <v>5195-Maintenance of Other Installations on Customer Premises</v>
      </c>
      <c r="B131" s="23">
        <f>'Trial Balance'!L313</f>
        <v>0</v>
      </c>
    </row>
    <row r="132" spans="1:2" ht="15" customHeight="1" thickBot="1">
      <c r="A132" s="38" t="s">
        <v>88</v>
      </c>
      <c r="B132" s="24">
        <f>SUM(B114:B131)</f>
        <v>1270827.77</v>
      </c>
    </row>
    <row r="133" spans="1:2" s="21" customFormat="1" ht="15" customHeight="1">
      <c r="A133" s="423"/>
      <c r="B133" s="424"/>
    </row>
    <row r="134" spans="1:2" s="21" customFormat="1" ht="15" customHeight="1">
      <c r="A134" s="425" t="s">
        <v>89</v>
      </c>
      <c r="B134" s="426"/>
    </row>
    <row r="135" spans="1:2" ht="15" customHeight="1">
      <c r="A135" s="32" t="str">
        <f>'Trial Balance'!A319&amp;"-"&amp;'Trial Balance'!B319</f>
        <v>5305-Supervision</v>
      </c>
      <c r="B135" s="23">
        <f>'Trial Balance'!L319</f>
        <v>0</v>
      </c>
    </row>
    <row r="136" spans="1:2" ht="15" customHeight="1">
      <c r="A136" s="32" t="str">
        <f>'Trial Balance'!A320&amp;"-"&amp;'Trial Balance'!B320</f>
        <v>5310-Meter Reading Expense</v>
      </c>
      <c r="B136" s="23">
        <f>'Trial Balance'!L320</f>
        <v>286317.45</v>
      </c>
    </row>
    <row r="137" spans="1:2" ht="15" customHeight="1">
      <c r="A137" s="32" t="str">
        <f>'Trial Balance'!A321&amp;"-"&amp;'Trial Balance'!B321</f>
        <v>5315-Customer Billing</v>
      </c>
      <c r="B137" s="23">
        <f>'Trial Balance'!L321</f>
        <v>425573.18</v>
      </c>
    </row>
    <row r="138" spans="1:2" ht="15" customHeight="1">
      <c r="A138" s="32" t="str">
        <f>'Trial Balance'!A322&amp;"-"&amp;'Trial Balance'!B322</f>
        <v>5320-Collecting</v>
      </c>
      <c r="B138" s="23">
        <f>'Trial Balance'!L322</f>
        <v>162196.25</v>
      </c>
    </row>
    <row r="139" spans="1:2" ht="15" customHeight="1">
      <c r="A139" s="32" t="str">
        <f>'Trial Balance'!A323&amp;"-"&amp;'Trial Balance'!B323</f>
        <v>5325-Collecting - Cash Over and Short</v>
      </c>
      <c r="B139" s="23">
        <f>'Trial Balance'!L323</f>
        <v>0</v>
      </c>
    </row>
    <row r="140" spans="1:2" ht="15" customHeight="1">
      <c r="A140" s="32" t="str">
        <f>'Trial Balance'!A324&amp;"-"&amp;'Trial Balance'!B324</f>
        <v>5330-Collection Charges</v>
      </c>
      <c r="B140" s="23">
        <f>'Trial Balance'!L324</f>
        <v>0</v>
      </c>
    </row>
    <row r="141" spans="1:2" ht="15" customHeight="1">
      <c r="A141" s="32" t="str">
        <f>'Trial Balance'!A325&amp;"-"&amp;'Trial Balance'!B325</f>
        <v>5335-Bad Debt Expense</v>
      </c>
      <c r="B141" s="23">
        <f>'Trial Balance'!L325</f>
        <v>270000</v>
      </c>
    </row>
    <row r="142" spans="1:2" ht="15" customHeight="1" thickBot="1">
      <c r="A142" s="32" t="str">
        <f>'Trial Balance'!A326&amp;"-"&amp;'Trial Balance'!B326</f>
        <v>5340-Miscellaneous Customer Accounts Expenses</v>
      </c>
      <c r="B142" s="23">
        <f>'Trial Balance'!L326</f>
        <v>0</v>
      </c>
    </row>
    <row r="143" spans="1:2" ht="15" customHeight="1" thickBot="1">
      <c r="A143" s="38" t="s">
        <v>98</v>
      </c>
      <c r="B143" s="24">
        <f>SUM(B135:B142)</f>
        <v>1144086.88</v>
      </c>
    </row>
    <row r="144" spans="1:2" s="21" customFormat="1" ht="15" customHeight="1">
      <c r="A144" s="423"/>
      <c r="B144" s="424"/>
    </row>
    <row r="145" spans="1:2" s="21" customFormat="1" ht="15" customHeight="1">
      <c r="A145" s="425" t="s">
        <v>99</v>
      </c>
      <c r="B145" s="426"/>
    </row>
    <row r="146" spans="1:2" ht="15" customHeight="1">
      <c r="A146" s="32" t="str">
        <f>'Trial Balance'!A328&amp;"-"&amp;'Trial Balance'!B328</f>
        <v>5405-Supervision</v>
      </c>
      <c r="B146" s="23">
        <f>'Trial Balance'!L328</f>
        <v>0</v>
      </c>
    </row>
    <row r="147" spans="1:2" ht="15" customHeight="1">
      <c r="A147" s="32" t="str">
        <f>'Trial Balance'!A329&amp;"-"&amp;'Trial Balance'!B329</f>
        <v>5410-Community Relations - Sundry</v>
      </c>
      <c r="B147" s="23">
        <f>'Trial Balance'!L329</f>
        <v>0</v>
      </c>
    </row>
    <row r="148" spans="1:2" ht="15" customHeight="1">
      <c r="A148" s="32" t="str">
        <f>'Trial Balance'!A330&amp;"-"&amp;'Trial Balance'!B330</f>
        <v>5415-Energy Conservation</v>
      </c>
      <c r="B148" s="23">
        <f>'Trial Balance'!L330</f>
        <v>195000</v>
      </c>
    </row>
    <row r="149" spans="1:2" ht="15" customHeight="1">
      <c r="A149" s="32" t="str">
        <f>'Trial Balance'!A331&amp;"-"&amp;'Trial Balance'!B331</f>
        <v>5420-Community Safety Program</v>
      </c>
      <c r="B149" s="23">
        <f>'Trial Balance'!L331</f>
        <v>0</v>
      </c>
    </row>
    <row r="150" spans="1:2" ht="15" customHeight="1" thickBot="1">
      <c r="A150" s="32" t="str">
        <f>'Trial Balance'!A332&amp;"-"&amp;'Trial Balance'!B332</f>
        <v>5425-Miscellaneous Customer Service and Informational Expenses</v>
      </c>
      <c r="B150" s="23">
        <f>'Trial Balance'!L332</f>
        <v>27000</v>
      </c>
    </row>
    <row r="151" spans="1:2" ht="15" customHeight="1" thickBot="1">
      <c r="A151" s="38" t="s">
        <v>100</v>
      </c>
      <c r="B151" s="24">
        <f>SUM(B146:B150)</f>
        <v>222000</v>
      </c>
    </row>
    <row r="152" spans="1:2" s="21" customFormat="1" ht="15" customHeight="1">
      <c r="A152" s="423"/>
      <c r="B152" s="424"/>
    </row>
    <row r="153" spans="1:2" s="21" customFormat="1" ht="15" customHeight="1">
      <c r="A153" s="425" t="s">
        <v>101</v>
      </c>
      <c r="B153" s="426"/>
    </row>
    <row r="154" spans="1:2" ht="15" customHeight="1">
      <c r="A154" s="32" t="str">
        <f>'Trial Balance'!A339&amp;"-"&amp;'Trial Balance'!B339</f>
        <v>5605-Executive Salaries and Expenses</v>
      </c>
      <c r="B154" s="23">
        <f>'Trial Balance'!L339</f>
        <v>0</v>
      </c>
    </row>
    <row r="155" spans="1:2" ht="15" customHeight="1">
      <c r="A155" s="32" t="str">
        <f>'Trial Balance'!A340&amp;"-"&amp;'Trial Balance'!B340</f>
        <v>5610-Management Salaries and Expenses</v>
      </c>
      <c r="B155" s="23">
        <f>'Trial Balance'!L340</f>
        <v>661851.81</v>
      </c>
    </row>
    <row r="156" spans="1:2" ht="15" customHeight="1">
      <c r="A156" s="32" t="str">
        <f>'Trial Balance'!A341&amp;"-"&amp;'Trial Balance'!B341</f>
        <v>5615-General Administrative Salaries and Expenses</v>
      </c>
      <c r="B156" s="23">
        <f>'Trial Balance'!L341</f>
        <v>463781.55</v>
      </c>
    </row>
    <row r="157" spans="1:2" ht="15" customHeight="1">
      <c r="A157" s="32" t="str">
        <f>'Trial Balance'!A342&amp;"-"&amp;'Trial Balance'!B342</f>
        <v>5620-Office Supplies and Expenses</v>
      </c>
      <c r="B157" s="23">
        <f>'Trial Balance'!L342</f>
        <v>1200</v>
      </c>
    </row>
    <row r="158" spans="1:2" ht="15" customHeight="1">
      <c r="A158" s="32" t="str">
        <f>'Trial Balance'!A343&amp;"-"&amp;'Trial Balance'!B343</f>
        <v>5625-Administrative Expense Transferred-Credit</v>
      </c>
      <c r="B158" s="23">
        <f>'Trial Balance'!L343</f>
        <v>0</v>
      </c>
    </row>
    <row r="159" spans="1:2" ht="15" customHeight="1">
      <c r="A159" s="32" t="str">
        <f>'Trial Balance'!A344&amp;"-"&amp;'Trial Balance'!B344</f>
        <v>5630-Outside Services Employed</v>
      </c>
      <c r="B159" s="23">
        <f>'Trial Balance'!L344</f>
        <v>389195.88</v>
      </c>
    </row>
    <row r="160" spans="1:2" ht="15" customHeight="1">
      <c r="A160" s="32" t="str">
        <f>'Trial Balance'!A345&amp;"-"&amp;'Trial Balance'!B345</f>
        <v>5635-Property Insurance</v>
      </c>
      <c r="B160" s="23">
        <f>'Trial Balance'!L345</f>
        <v>149643.42</v>
      </c>
    </row>
    <row r="161" spans="1:2" ht="15" customHeight="1">
      <c r="A161" s="32" t="str">
        <f>'Trial Balance'!A346&amp;"-"&amp;'Trial Balance'!B346</f>
        <v>5640-Injuries and Damages</v>
      </c>
      <c r="B161" s="23">
        <f>'Trial Balance'!L346</f>
        <v>0</v>
      </c>
    </row>
    <row r="162" spans="1:2" ht="15" customHeight="1">
      <c r="A162" s="32" t="str">
        <f>'Trial Balance'!A347&amp;"-"&amp;'Trial Balance'!B347</f>
        <v>5645-Employee Pensions and Benefits</v>
      </c>
      <c r="B162" s="23">
        <f>'Trial Balance'!L347</f>
        <v>426726.6555037478</v>
      </c>
    </row>
    <row r="163" spans="1:2" ht="15" customHeight="1">
      <c r="A163" s="32" t="str">
        <f>'Trial Balance'!A348&amp;"-"&amp;'Trial Balance'!B348</f>
        <v>5650-Franchise Requirements</v>
      </c>
      <c r="B163" s="23">
        <f>'Trial Balance'!L348</f>
        <v>0</v>
      </c>
    </row>
    <row r="164" spans="1:2" ht="15" customHeight="1">
      <c r="A164" s="32" t="str">
        <f>'Trial Balance'!A349&amp;"-"&amp;'Trial Balance'!B349</f>
        <v>5655-Regulatory Expenses</v>
      </c>
      <c r="B164" s="23">
        <f>'Trial Balance'!L349</f>
        <v>154359.6</v>
      </c>
    </row>
    <row r="165" spans="1:2" ht="15" customHeight="1">
      <c r="A165" s="32" t="str">
        <f>'Trial Balance'!A350&amp;"-"&amp;'Trial Balance'!B350</f>
        <v>5660-General Advertising Expenses</v>
      </c>
      <c r="B165" s="23">
        <f>'Trial Balance'!L350</f>
        <v>27980</v>
      </c>
    </row>
    <row r="166" spans="1:2" ht="15" customHeight="1">
      <c r="A166" s="32" t="str">
        <f>'Trial Balance'!A351&amp;"-"&amp;'Trial Balance'!B351</f>
        <v>5665-Miscellaneous Expenses</v>
      </c>
      <c r="B166" s="23">
        <f>'Trial Balance'!L351</f>
        <v>77153.87</v>
      </c>
    </row>
    <row r="167" spans="1:2" ht="15" customHeight="1">
      <c r="A167" s="32" t="str">
        <f>'Trial Balance'!A352&amp;"-"&amp;'Trial Balance'!B352</f>
        <v>5670-Rent  </v>
      </c>
      <c r="B167" s="23">
        <f>'Trial Balance'!L352</f>
        <v>0</v>
      </c>
    </row>
    <row r="168" spans="1:2" ht="15" customHeight="1">
      <c r="A168" s="32" t="str">
        <f>'Trial Balance'!A353&amp;"-"&amp;'Trial Balance'!B353</f>
        <v>5675-Maintenance of General Plant</v>
      </c>
      <c r="B168" s="23">
        <f>'Trial Balance'!L353</f>
        <v>178991.46</v>
      </c>
    </row>
    <row r="169" spans="1:2" ht="15" customHeight="1">
      <c r="A169" s="32" t="str">
        <f>'Trial Balance'!A354&amp;"-"&amp;'Trial Balance'!B354</f>
        <v>5680-Electrical Safety Authority Fees</v>
      </c>
      <c r="B169" s="23">
        <f>'Trial Balance'!L354</f>
        <v>14400</v>
      </c>
    </row>
    <row r="170" spans="1:2" ht="15" customHeight="1">
      <c r="A170" s="32" t="str">
        <f>'Trial Balance'!A355&amp;"-"&amp;'Trial Balance'!B355</f>
        <v>5685-Independent Market Operator Fees and Penalties</v>
      </c>
      <c r="B170" s="23">
        <f>'Trial Balance'!L355</f>
        <v>0</v>
      </c>
    </row>
    <row r="171" spans="1:2" ht="15" customHeight="1" thickBot="1">
      <c r="A171" s="32" t="str">
        <f>'Trial Balance'!A356&amp;"-"&amp;'Trial Balance'!B356</f>
        <v>5695-OM&amp;A Contra Account</v>
      </c>
      <c r="B171" s="23">
        <f>'Trial Balance'!L356</f>
        <v>0</v>
      </c>
    </row>
    <row r="172" spans="1:2" ht="15" customHeight="1" thickBot="1">
      <c r="A172" s="38" t="s">
        <v>75</v>
      </c>
      <c r="B172" s="24">
        <f>SUM(B154:B171)</f>
        <v>2545284.245503748</v>
      </c>
    </row>
    <row r="173" spans="1:2" s="21" customFormat="1" ht="15" customHeight="1">
      <c r="A173" s="423"/>
      <c r="B173" s="424"/>
    </row>
    <row r="174" spans="1:2" s="21" customFormat="1" ht="15" customHeight="1">
      <c r="A174" s="425" t="s">
        <v>76</v>
      </c>
      <c r="B174" s="426"/>
    </row>
    <row r="175" spans="1:2" s="21" customFormat="1" ht="15" customHeight="1">
      <c r="A175" s="32" t="str">
        <f>'Trial Balance'!A358&amp;"-"&amp;'Trial Balance'!B358</f>
        <v>5705-Amortization Expense - Property, Plant and Equipment</v>
      </c>
      <c r="B175" s="23">
        <f>'Trial Balance'!L358</f>
        <v>2901108.0797554553</v>
      </c>
    </row>
    <row r="176" spans="1:2" s="21" customFormat="1" ht="15" customHeight="1">
      <c r="A176" s="32" t="str">
        <f>'Trial Balance'!A359&amp;"-"&amp;'Trial Balance'!B359</f>
        <v>5710-Amortization of Limited Term Electric Plant</v>
      </c>
      <c r="B176" s="23">
        <f>'Trial Balance'!L359</f>
        <v>0</v>
      </c>
    </row>
    <row r="177" spans="1:2" s="21" customFormat="1" ht="15" customHeight="1">
      <c r="A177" s="32" t="str">
        <f>'Trial Balance'!A360&amp;"-"&amp;'Trial Balance'!B360</f>
        <v>5715-Amortization of Intangibles and Other Electric Plant</v>
      </c>
      <c r="B177" s="23">
        <f>'Trial Balance'!L360</f>
        <v>0</v>
      </c>
    </row>
    <row r="178" spans="1:2" s="21" customFormat="1" ht="15" customHeight="1">
      <c r="A178" s="32" t="str">
        <f>'Trial Balance'!A361&amp;"-"&amp;'Trial Balance'!B361</f>
        <v>5720-Amortization of Electric Plant Acquisition Adjustments</v>
      </c>
      <c r="B178" s="23">
        <f>'Trial Balance'!L361</f>
        <v>0</v>
      </c>
    </row>
    <row r="179" spans="1:2" s="21" customFormat="1" ht="15" customHeight="1">
      <c r="A179" s="32" t="str">
        <f>'Trial Balance'!A362&amp;"-"&amp;'Trial Balance'!B362</f>
        <v>5725-Miscellaneous Amortization</v>
      </c>
      <c r="B179" s="23">
        <f>'Trial Balance'!L362</f>
        <v>0</v>
      </c>
    </row>
    <row r="180" spans="1:2" s="21" customFormat="1" ht="15" customHeight="1">
      <c r="A180" s="32" t="str">
        <f>'Trial Balance'!A363&amp;"-"&amp;'Trial Balance'!B363</f>
        <v>5730-Amortization of Unrecovered Plant and Regulatory Study Costs</v>
      </c>
      <c r="B180" s="23">
        <f>'Trial Balance'!L363</f>
        <v>0</v>
      </c>
    </row>
    <row r="181" spans="1:2" s="21" customFormat="1" ht="15" customHeight="1">
      <c r="A181" s="32" t="str">
        <f>'Trial Balance'!A364&amp;"-"&amp;'Trial Balance'!B364</f>
        <v>5735-Amortization of Deferred Development Costs</v>
      </c>
      <c r="B181" s="23">
        <f>'Trial Balance'!L364</f>
        <v>0</v>
      </c>
    </row>
    <row r="182" spans="1:2" ht="15" customHeight="1" thickBot="1">
      <c r="A182" s="32" t="str">
        <f>'Trial Balance'!A365&amp;"-"&amp;'Trial Balance'!B365</f>
        <v>5740-Amortization of Deferred Charges</v>
      </c>
      <c r="B182" s="23">
        <f>'Trial Balance'!L365</f>
        <v>0</v>
      </c>
    </row>
    <row r="183" spans="1:2" ht="15" customHeight="1" thickBot="1">
      <c r="A183" s="38" t="s">
        <v>77</v>
      </c>
      <c r="B183" s="24">
        <f>SUM(B175:B182)</f>
        <v>2901108.0797554553</v>
      </c>
    </row>
    <row r="184" spans="1:2" s="21" customFormat="1" ht="15" customHeight="1">
      <c r="A184" s="423"/>
      <c r="B184" s="424"/>
    </row>
    <row r="185" spans="1:2" s="21" customFormat="1" ht="15" customHeight="1">
      <c r="A185" s="425" t="s">
        <v>78</v>
      </c>
      <c r="B185" s="426"/>
    </row>
    <row r="186" spans="1:2" ht="15" customHeight="1">
      <c r="A186" s="32" t="str">
        <f>'Trial Balance'!A367&amp;"-"&amp;'Trial Balance'!B367</f>
        <v>6005-Interest on Long Term Debt</v>
      </c>
      <c r="B186" s="23">
        <f>'Trial Balance'!L367</f>
        <v>179707.37</v>
      </c>
    </row>
    <row r="187" spans="1:2" ht="15" customHeight="1">
      <c r="A187" s="32" t="str">
        <f>'Trial Balance'!A368&amp;"-"&amp;'Trial Balance'!B368</f>
        <v>6010-Amortization of Debt Discount and Expense</v>
      </c>
      <c r="B187" s="23">
        <f>'Trial Balance'!L368</f>
        <v>0</v>
      </c>
    </row>
    <row r="188" spans="1:2" ht="15" customHeight="1">
      <c r="A188" s="32" t="str">
        <f>'Trial Balance'!A369&amp;"-"&amp;'Trial Balance'!B369</f>
        <v>6015-Amortization of Premium on Debt-Credit</v>
      </c>
      <c r="B188" s="23">
        <f>'Trial Balance'!L369</f>
        <v>0</v>
      </c>
    </row>
    <row r="189" spans="1:2" ht="15" customHeight="1">
      <c r="A189" s="32" t="str">
        <f>'Trial Balance'!A370&amp;"-"&amp;'Trial Balance'!B370</f>
        <v>6020-Amortization of Loss on Reacquired Debt</v>
      </c>
      <c r="B189" s="23">
        <f>'Trial Balance'!L370</f>
        <v>0</v>
      </c>
    </row>
    <row r="190" spans="1:2" ht="15" customHeight="1">
      <c r="A190" s="32" t="str">
        <f>'Trial Balance'!A371&amp;"-"&amp;'Trial Balance'!B371</f>
        <v>6025-Amortization of Gain on Reacquired Debt-Credit</v>
      </c>
      <c r="B190" s="23">
        <f>'Trial Balance'!L371</f>
        <v>0</v>
      </c>
    </row>
    <row r="191" spans="1:2" ht="15" customHeight="1">
      <c r="A191" s="32" t="str">
        <f>'Trial Balance'!A372&amp;"-"&amp;'Trial Balance'!B372</f>
        <v>6030-Interest on Debt to Associated Companies</v>
      </c>
      <c r="B191" s="23">
        <f>'Trial Balance'!L372</f>
        <v>975580</v>
      </c>
    </row>
    <row r="192" spans="1:2" ht="15" customHeight="1">
      <c r="A192" s="32" t="str">
        <f>'Trial Balance'!A373&amp;"-"&amp;'Trial Balance'!B373</f>
        <v>6035-Other Interest Expense</v>
      </c>
      <c r="B192" s="23">
        <f>'Trial Balance'!L373</f>
        <v>28969.752827584554</v>
      </c>
    </row>
    <row r="193" spans="1:2" ht="15" customHeight="1">
      <c r="A193" s="32" t="str">
        <f>'Trial Balance'!A374&amp;"-"&amp;'Trial Balance'!B374</f>
        <v>6040-Allowance for Borrowed Funds Used During Construction-Credit</v>
      </c>
      <c r="B193" s="23">
        <f>'Trial Balance'!L374</f>
        <v>0</v>
      </c>
    </row>
    <row r="194" spans="1:2" ht="15" customHeight="1">
      <c r="A194" s="32" t="str">
        <f>'Trial Balance'!A375&amp;"-"&amp;'Trial Balance'!B375</f>
        <v>6042-Allowance for Other Funds Used During Construction</v>
      </c>
      <c r="B194" s="23">
        <f>'Trial Balance'!L375</f>
        <v>0</v>
      </c>
    </row>
    <row r="195" spans="1:2" ht="15" customHeight="1" thickBot="1">
      <c r="A195" s="32" t="str">
        <f>'Trial Balance'!A376&amp;"-"&amp;'Trial Balance'!B376</f>
        <v>6045-Interest Expense on Capital Lease Obligations</v>
      </c>
      <c r="B195" s="23">
        <f>'Trial Balance'!L376</f>
        <v>0</v>
      </c>
    </row>
    <row r="196" spans="1:2" ht="15" customHeight="1" thickBot="1">
      <c r="A196" s="38" t="s">
        <v>556</v>
      </c>
      <c r="B196" s="24">
        <f>SUM(B186:B195)</f>
        <v>1184257.1228275846</v>
      </c>
    </row>
    <row r="197" spans="1:2" s="21" customFormat="1" ht="15" customHeight="1">
      <c r="A197" s="423"/>
      <c r="B197" s="424"/>
    </row>
    <row r="198" spans="1:2" s="21" customFormat="1" ht="15" customHeight="1">
      <c r="A198" s="425" t="s">
        <v>557</v>
      </c>
      <c r="B198" s="426"/>
    </row>
    <row r="199" spans="1:2" ht="15" customHeight="1" thickBot="1">
      <c r="A199" s="32" t="str">
        <f>'Trial Balance'!A378&amp;"-"&amp;'Trial Balance'!B378</f>
        <v>6105-Taxes Other Than Income Taxes</v>
      </c>
      <c r="B199" s="23">
        <f>'Trial Balance'!L378</f>
        <v>64292</v>
      </c>
    </row>
    <row r="200" spans="1:2" ht="15" customHeight="1" thickBot="1">
      <c r="A200" s="38" t="s">
        <v>560</v>
      </c>
      <c r="B200" s="24">
        <f>SUM(B199)</f>
        <v>64292</v>
      </c>
    </row>
    <row r="201" spans="1:2" s="21" customFormat="1" ht="15" customHeight="1">
      <c r="A201" s="423"/>
      <c r="B201" s="424"/>
    </row>
    <row r="202" spans="1:2" s="21" customFormat="1" ht="15" customHeight="1">
      <c r="A202" s="425" t="s">
        <v>561</v>
      </c>
      <c r="B202" s="426"/>
    </row>
    <row r="203" spans="1:2" ht="15" customHeight="1">
      <c r="A203" s="32" t="str">
        <f>'Trial Balance'!A379&amp;"-"&amp;'Trial Balance'!B379</f>
        <v>6110-Income Taxes</v>
      </c>
      <c r="B203" s="23">
        <f>'Trial Balance'!L379</f>
        <v>298348.21</v>
      </c>
    </row>
    <row r="204" spans="1:2" ht="15" customHeight="1" thickBot="1">
      <c r="A204" s="32" t="str">
        <f>'Trial Balance'!A380&amp;"-"&amp;'Trial Balance'!B380</f>
        <v>6115-Provision for Future Income Taxes</v>
      </c>
      <c r="B204" s="23">
        <f>'Trial Balance'!L380</f>
        <v>0</v>
      </c>
    </row>
    <row r="205" spans="1:2" ht="15" customHeight="1" thickBot="1">
      <c r="A205" s="38" t="s">
        <v>562</v>
      </c>
      <c r="B205" s="24">
        <f>SUM(B203:B204)</f>
        <v>298348.21</v>
      </c>
    </row>
    <row r="206" spans="1:2" s="21" customFormat="1" ht="15" customHeight="1">
      <c r="A206" s="423"/>
      <c r="B206" s="424"/>
    </row>
    <row r="207" spans="1:2" s="21" customFormat="1" ht="15" customHeight="1">
      <c r="A207" s="425" t="s">
        <v>542</v>
      </c>
      <c r="B207" s="426"/>
    </row>
    <row r="208" spans="1:2" ht="15" customHeight="1">
      <c r="A208" s="32" t="str">
        <f>'Trial Balance'!A382&amp;"-"&amp;'Trial Balance'!B382</f>
        <v>6205-Donations</v>
      </c>
      <c r="B208" s="23">
        <f>'Trial Balance'!L382</f>
        <v>6000</v>
      </c>
    </row>
    <row r="209" spans="1:2" ht="15" customHeight="1">
      <c r="A209" s="32" t="str">
        <f>'Trial Balance'!A383&amp;"-"&amp;'Trial Balance'!B383</f>
        <v>6210-Life Insurance</v>
      </c>
      <c r="B209" s="23">
        <f>'Trial Balance'!L383</f>
        <v>0</v>
      </c>
    </row>
    <row r="210" spans="1:2" ht="15" customHeight="1">
      <c r="A210" s="32" t="str">
        <f>'Trial Balance'!A384&amp;"-"&amp;'Trial Balance'!B384</f>
        <v>6215-Penalties</v>
      </c>
      <c r="B210" s="23">
        <f>'Trial Balance'!L384</f>
        <v>0</v>
      </c>
    </row>
    <row r="211" spans="1:7" ht="15" customHeight="1" thickBot="1">
      <c r="A211" s="32" t="str">
        <f>'Trial Balance'!A385&amp;"-"&amp;'Trial Balance'!B385</f>
        <v>6225-Other Deductions</v>
      </c>
      <c r="B211" s="23">
        <f>'Trial Balance'!L385</f>
        <v>0</v>
      </c>
      <c r="D211" s="13"/>
      <c r="E211" s="13"/>
      <c r="F211" s="13"/>
      <c r="G211" s="13"/>
    </row>
    <row r="212" spans="1:2" ht="15" customHeight="1" thickBot="1">
      <c r="A212" s="38" t="s">
        <v>543</v>
      </c>
      <c r="B212" s="24">
        <f>SUM(B208:B211)</f>
        <v>6000</v>
      </c>
    </row>
    <row r="213" spans="1:7" s="13" customFormat="1" ht="15" customHeight="1" thickBot="1">
      <c r="A213" s="423"/>
      <c r="B213" s="424"/>
      <c r="D213"/>
      <c r="E213"/>
      <c r="F213"/>
      <c r="G213"/>
    </row>
    <row r="214" spans="1:2" ht="18.75" customHeight="1" thickBot="1">
      <c r="A214" s="39" t="s">
        <v>817</v>
      </c>
      <c r="B214" s="26">
        <f>B24+B31+B43+B66+B71+B85+B111+B132+B143+B151+B172+B183+B196+B200+B205+B212</f>
        <v>-599737.8501078275</v>
      </c>
    </row>
    <row r="215" spans="1:2" ht="15">
      <c r="A215" s="11"/>
      <c r="B215" s="11"/>
    </row>
    <row r="216" spans="1:2" ht="15">
      <c r="A216" s="11"/>
      <c r="B216" s="11"/>
    </row>
    <row r="217" spans="1:2" ht="15">
      <c r="A217" s="11"/>
      <c r="B217" s="11"/>
    </row>
    <row r="218" spans="1:2" ht="15">
      <c r="A218" s="11"/>
      <c r="B218" s="11"/>
    </row>
    <row r="219" spans="1:2" ht="15">
      <c r="A219" s="11"/>
      <c r="B219" s="11"/>
    </row>
    <row r="220" spans="1:2" ht="15">
      <c r="A220" s="11"/>
      <c r="B220" s="11"/>
    </row>
    <row r="221" spans="1:2" ht="15">
      <c r="A221" s="11"/>
      <c r="B221" s="11"/>
    </row>
    <row r="222" spans="1:2" ht="15">
      <c r="A222" s="11"/>
      <c r="B222" s="11"/>
    </row>
    <row r="223" spans="1:2" ht="15">
      <c r="A223" s="11"/>
      <c r="B223" s="11"/>
    </row>
    <row r="224" spans="1:2" ht="15">
      <c r="A224" s="11"/>
      <c r="B224" s="11"/>
    </row>
    <row r="225" spans="1:2" ht="15">
      <c r="A225" s="11"/>
      <c r="B225" s="11"/>
    </row>
    <row r="226" spans="1:2" ht="15">
      <c r="A226" s="11"/>
      <c r="B226" s="11"/>
    </row>
    <row r="227" spans="1:2" ht="15">
      <c r="A227" s="11"/>
      <c r="B227" s="11"/>
    </row>
    <row r="228" spans="1:2" ht="15">
      <c r="A228" s="11"/>
      <c r="B228" s="11"/>
    </row>
    <row r="229" spans="1:2" ht="15">
      <c r="A229" s="11"/>
      <c r="B229" s="11"/>
    </row>
    <row r="230" spans="1:2" ht="15">
      <c r="A230" s="11"/>
      <c r="B230" s="11"/>
    </row>
    <row r="231" spans="1:2" ht="15">
      <c r="A231" s="11"/>
      <c r="B231" s="11"/>
    </row>
    <row r="232" spans="1:2" ht="15">
      <c r="A232" s="11"/>
      <c r="B232" s="11"/>
    </row>
    <row r="233" spans="1:2" ht="15">
      <c r="A233" s="11"/>
      <c r="B233" s="11"/>
    </row>
    <row r="234" spans="1:2" ht="15">
      <c r="A234" s="11"/>
      <c r="B234" s="11"/>
    </row>
    <row r="235" spans="1:2" ht="15">
      <c r="A235" s="11"/>
      <c r="B235" s="11"/>
    </row>
    <row r="236" spans="1:2" ht="15">
      <c r="A236" s="11"/>
      <c r="B236" s="11"/>
    </row>
    <row r="237" spans="1:2" ht="15">
      <c r="A237" s="11"/>
      <c r="B237" s="11"/>
    </row>
    <row r="238" spans="1:2" ht="15">
      <c r="A238" s="11"/>
      <c r="B238" s="11"/>
    </row>
    <row r="239" spans="1:2" ht="15">
      <c r="A239" s="11"/>
      <c r="B239" s="11"/>
    </row>
    <row r="240" spans="1:2" ht="15">
      <c r="A240" s="11"/>
      <c r="B240" s="11"/>
    </row>
    <row r="241" spans="1:2" ht="15">
      <c r="A241" s="11"/>
      <c r="B241" s="11"/>
    </row>
    <row r="242" spans="1:2" ht="15">
      <c r="A242" s="11"/>
      <c r="B242" s="11"/>
    </row>
    <row r="243" spans="1:2" ht="15">
      <c r="A243" s="11"/>
      <c r="B243" s="11"/>
    </row>
    <row r="244" spans="1:2" ht="15">
      <c r="A244" s="11"/>
      <c r="B244" s="11"/>
    </row>
    <row r="245" spans="1:2" ht="15">
      <c r="A245" s="11"/>
      <c r="B245" s="11"/>
    </row>
    <row r="246" spans="1:2" ht="15">
      <c r="A246" s="11"/>
      <c r="B246" s="11"/>
    </row>
    <row r="247" spans="1:2" ht="15">
      <c r="A247" s="11"/>
      <c r="B247" s="11"/>
    </row>
    <row r="248" spans="1:2" ht="15">
      <c r="A248" s="11"/>
      <c r="B248" s="11"/>
    </row>
    <row r="249" spans="1:2" ht="15">
      <c r="A249" s="11"/>
      <c r="B249" s="11"/>
    </row>
    <row r="250" spans="1:2" ht="15">
      <c r="A250" s="11"/>
      <c r="B250" s="11"/>
    </row>
    <row r="251" spans="1:2" ht="15">
      <c r="A251" s="11"/>
      <c r="B251" s="11"/>
    </row>
    <row r="252" spans="1:2" ht="15">
      <c r="A252" s="11"/>
      <c r="B252" s="11"/>
    </row>
    <row r="253" spans="1:2" ht="15">
      <c r="A253" s="11"/>
      <c r="B253" s="11"/>
    </row>
    <row r="254" spans="1:2" ht="15">
      <c r="A254" s="11"/>
      <c r="B254" s="11"/>
    </row>
    <row r="255" spans="1:2" ht="15">
      <c r="A255" s="11"/>
      <c r="B255" s="11"/>
    </row>
    <row r="256" spans="1:2" ht="15">
      <c r="A256" s="11"/>
      <c r="B256" s="11"/>
    </row>
    <row r="257" spans="1:2" ht="15">
      <c r="A257" s="11"/>
      <c r="B257" s="11"/>
    </row>
    <row r="258" spans="1:2" ht="15">
      <c r="A258" s="11"/>
      <c r="B258" s="11"/>
    </row>
    <row r="259" spans="1:2" ht="15">
      <c r="A259" s="11"/>
      <c r="B259" s="11"/>
    </row>
    <row r="260" spans="1:2" ht="15">
      <c r="A260" s="11"/>
      <c r="B260" s="11"/>
    </row>
    <row r="261" spans="1:2" ht="15">
      <c r="A261" s="11"/>
      <c r="B261" s="11"/>
    </row>
    <row r="262" spans="1:2" ht="15">
      <c r="A262" s="11"/>
      <c r="B262" s="11"/>
    </row>
    <row r="263" spans="1:2" ht="15">
      <c r="A263" s="11"/>
      <c r="B263" s="11"/>
    </row>
    <row r="264" spans="1:2" ht="15">
      <c r="A264" s="11"/>
      <c r="B264" s="11"/>
    </row>
    <row r="265" spans="1:2" ht="15">
      <c r="A265" s="11"/>
      <c r="B265" s="11"/>
    </row>
    <row r="266" spans="1:2" ht="15">
      <c r="A266" s="11"/>
      <c r="B266" s="11"/>
    </row>
    <row r="267" spans="1:2" ht="15">
      <c r="A267" s="11"/>
      <c r="B267" s="11"/>
    </row>
    <row r="268" spans="1:2" ht="15">
      <c r="A268" s="11"/>
      <c r="B268" s="11"/>
    </row>
    <row r="269" spans="1:2" ht="15">
      <c r="A269" s="11"/>
      <c r="B269" s="11"/>
    </row>
    <row r="270" spans="1:2" ht="15">
      <c r="A270" s="11"/>
      <c r="B270" s="11"/>
    </row>
    <row r="271" spans="1:2" ht="15">
      <c r="A271" s="11"/>
      <c r="B271" s="11"/>
    </row>
    <row r="272" spans="1:2" ht="15">
      <c r="A272" s="11"/>
      <c r="B272" s="11"/>
    </row>
    <row r="273" spans="1:2" ht="15">
      <c r="A273" s="11"/>
      <c r="B273" s="11"/>
    </row>
    <row r="274" spans="1:2" ht="15">
      <c r="A274" s="11"/>
      <c r="B274" s="11"/>
    </row>
    <row r="275" spans="1:2" ht="15">
      <c r="A275" s="11"/>
      <c r="B275" s="11"/>
    </row>
    <row r="276" spans="1:2" ht="15">
      <c r="A276" s="11"/>
      <c r="B276" s="11"/>
    </row>
    <row r="277" spans="1:2" ht="15">
      <c r="A277" s="11"/>
      <c r="B277" s="11"/>
    </row>
    <row r="278" spans="1:2" ht="15">
      <c r="A278" s="11"/>
      <c r="B278" s="11"/>
    </row>
    <row r="279" spans="1:2" ht="15">
      <c r="A279" s="11"/>
      <c r="B279" s="11"/>
    </row>
    <row r="280" spans="1:2" ht="15">
      <c r="A280" s="11"/>
      <c r="B280" s="11"/>
    </row>
    <row r="281" spans="1:2" ht="15">
      <c r="A281" s="11"/>
      <c r="B281" s="11"/>
    </row>
    <row r="282" spans="1:2" ht="15">
      <c r="A282" s="11"/>
      <c r="B282" s="11"/>
    </row>
    <row r="283" spans="1:2" ht="15">
      <c r="A283" s="11"/>
      <c r="B283" s="11"/>
    </row>
    <row r="284" spans="1:2" ht="15">
      <c r="A284" s="11"/>
      <c r="B284" s="11"/>
    </row>
    <row r="285" spans="1:2" ht="15">
      <c r="A285" s="11"/>
      <c r="B285" s="11"/>
    </row>
    <row r="286" spans="1:2" ht="15">
      <c r="A286" s="11"/>
      <c r="B286" s="11"/>
    </row>
    <row r="287" spans="1:2" ht="15">
      <c r="A287" s="11"/>
      <c r="B287" s="11"/>
    </row>
    <row r="288" spans="1:2" ht="15">
      <c r="A288" s="11"/>
      <c r="B288" s="11"/>
    </row>
    <row r="289" spans="1:2" ht="15">
      <c r="A289" s="11"/>
      <c r="B289" s="11"/>
    </row>
    <row r="290" spans="1:2" ht="15">
      <c r="A290" s="11"/>
      <c r="B290" s="11"/>
    </row>
    <row r="291" spans="1:2" ht="15">
      <c r="A291" s="11"/>
      <c r="B291" s="11"/>
    </row>
    <row r="292" spans="1:2" ht="15">
      <c r="A292" s="11"/>
      <c r="B292" s="11"/>
    </row>
    <row r="293" spans="1:2" ht="15">
      <c r="A293" s="11"/>
      <c r="B293" s="11"/>
    </row>
    <row r="294" spans="1:2" ht="15">
      <c r="A294" s="11"/>
      <c r="B294" s="11"/>
    </row>
    <row r="295" spans="1:2" ht="15">
      <c r="A295" s="11"/>
      <c r="B295" s="11"/>
    </row>
    <row r="296" spans="1:2" ht="15">
      <c r="A296" s="11"/>
      <c r="B296" s="11"/>
    </row>
    <row r="297" spans="1:2" ht="15">
      <c r="A297" s="11"/>
      <c r="B297" s="11"/>
    </row>
    <row r="298" spans="1:2" ht="15">
      <c r="A298" s="11"/>
      <c r="B298" s="11"/>
    </row>
    <row r="299" spans="1:2" ht="15">
      <c r="A299" s="11"/>
      <c r="B299" s="11"/>
    </row>
    <row r="300" spans="1:2" ht="15">
      <c r="A300" s="11"/>
      <c r="B300" s="11"/>
    </row>
    <row r="301" spans="1:2" ht="15">
      <c r="A301" s="11"/>
      <c r="B301" s="11"/>
    </row>
    <row r="302" spans="1:2" ht="15">
      <c r="A302" s="11"/>
      <c r="B302" s="11"/>
    </row>
    <row r="303" spans="1:2" ht="15">
      <c r="A303" s="11"/>
      <c r="B303" s="11"/>
    </row>
    <row r="304" spans="1:2" ht="15">
      <c r="A304" s="11"/>
      <c r="B304" s="11"/>
    </row>
    <row r="305" spans="1:2" ht="15">
      <c r="A305" s="11"/>
      <c r="B305" s="11"/>
    </row>
    <row r="306" spans="1:2" ht="15">
      <c r="A306" s="11"/>
      <c r="B306" s="11"/>
    </row>
    <row r="307" spans="1:2" ht="15">
      <c r="A307" s="11"/>
      <c r="B307" s="11"/>
    </row>
    <row r="308" spans="1:2" ht="15">
      <c r="A308" s="11"/>
      <c r="B308" s="11"/>
    </row>
    <row r="309" spans="1:2" ht="15">
      <c r="A309" s="11"/>
      <c r="B309" s="11"/>
    </row>
    <row r="310" spans="1:2" ht="15">
      <c r="A310" s="11"/>
      <c r="B310" s="11"/>
    </row>
    <row r="311" spans="1:2" ht="15">
      <c r="A311" s="11"/>
      <c r="B311" s="11"/>
    </row>
    <row r="312" spans="1:2" ht="15">
      <c r="A312" s="11"/>
      <c r="B312" s="11"/>
    </row>
    <row r="313" spans="1:2" ht="15">
      <c r="A313" s="11"/>
      <c r="B313" s="11"/>
    </row>
    <row r="314" spans="1:2" ht="15">
      <c r="A314" s="11"/>
      <c r="B314" s="11"/>
    </row>
    <row r="315" spans="1:2" ht="15">
      <c r="A315" s="11"/>
      <c r="B315" s="11"/>
    </row>
    <row r="316" spans="1:2" ht="15">
      <c r="A316" s="11"/>
      <c r="B316" s="11"/>
    </row>
    <row r="317" spans="1:2" ht="15">
      <c r="A317" s="11"/>
      <c r="B317" s="11"/>
    </row>
    <row r="318" spans="1:2" ht="15">
      <c r="A318" s="11"/>
      <c r="B318" s="11"/>
    </row>
    <row r="319" spans="1:2" ht="15">
      <c r="A319" s="11"/>
      <c r="B319" s="11"/>
    </row>
    <row r="320" spans="1:2" ht="15">
      <c r="A320" s="11"/>
      <c r="B320" s="11"/>
    </row>
    <row r="321" spans="1:2" ht="15">
      <c r="A321" s="11"/>
      <c r="B321" s="11"/>
    </row>
    <row r="322" spans="1:2" ht="15">
      <c r="A322" s="11"/>
      <c r="B322" s="11"/>
    </row>
    <row r="323" spans="1:2" ht="15">
      <c r="A323" s="11"/>
      <c r="B323" s="11"/>
    </row>
    <row r="324" spans="1:2" ht="15">
      <c r="A324" s="11"/>
      <c r="B324" s="11"/>
    </row>
    <row r="325" spans="1:2" ht="15">
      <c r="A325" s="11"/>
      <c r="B325" s="11"/>
    </row>
    <row r="326" spans="1:2" ht="15">
      <c r="A326" s="11"/>
      <c r="B326" s="11"/>
    </row>
    <row r="327" spans="1:2" ht="15">
      <c r="A327" s="11"/>
      <c r="B327" s="11"/>
    </row>
    <row r="328" spans="1:2" ht="15">
      <c r="A328" s="11"/>
      <c r="B328" s="11"/>
    </row>
    <row r="329" spans="1:2" ht="15">
      <c r="A329" s="11"/>
      <c r="B329" s="11"/>
    </row>
    <row r="330" spans="1:2" ht="15">
      <c r="A330" s="11"/>
      <c r="B330" s="11"/>
    </row>
  </sheetData>
  <mergeCells count="36">
    <mergeCell ref="A213:B213"/>
    <mergeCell ref="A201:B201"/>
    <mergeCell ref="A202:B202"/>
    <mergeCell ref="A206:B206"/>
    <mergeCell ref="A207:B207"/>
    <mergeCell ref="A184:B184"/>
    <mergeCell ref="A185:B185"/>
    <mergeCell ref="A197:B197"/>
    <mergeCell ref="A198:B198"/>
    <mergeCell ref="A113:B113"/>
    <mergeCell ref="A152:B152"/>
    <mergeCell ref="A173:B173"/>
    <mergeCell ref="A174:B174"/>
    <mergeCell ref="A145:B145"/>
    <mergeCell ref="A134:B134"/>
    <mergeCell ref="A153:B153"/>
    <mergeCell ref="A133:B133"/>
    <mergeCell ref="A144:B144"/>
    <mergeCell ref="A73:B73"/>
    <mergeCell ref="A86:B86"/>
    <mergeCell ref="A87:B87"/>
    <mergeCell ref="A112:B112"/>
    <mergeCell ref="A25:B25"/>
    <mergeCell ref="A26:B26"/>
    <mergeCell ref="A32:B32"/>
    <mergeCell ref="A33:B33"/>
    <mergeCell ref="A44:B44"/>
    <mergeCell ref="A67:B67"/>
    <mergeCell ref="A68:B68"/>
    <mergeCell ref="A72:B72"/>
    <mergeCell ref="A45:B45"/>
    <mergeCell ref="A3:B3"/>
    <mergeCell ref="A4:B4"/>
    <mergeCell ref="A6:B6"/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portrait" scale="96" r:id="rId1"/>
  <headerFooter alignWithMargins="0">
    <oddFooter>&amp;L&amp;A</oddFooter>
  </headerFooter>
  <rowBreaks count="5" manualBreakCount="5">
    <brk id="44" max="255" man="1"/>
    <brk id="86" max="255" man="1"/>
    <brk id="112" max="255" man="1"/>
    <brk id="152" max="255" man="1"/>
    <brk id="1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>
      <pane xSplit="3" ySplit="9" topLeftCell="D10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D10" sqref="D10"/>
    </sheetView>
  </sheetViews>
  <sheetFormatPr defaultColWidth="9.140625" defaultRowHeight="12.75"/>
  <cols>
    <col min="1" max="1" width="7.57421875" style="25" customWidth="1"/>
    <col min="2" max="2" width="5.00390625" style="240" bestFit="1" customWidth="1"/>
    <col min="3" max="3" width="43.57421875" style="239" bestFit="1" customWidth="1"/>
    <col min="4" max="4" width="12.140625" style="239" customWidth="1"/>
    <col min="5" max="6" width="10.7109375" style="239" customWidth="1"/>
    <col min="7" max="7" width="12.140625" style="239" customWidth="1"/>
    <col min="8" max="8" width="0.9921875" style="239" customWidth="1"/>
    <col min="9" max="9" width="12.140625" style="239" customWidth="1"/>
    <col min="10" max="11" width="10.7109375" style="239" customWidth="1"/>
    <col min="12" max="13" width="12.140625" style="239" customWidth="1"/>
    <col min="14" max="14" width="13.00390625" style="0" bestFit="1" customWidth="1"/>
    <col min="15" max="15" width="10.28125" style="0" bestFit="1" customWidth="1"/>
  </cols>
  <sheetData>
    <row r="1" spans="1:13" ht="12.75">
      <c r="A1" s="441" t="str">
        <f>'Trial Balance'!A1:J1</f>
        <v>North Bay Hydro Distribution Ltd.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13" ht="12.75">
      <c r="A2" s="441" t="str">
        <f>'Trial Balance'!A2:J2</f>
        <v>License Number ED-2003-0024, File Number EB-2009-0270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1:13" ht="12.75">
      <c r="A3" s="444"/>
      <c r="B3" s="444"/>
      <c r="C3" s="444"/>
      <c r="D3" s="236"/>
      <c r="E3" s="236"/>
      <c r="F3" s="236"/>
      <c r="G3" s="236"/>
      <c r="H3" s="237"/>
      <c r="I3" s="238"/>
      <c r="J3" s="238"/>
      <c r="K3" s="238"/>
      <c r="L3" s="238"/>
      <c r="M3" s="238"/>
    </row>
    <row r="4" spans="1:13" ht="12.75">
      <c r="A4" s="444" t="s">
        <v>231</v>
      </c>
      <c r="B4" s="444"/>
      <c r="C4" s="444"/>
      <c r="D4" s="236"/>
      <c r="E4" s="371"/>
      <c r="F4" s="371"/>
      <c r="H4" s="237"/>
      <c r="I4" s="238"/>
      <c r="J4" s="238"/>
      <c r="K4" s="238"/>
      <c r="L4" s="238"/>
      <c r="M4" s="238"/>
    </row>
    <row r="5" spans="1:13" ht="12.75">
      <c r="A5" s="444" t="s">
        <v>883</v>
      </c>
      <c r="B5" s="444"/>
      <c r="C5" s="444"/>
      <c r="D5" s="236"/>
      <c r="E5" s="236"/>
      <c r="F5" s="236"/>
      <c r="H5" s="237"/>
      <c r="I5" s="238"/>
      <c r="J5" s="238"/>
      <c r="K5" s="238"/>
      <c r="L5" s="238"/>
      <c r="M5" s="238"/>
    </row>
    <row r="6" spans="4:13" ht="12.75">
      <c r="D6" s="442" t="s">
        <v>274</v>
      </c>
      <c r="E6" s="442"/>
      <c r="F6" s="442"/>
      <c r="G6" s="442"/>
      <c r="H6" s="237"/>
      <c r="I6" s="442" t="s">
        <v>275</v>
      </c>
      <c r="J6" s="442"/>
      <c r="K6" s="442"/>
      <c r="L6" s="442"/>
      <c r="M6" s="238"/>
    </row>
    <row r="7" spans="3:13" ht="12.75">
      <c r="C7" s="235"/>
      <c r="D7" s="443"/>
      <c r="E7" s="443"/>
      <c r="F7" s="443"/>
      <c r="G7" s="443"/>
      <c r="H7" s="237"/>
      <c r="I7" s="443"/>
      <c r="J7" s="443"/>
      <c r="K7" s="443"/>
      <c r="L7" s="443"/>
      <c r="M7" s="238"/>
    </row>
    <row r="8" spans="1:13" ht="12.75">
      <c r="A8" s="446" t="s">
        <v>223</v>
      </c>
      <c r="B8" s="446" t="s">
        <v>516</v>
      </c>
      <c r="C8" s="446" t="s">
        <v>189</v>
      </c>
      <c r="D8" s="446" t="s">
        <v>239</v>
      </c>
      <c r="E8" s="446" t="s">
        <v>340</v>
      </c>
      <c r="F8" s="446" t="s">
        <v>341</v>
      </c>
      <c r="G8" s="446" t="s">
        <v>240</v>
      </c>
      <c r="H8" s="448"/>
      <c r="I8" s="446" t="s">
        <v>239</v>
      </c>
      <c r="J8" s="446" t="s">
        <v>340</v>
      </c>
      <c r="K8" s="446" t="s">
        <v>341</v>
      </c>
      <c r="L8" s="446" t="s">
        <v>240</v>
      </c>
      <c r="M8" s="446" t="s">
        <v>241</v>
      </c>
    </row>
    <row r="9" spans="1:13" ht="12.75">
      <c r="A9" s="447"/>
      <c r="B9" s="447"/>
      <c r="C9" s="447"/>
      <c r="D9" s="447" t="s">
        <v>276</v>
      </c>
      <c r="E9" s="447" t="s">
        <v>340</v>
      </c>
      <c r="F9" s="447"/>
      <c r="G9" s="447"/>
      <c r="H9" s="448"/>
      <c r="I9" s="447" t="s">
        <v>276</v>
      </c>
      <c r="J9" s="447" t="s">
        <v>340</v>
      </c>
      <c r="K9" s="447"/>
      <c r="L9" s="447"/>
      <c r="M9" s="447"/>
    </row>
    <row r="10" spans="1:13" ht="12.75">
      <c r="A10" s="301" t="s">
        <v>224</v>
      </c>
      <c r="B10" s="249">
        <f>+'Trial Balance'!A80</f>
        <v>1805</v>
      </c>
      <c r="C10" s="313" t="str">
        <f>+'Trial Balance'!B80</f>
        <v>Land</v>
      </c>
      <c r="D10" s="406">
        <v>311178.69</v>
      </c>
      <c r="E10" s="406"/>
      <c r="F10" s="406"/>
      <c r="G10" s="408">
        <f aca="true" t="shared" si="0" ref="G10:G46">D10+E10-F10</f>
        <v>311178.69</v>
      </c>
      <c r="H10" s="448"/>
      <c r="I10" s="406"/>
      <c r="J10" s="406"/>
      <c r="K10" s="406"/>
      <c r="L10" s="408">
        <f aca="true" t="shared" si="1" ref="L10:L46">I10+J10-K10</f>
        <v>0</v>
      </c>
      <c r="M10" s="408">
        <f aca="true" t="shared" si="2" ref="M10:M46">G10-L10</f>
        <v>311178.69</v>
      </c>
    </row>
    <row r="11" spans="1:13" ht="12.75">
      <c r="A11" s="301" t="s">
        <v>504</v>
      </c>
      <c r="B11" s="249">
        <f>+'Trial Balance'!A81</f>
        <v>1806</v>
      </c>
      <c r="C11" s="313" t="str">
        <f>+'Trial Balance'!B81</f>
        <v>Land Rights</v>
      </c>
      <c r="D11" s="406">
        <v>0</v>
      </c>
      <c r="E11" s="406"/>
      <c r="F11" s="406"/>
      <c r="G11" s="408">
        <f t="shared" si="0"/>
        <v>0</v>
      </c>
      <c r="H11" s="448"/>
      <c r="I11" s="406"/>
      <c r="J11" s="406"/>
      <c r="K11" s="406"/>
      <c r="L11" s="408">
        <f t="shared" si="1"/>
        <v>0</v>
      </c>
      <c r="M11" s="408">
        <f t="shared" si="2"/>
        <v>0</v>
      </c>
    </row>
    <row r="12" spans="1:13" ht="12.75">
      <c r="A12" s="301">
        <v>1</v>
      </c>
      <c r="B12" s="249">
        <f>+'Trial Balance'!A82</f>
        <v>1808</v>
      </c>
      <c r="C12" s="313" t="str">
        <f>+'Trial Balance'!B82</f>
        <v>Buildings and Fixtures</v>
      </c>
      <c r="D12" s="406">
        <v>767945.81</v>
      </c>
      <c r="E12" s="406"/>
      <c r="F12" s="406"/>
      <c r="G12" s="408">
        <f t="shared" si="0"/>
        <v>767945.81</v>
      </c>
      <c r="H12" s="448"/>
      <c r="I12" s="406">
        <v>199220.81</v>
      </c>
      <c r="J12" s="406">
        <v>13455</v>
      </c>
      <c r="K12" s="406"/>
      <c r="L12" s="408">
        <f t="shared" si="1"/>
        <v>212675.81</v>
      </c>
      <c r="M12" s="408">
        <f t="shared" si="2"/>
        <v>555270</v>
      </c>
    </row>
    <row r="13" spans="1:13" ht="12.75">
      <c r="A13" s="301"/>
      <c r="B13" s="249">
        <f>+'Trial Balance'!A83</f>
        <v>1810</v>
      </c>
      <c r="C13" s="313" t="str">
        <f>+'Trial Balance'!B83</f>
        <v>Leasehold Improvements</v>
      </c>
      <c r="D13" s="406">
        <v>0</v>
      </c>
      <c r="E13" s="406"/>
      <c r="F13" s="406"/>
      <c r="G13" s="408">
        <f t="shared" si="0"/>
        <v>0</v>
      </c>
      <c r="H13" s="448"/>
      <c r="I13" s="406"/>
      <c r="J13" s="406"/>
      <c r="K13" s="406"/>
      <c r="L13" s="408">
        <f t="shared" si="1"/>
        <v>0</v>
      </c>
      <c r="M13" s="408">
        <f t="shared" si="2"/>
        <v>0</v>
      </c>
    </row>
    <row r="14" spans="1:13" ht="12.75">
      <c r="A14" s="301"/>
      <c r="B14" s="249">
        <f>+'Trial Balance'!A84</f>
        <v>1815</v>
      </c>
      <c r="C14" s="313" t="str">
        <f>+'Trial Balance'!B84</f>
        <v>Transformer Station Equipment -  &gt; 50 kV</v>
      </c>
      <c r="D14" s="406">
        <v>0</v>
      </c>
      <c r="E14" s="406"/>
      <c r="F14" s="406"/>
      <c r="G14" s="408">
        <f t="shared" si="0"/>
        <v>0</v>
      </c>
      <c r="H14" s="448"/>
      <c r="I14" s="406"/>
      <c r="J14" s="406"/>
      <c r="K14" s="406"/>
      <c r="L14" s="408">
        <f t="shared" si="1"/>
        <v>0</v>
      </c>
      <c r="M14" s="408">
        <f t="shared" si="2"/>
        <v>0</v>
      </c>
    </row>
    <row r="15" spans="1:13" ht="12.75">
      <c r="A15" s="301">
        <v>1</v>
      </c>
      <c r="B15" s="249">
        <f>+'Trial Balance'!A85</f>
        <v>1820</v>
      </c>
      <c r="C15" s="313" t="str">
        <f>+'Trial Balance'!B85</f>
        <v>Distribution Station Equipment - &lt; 50 kV</v>
      </c>
      <c r="D15" s="406">
        <v>6349311.91</v>
      </c>
      <c r="E15" s="406">
        <f>38390.17+0.48</f>
        <v>38390.65</v>
      </c>
      <c r="F15" s="406"/>
      <c r="G15" s="408">
        <f t="shared" si="0"/>
        <v>6387702.5600000005</v>
      </c>
      <c r="H15" s="448"/>
      <c r="I15" s="406">
        <v>2260381.37</v>
      </c>
      <c r="J15" s="406">
        <v>143325.45</v>
      </c>
      <c r="K15" s="406"/>
      <c r="L15" s="408">
        <f t="shared" si="1"/>
        <v>2403706.8200000003</v>
      </c>
      <c r="M15" s="408">
        <f t="shared" si="2"/>
        <v>3983995.74</v>
      </c>
    </row>
    <row r="16" spans="1:13" ht="12.75">
      <c r="A16" s="301"/>
      <c r="B16" s="249">
        <f>+'Trial Balance'!A86</f>
        <v>1825</v>
      </c>
      <c r="C16" s="313" t="str">
        <f>+'Trial Balance'!B86</f>
        <v>Storage Battery Equipment</v>
      </c>
      <c r="D16" s="406">
        <v>0</v>
      </c>
      <c r="E16" s="406"/>
      <c r="F16" s="406"/>
      <c r="G16" s="408">
        <f t="shared" si="0"/>
        <v>0</v>
      </c>
      <c r="H16" s="448"/>
      <c r="I16" s="406"/>
      <c r="J16" s="406"/>
      <c r="K16" s="406"/>
      <c r="L16" s="408">
        <f t="shared" si="1"/>
        <v>0</v>
      </c>
      <c r="M16" s="408">
        <f t="shared" si="2"/>
        <v>0</v>
      </c>
    </row>
    <row r="17" spans="1:13" ht="12.75">
      <c r="A17" s="301">
        <v>1</v>
      </c>
      <c r="B17" s="249">
        <f>+'Trial Balance'!A87</f>
        <v>1830</v>
      </c>
      <c r="C17" s="313" t="str">
        <f>+'Trial Balance'!B87</f>
        <v>Poles, Towers and Fixtures</v>
      </c>
      <c r="D17" s="406">
        <v>12945158.91</v>
      </c>
      <c r="E17" s="406">
        <f>314731.09-0.26</f>
        <v>314730.83</v>
      </c>
      <c r="F17" s="406"/>
      <c r="G17" s="408">
        <f t="shared" si="0"/>
        <v>13259889.74</v>
      </c>
      <c r="H17" s="448"/>
      <c r="I17" s="406">
        <v>7064085.04</v>
      </c>
      <c r="J17" s="406">
        <f>443835.72-25900.17</f>
        <v>417935.55</v>
      </c>
      <c r="K17" s="406"/>
      <c r="L17" s="408">
        <f t="shared" si="1"/>
        <v>7482020.59</v>
      </c>
      <c r="M17" s="408">
        <f t="shared" si="2"/>
        <v>5777869.15</v>
      </c>
    </row>
    <row r="18" spans="1:13" ht="12.75">
      <c r="A18" s="301">
        <v>1</v>
      </c>
      <c r="B18" s="249">
        <f>+'Trial Balance'!A88</f>
        <v>1835</v>
      </c>
      <c r="C18" s="313" t="str">
        <f>+'Trial Balance'!B88</f>
        <v>Overhead Conductors and Devices</v>
      </c>
      <c r="D18" s="406">
        <v>9800851.06</v>
      </c>
      <c r="E18" s="406">
        <f>433088.939999999-0.37</f>
        <v>433088.569999999</v>
      </c>
      <c r="F18" s="406"/>
      <c r="G18" s="408">
        <f t="shared" si="0"/>
        <v>10233939.629999999</v>
      </c>
      <c r="H18" s="448"/>
      <c r="I18" s="406">
        <v>5226761.43</v>
      </c>
      <c r="J18" s="406">
        <f>338880.12-12079.42</f>
        <v>326800.7</v>
      </c>
      <c r="K18" s="406"/>
      <c r="L18" s="408">
        <f t="shared" si="1"/>
        <v>5553562.13</v>
      </c>
      <c r="M18" s="408">
        <f t="shared" si="2"/>
        <v>4680377.499999999</v>
      </c>
    </row>
    <row r="19" spans="1:13" ht="12.75">
      <c r="A19" s="301">
        <v>1</v>
      </c>
      <c r="B19" s="249">
        <f>+'Trial Balance'!A89</f>
        <v>1840</v>
      </c>
      <c r="C19" s="313" t="str">
        <f>+'Trial Balance'!B89</f>
        <v>Underground Conduit</v>
      </c>
      <c r="D19" s="406">
        <v>145034.76</v>
      </c>
      <c r="E19" s="406">
        <v>37068.13</v>
      </c>
      <c r="F19" s="406"/>
      <c r="G19" s="408">
        <f t="shared" si="0"/>
        <v>182102.89</v>
      </c>
      <c r="H19" s="448"/>
      <c r="I19" s="406">
        <v>14931.26</v>
      </c>
      <c r="J19" s="406">
        <v>7277.13</v>
      </c>
      <c r="K19" s="406"/>
      <c r="L19" s="408">
        <f t="shared" si="1"/>
        <v>22208.39</v>
      </c>
      <c r="M19" s="408">
        <f t="shared" si="2"/>
        <v>159894.5</v>
      </c>
    </row>
    <row r="20" spans="1:13" ht="12.75">
      <c r="A20" s="301">
        <v>1</v>
      </c>
      <c r="B20" s="249">
        <f>+'Trial Balance'!A90</f>
        <v>1845</v>
      </c>
      <c r="C20" s="313" t="str">
        <f>+'Trial Balance'!B90</f>
        <v>Underground Conductors and Devices</v>
      </c>
      <c r="D20" s="406">
        <v>5213825.2</v>
      </c>
      <c r="E20" s="406">
        <f>102949.8+0.49</f>
        <v>102950.29000000001</v>
      </c>
      <c r="F20" s="406"/>
      <c r="G20" s="408">
        <f t="shared" si="0"/>
        <v>5316775.49</v>
      </c>
      <c r="H20" s="448"/>
      <c r="I20" s="406">
        <v>2731479.71</v>
      </c>
      <c r="J20" s="406">
        <f>204742.08-13639.56</f>
        <v>191102.52</v>
      </c>
      <c r="K20" s="406"/>
      <c r="L20" s="408">
        <f t="shared" si="1"/>
        <v>2922582.23</v>
      </c>
      <c r="M20" s="408">
        <f t="shared" si="2"/>
        <v>2394193.2600000002</v>
      </c>
    </row>
    <row r="21" spans="1:15" ht="12.75">
      <c r="A21" s="301">
        <v>1</v>
      </c>
      <c r="B21" s="249">
        <f>+'Trial Balance'!A91</f>
        <v>1850</v>
      </c>
      <c r="C21" s="313" t="str">
        <f>+'Trial Balance'!B91</f>
        <v>Line Transformers</v>
      </c>
      <c r="D21" s="406">
        <v>10888734.13</v>
      </c>
      <c r="E21" s="406">
        <f>230226.87-5348.55-1.58</f>
        <v>224876.74000000002</v>
      </c>
      <c r="F21" s="406">
        <v>6916</v>
      </c>
      <c r="G21" s="408">
        <f t="shared" si="0"/>
        <v>11106694.870000001</v>
      </c>
      <c r="H21" s="448"/>
      <c r="I21" s="406">
        <f>3729111.8+2184493.94</f>
        <v>5913605.74</v>
      </c>
      <c r="J21" s="406">
        <f>221973.95+127115.73-29922.21-10677.08+6916</f>
        <v>315406.38999999996</v>
      </c>
      <c r="K21" s="406">
        <v>6916</v>
      </c>
      <c r="L21" s="408">
        <f t="shared" si="1"/>
        <v>6222096.13</v>
      </c>
      <c r="M21" s="408">
        <f t="shared" si="2"/>
        <v>4884598.740000001</v>
      </c>
      <c r="N21" s="310"/>
      <c r="O21" s="295"/>
    </row>
    <row r="22" spans="1:15" ht="12.75">
      <c r="A22" s="301">
        <v>1</v>
      </c>
      <c r="B22" s="249">
        <f>+'Trial Balance'!A92</f>
        <v>1855</v>
      </c>
      <c r="C22" s="313" t="str">
        <f>+'Trial Balance'!B92</f>
        <v>Services</v>
      </c>
      <c r="D22" s="406">
        <v>6737296.56</v>
      </c>
      <c r="E22" s="406">
        <f>460629.44-0.1</f>
        <v>460629.34</v>
      </c>
      <c r="F22" s="406"/>
      <c r="G22" s="408">
        <f t="shared" si="0"/>
        <v>7197925.899999999</v>
      </c>
      <c r="H22" s="448"/>
      <c r="I22" s="406">
        <f>1106044.58+1985365.93</f>
        <v>3091410.51</v>
      </c>
      <c r="J22" s="406">
        <f>93515.93+169234.92-7028.45</f>
        <v>255722.39999999997</v>
      </c>
      <c r="K22" s="406"/>
      <c r="L22" s="408">
        <f t="shared" si="1"/>
        <v>3347132.9099999997</v>
      </c>
      <c r="M22" s="408">
        <f t="shared" si="2"/>
        <v>3850792.9899999998</v>
      </c>
      <c r="O22" s="295"/>
    </row>
    <row r="23" spans="1:13" ht="12.75">
      <c r="A23" s="301">
        <v>1</v>
      </c>
      <c r="B23" s="249">
        <f>+'Trial Balance'!A93</f>
        <v>1860</v>
      </c>
      <c r="C23" s="313" t="str">
        <f>+'Trial Balance'!B93</f>
        <v>Meters</v>
      </c>
      <c r="D23" s="406">
        <v>2976826.46</v>
      </c>
      <c r="E23" s="406">
        <f>104590.54-0.57</f>
        <v>104589.96999999999</v>
      </c>
      <c r="F23" s="406"/>
      <c r="G23" s="408">
        <f t="shared" si="0"/>
        <v>3081416.43</v>
      </c>
      <c r="H23" s="448"/>
      <c r="I23" s="406">
        <v>1810456.5</v>
      </c>
      <c r="J23" s="406">
        <f>90878.43-6879.47</f>
        <v>83998.95999999999</v>
      </c>
      <c r="K23" s="406"/>
      <c r="L23" s="408">
        <f t="shared" si="1"/>
        <v>1894455.46</v>
      </c>
      <c r="M23" s="408">
        <f t="shared" si="2"/>
        <v>1186960.9700000002</v>
      </c>
    </row>
    <row r="24" spans="1:13" ht="12.75">
      <c r="A24" s="301"/>
      <c r="B24" s="249">
        <f>+'Trial Balance'!A94</f>
        <v>1865</v>
      </c>
      <c r="C24" s="313" t="str">
        <f>+'Trial Balance'!B94</f>
        <v>Other Installations on Customer's Premises</v>
      </c>
      <c r="D24" s="406">
        <v>0</v>
      </c>
      <c r="E24" s="406"/>
      <c r="F24" s="406"/>
      <c r="G24" s="408">
        <f t="shared" si="0"/>
        <v>0</v>
      </c>
      <c r="H24" s="448"/>
      <c r="I24" s="406"/>
      <c r="J24" s="406"/>
      <c r="K24" s="406"/>
      <c r="L24" s="408">
        <f t="shared" si="1"/>
        <v>0</v>
      </c>
      <c r="M24" s="408">
        <f t="shared" si="2"/>
        <v>0</v>
      </c>
    </row>
    <row r="25" spans="1:13" ht="12.75">
      <c r="A25" s="301" t="s">
        <v>224</v>
      </c>
      <c r="B25" s="249">
        <f>+'Trial Balance'!A95</f>
        <v>1905</v>
      </c>
      <c r="C25" s="313" t="str">
        <f>+'Trial Balance'!B95</f>
        <v>Land</v>
      </c>
      <c r="D25" s="406">
        <v>183504.53</v>
      </c>
      <c r="E25" s="406"/>
      <c r="F25" s="406">
        <v>96954.02</v>
      </c>
      <c r="G25" s="408">
        <f t="shared" si="0"/>
        <v>86550.51</v>
      </c>
      <c r="H25" s="448"/>
      <c r="I25" s="406"/>
      <c r="J25" s="406"/>
      <c r="K25" s="406"/>
      <c r="L25" s="408">
        <f t="shared" si="1"/>
        <v>0</v>
      </c>
      <c r="M25" s="408">
        <f t="shared" si="2"/>
        <v>86550.51</v>
      </c>
    </row>
    <row r="26" spans="1:13" ht="12.75">
      <c r="A26" s="301" t="s">
        <v>504</v>
      </c>
      <c r="B26" s="249">
        <f>+'Trial Balance'!A96</f>
        <v>1906</v>
      </c>
      <c r="C26" s="313" t="str">
        <f>+'Trial Balance'!B96</f>
        <v>Land Rights</v>
      </c>
      <c r="D26" s="406">
        <v>0</v>
      </c>
      <c r="E26" s="406"/>
      <c r="F26" s="406"/>
      <c r="G26" s="408">
        <f t="shared" si="0"/>
        <v>0</v>
      </c>
      <c r="H26" s="448"/>
      <c r="I26" s="406"/>
      <c r="J26" s="406"/>
      <c r="K26" s="406"/>
      <c r="L26" s="408">
        <f t="shared" si="1"/>
        <v>0</v>
      </c>
      <c r="M26" s="408">
        <f t="shared" si="2"/>
        <v>0</v>
      </c>
    </row>
    <row r="27" spans="1:15" ht="12.75">
      <c r="A27" s="301">
        <v>1</v>
      </c>
      <c r="B27" s="249">
        <f>+'Trial Balance'!A97</f>
        <v>1908</v>
      </c>
      <c r="C27" s="313" t="str">
        <f>+'Trial Balance'!B97</f>
        <v>Buildings and Fixtures</v>
      </c>
      <c r="D27" s="406">
        <v>2527908.41</v>
      </c>
      <c r="E27" s="406">
        <f>2063.5-0.48</f>
        <v>2063.02</v>
      </c>
      <c r="F27" s="406">
        <v>1091909</v>
      </c>
      <c r="G27" s="408">
        <f t="shared" si="0"/>
        <v>1438062.4300000002</v>
      </c>
      <c r="H27" s="448"/>
      <c r="I27" s="406">
        <f>700231.6+27251.98</f>
        <v>727483.58</v>
      </c>
      <c r="J27" s="406">
        <v>70940.34</v>
      </c>
      <c r="K27" s="406">
        <v>40874.98</v>
      </c>
      <c r="L27" s="408">
        <f t="shared" si="1"/>
        <v>757548.94</v>
      </c>
      <c r="M27" s="408">
        <f t="shared" si="2"/>
        <v>680513.4900000002</v>
      </c>
      <c r="N27" s="310"/>
      <c r="O27" s="310"/>
    </row>
    <row r="28" spans="1:15" ht="12.75">
      <c r="A28" s="301"/>
      <c r="B28" s="249">
        <f>+'Trial Balance'!A98</f>
        <v>1910</v>
      </c>
      <c r="C28" s="313" t="str">
        <f>+'Trial Balance'!B98</f>
        <v>Leasehold Improvements</v>
      </c>
      <c r="D28" s="406">
        <v>0</v>
      </c>
      <c r="E28" s="406"/>
      <c r="F28" s="406"/>
      <c r="G28" s="408">
        <f t="shared" si="0"/>
        <v>0</v>
      </c>
      <c r="H28" s="448"/>
      <c r="I28" s="406"/>
      <c r="J28" s="406"/>
      <c r="K28" s="406"/>
      <c r="L28" s="408">
        <f t="shared" si="1"/>
        <v>0</v>
      </c>
      <c r="M28" s="408">
        <f t="shared" si="2"/>
        <v>0</v>
      </c>
      <c r="N28" s="310"/>
      <c r="O28" s="310"/>
    </row>
    <row r="29" spans="1:15" ht="12.75">
      <c r="A29" s="301">
        <v>8</v>
      </c>
      <c r="B29" s="249">
        <f>+'Trial Balance'!A99</f>
        <v>1915</v>
      </c>
      <c r="C29" s="313" t="str">
        <f>+'Trial Balance'!B99</f>
        <v>Office Furniture and Equipment</v>
      </c>
      <c r="D29" s="406">
        <v>256678.3</v>
      </c>
      <c r="E29" s="406">
        <v>12637.25</v>
      </c>
      <c r="F29" s="406"/>
      <c r="G29" s="408">
        <f t="shared" si="0"/>
        <v>269315.55</v>
      </c>
      <c r="H29" s="448"/>
      <c r="I29" s="406">
        <v>231940.3</v>
      </c>
      <c r="J29" s="406">
        <v>9551.25</v>
      </c>
      <c r="K29" s="406"/>
      <c r="L29" s="408">
        <f t="shared" si="1"/>
        <v>241491.55</v>
      </c>
      <c r="M29" s="408">
        <f t="shared" si="2"/>
        <v>27824</v>
      </c>
      <c r="N29" s="310"/>
      <c r="O29" s="310"/>
    </row>
    <row r="30" spans="1:15" ht="12.75">
      <c r="A30" s="301">
        <v>45</v>
      </c>
      <c r="B30" s="249">
        <f>+'Trial Balance'!A100</f>
        <v>1920</v>
      </c>
      <c r="C30" s="313" t="str">
        <f>+'Trial Balance'!B100</f>
        <v>Computer Equipment - Hardware</v>
      </c>
      <c r="D30" s="406">
        <v>329599.83</v>
      </c>
      <c r="E30" s="406">
        <v>18554.97</v>
      </c>
      <c r="F30" s="406"/>
      <c r="G30" s="408">
        <f t="shared" si="0"/>
        <v>348154.80000000005</v>
      </c>
      <c r="H30" s="448"/>
      <c r="I30" s="406">
        <v>263019.15</v>
      </c>
      <c r="J30" s="406">
        <f>32127-4889.03</f>
        <v>27237.97</v>
      </c>
      <c r="K30" s="406"/>
      <c r="L30" s="408">
        <f t="shared" si="1"/>
        <v>290257.12</v>
      </c>
      <c r="M30" s="408">
        <f t="shared" si="2"/>
        <v>57897.68000000005</v>
      </c>
      <c r="N30" s="310"/>
      <c r="O30" s="310"/>
    </row>
    <row r="31" spans="1:13" ht="12.75">
      <c r="A31" s="301">
        <v>12</v>
      </c>
      <c r="B31" s="249">
        <f>+'Trial Balance'!A101</f>
        <v>1925</v>
      </c>
      <c r="C31" s="313" t="str">
        <f>+'Trial Balance'!B101</f>
        <v>Computer Software</v>
      </c>
      <c r="D31" s="406">
        <v>776881.94</v>
      </c>
      <c r="E31" s="406">
        <f>5741.06000000005+0.23</f>
        <v>5741.29000000005</v>
      </c>
      <c r="F31" s="406"/>
      <c r="G31" s="408">
        <f t="shared" si="0"/>
        <v>782623.23</v>
      </c>
      <c r="H31" s="448"/>
      <c r="I31" s="406">
        <v>743081.42</v>
      </c>
      <c r="J31" s="406">
        <f>21393-5150.71</f>
        <v>16242.29</v>
      </c>
      <c r="K31" s="406"/>
      <c r="L31" s="408">
        <f t="shared" si="1"/>
        <v>759323.7100000001</v>
      </c>
      <c r="M31" s="408">
        <f t="shared" si="2"/>
        <v>23299.519999999902</v>
      </c>
    </row>
    <row r="32" spans="1:13" ht="12.75">
      <c r="A32" s="301">
        <v>10</v>
      </c>
      <c r="B32" s="249">
        <f>+'Trial Balance'!A102</f>
        <v>1930</v>
      </c>
      <c r="C32" s="313" t="str">
        <f>+'Trial Balance'!B102</f>
        <v>Transportation Equipment</v>
      </c>
      <c r="D32" s="406">
        <v>2028221.93</v>
      </c>
      <c r="E32" s="406">
        <f>53788.3+0.4</f>
        <v>53788.700000000004</v>
      </c>
      <c r="F32" s="406">
        <v>226468.96</v>
      </c>
      <c r="G32" s="408">
        <f t="shared" si="0"/>
        <v>1855541.67</v>
      </c>
      <c r="H32" s="448"/>
      <c r="I32" s="406">
        <v>1784996.96</v>
      </c>
      <c r="J32" s="406">
        <v>96315.81</v>
      </c>
      <c r="K32" s="406">
        <v>226469.46</v>
      </c>
      <c r="L32" s="408">
        <f t="shared" si="1"/>
        <v>1654843.31</v>
      </c>
      <c r="M32" s="408">
        <f t="shared" si="2"/>
        <v>200698.35999999987</v>
      </c>
    </row>
    <row r="33" spans="1:13" ht="12.75">
      <c r="A33" s="301">
        <v>10</v>
      </c>
      <c r="B33" s="249">
        <f>+'Trial Balance'!A103</f>
        <v>1935</v>
      </c>
      <c r="C33" s="313" t="str">
        <f>+'Trial Balance'!B103</f>
        <v>Stores Equipment</v>
      </c>
      <c r="D33" s="406">
        <v>75195.87</v>
      </c>
      <c r="E33" s="406"/>
      <c r="F33" s="406"/>
      <c r="G33" s="408">
        <f t="shared" si="0"/>
        <v>75195.87</v>
      </c>
      <c r="H33" s="448"/>
      <c r="I33" s="406">
        <v>59215.98</v>
      </c>
      <c r="J33" s="406">
        <v>4116.84</v>
      </c>
      <c r="K33" s="406"/>
      <c r="L33" s="408">
        <f t="shared" si="1"/>
        <v>63332.82000000001</v>
      </c>
      <c r="M33" s="408">
        <f t="shared" si="2"/>
        <v>11863.049999999988</v>
      </c>
    </row>
    <row r="34" spans="1:13" ht="12.75">
      <c r="A34" s="301">
        <v>8</v>
      </c>
      <c r="B34" s="249">
        <f>+'Trial Balance'!A104</f>
        <v>1940</v>
      </c>
      <c r="C34" s="313" t="str">
        <f>+'Trial Balance'!B104</f>
        <v>Tools, Shop and Garage Equipment</v>
      </c>
      <c r="D34" s="406">
        <v>852302.21</v>
      </c>
      <c r="E34" s="406">
        <f>30157.79-0.17</f>
        <v>30157.620000000003</v>
      </c>
      <c r="F34" s="406"/>
      <c r="G34" s="408">
        <f t="shared" si="0"/>
        <v>882459.83</v>
      </c>
      <c r="H34" s="448"/>
      <c r="I34" s="406">
        <v>804254.21</v>
      </c>
      <c r="J34" s="406">
        <f>18416.04-2036.42</f>
        <v>16379.62</v>
      </c>
      <c r="K34" s="406"/>
      <c r="L34" s="408">
        <f t="shared" si="1"/>
        <v>820633.83</v>
      </c>
      <c r="M34" s="408">
        <f t="shared" si="2"/>
        <v>61826</v>
      </c>
    </row>
    <row r="35" spans="1:13" ht="12.75">
      <c r="A35" s="301"/>
      <c r="B35" s="249">
        <f>+'Trial Balance'!A105</f>
        <v>1945</v>
      </c>
      <c r="C35" s="313" t="str">
        <f>+'Trial Balance'!B105</f>
        <v>Measurement and Testing Equipment</v>
      </c>
      <c r="D35" s="406">
        <v>0</v>
      </c>
      <c r="E35" s="406"/>
      <c r="F35" s="406"/>
      <c r="G35" s="408">
        <f t="shared" si="0"/>
        <v>0</v>
      </c>
      <c r="H35" s="448"/>
      <c r="I35" s="406"/>
      <c r="J35" s="406"/>
      <c r="K35" s="406"/>
      <c r="L35" s="408">
        <f t="shared" si="1"/>
        <v>0</v>
      </c>
      <c r="M35" s="408">
        <f t="shared" si="2"/>
        <v>0</v>
      </c>
    </row>
    <row r="36" spans="1:13" ht="12.75">
      <c r="A36" s="301"/>
      <c r="B36" s="249">
        <f>+'Trial Balance'!A106</f>
        <v>1950</v>
      </c>
      <c r="C36" s="313" t="str">
        <f>+'Trial Balance'!B106</f>
        <v>Power Operated Equipment</v>
      </c>
      <c r="D36" s="406">
        <v>0</v>
      </c>
      <c r="E36" s="406"/>
      <c r="F36" s="406"/>
      <c r="G36" s="408">
        <f t="shared" si="0"/>
        <v>0</v>
      </c>
      <c r="H36" s="448"/>
      <c r="I36" s="406"/>
      <c r="J36" s="406"/>
      <c r="K36" s="406"/>
      <c r="L36" s="408">
        <f t="shared" si="1"/>
        <v>0</v>
      </c>
      <c r="M36" s="408">
        <f t="shared" si="2"/>
        <v>0</v>
      </c>
    </row>
    <row r="37" spans="1:13" ht="12.75">
      <c r="A37" s="301">
        <v>10</v>
      </c>
      <c r="B37" s="249">
        <f>+'Trial Balance'!A107</f>
        <v>1955</v>
      </c>
      <c r="C37" s="313" t="str">
        <f>+'Trial Balance'!B107</f>
        <v>Communication Equipment</v>
      </c>
      <c r="D37" s="406">
        <v>76476.15</v>
      </c>
      <c r="E37" s="406"/>
      <c r="F37" s="406"/>
      <c r="G37" s="408">
        <f t="shared" si="0"/>
        <v>76476.15</v>
      </c>
      <c r="H37" s="448"/>
      <c r="I37" s="406">
        <v>18753.29</v>
      </c>
      <c r="J37" s="406">
        <v>7647.62</v>
      </c>
      <c r="K37" s="406"/>
      <c r="L37" s="408">
        <f t="shared" si="1"/>
        <v>26400.91</v>
      </c>
      <c r="M37" s="408">
        <f t="shared" si="2"/>
        <v>50075.23999999999</v>
      </c>
    </row>
    <row r="38" spans="1:13" ht="12.75">
      <c r="A38" s="301"/>
      <c r="B38" s="249">
        <f>+'Trial Balance'!A108</f>
        <v>1960</v>
      </c>
      <c r="C38" s="313" t="str">
        <f>+'Trial Balance'!B108</f>
        <v>Miscellaneous Equipment</v>
      </c>
      <c r="D38" s="406">
        <v>0</v>
      </c>
      <c r="E38" s="406"/>
      <c r="F38" s="406"/>
      <c r="G38" s="408">
        <f t="shared" si="0"/>
        <v>0</v>
      </c>
      <c r="H38" s="448"/>
      <c r="I38" s="406"/>
      <c r="J38" s="406"/>
      <c r="K38" s="406"/>
      <c r="L38" s="408">
        <f t="shared" si="1"/>
        <v>0</v>
      </c>
      <c r="M38" s="408">
        <f t="shared" si="2"/>
        <v>0</v>
      </c>
    </row>
    <row r="39" spans="1:13" ht="12.75">
      <c r="A39" s="301"/>
      <c r="B39" s="249">
        <f>+'Trial Balance'!A109</f>
        <v>1970</v>
      </c>
      <c r="C39" s="313" t="str">
        <f>+'Trial Balance'!B109</f>
        <v>Load Management Controls - Customer Premises </v>
      </c>
      <c r="D39" s="406">
        <v>403930.62</v>
      </c>
      <c r="E39" s="406"/>
      <c r="F39" s="406"/>
      <c r="G39" s="408">
        <f t="shared" si="0"/>
        <v>403930.62</v>
      </c>
      <c r="H39" s="448"/>
      <c r="I39" s="406">
        <v>395777.79</v>
      </c>
      <c r="J39" s="406">
        <v>7472.04</v>
      </c>
      <c r="K39" s="406"/>
      <c r="L39" s="408">
        <f t="shared" si="1"/>
        <v>403249.82999999996</v>
      </c>
      <c r="M39" s="408">
        <f t="shared" si="2"/>
        <v>680.7900000000373</v>
      </c>
    </row>
    <row r="40" spans="1:13" ht="12.75">
      <c r="A40" s="301"/>
      <c r="B40" s="249">
        <f>+'Trial Balance'!A110</f>
        <v>1975</v>
      </c>
      <c r="C40" s="313" t="str">
        <f>+'Trial Balance'!B110</f>
        <v>Load Management Controls - Utility Premises</v>
      </c>
      <c r="D40" s="406">
        <v>165151.45</v>
      </c>
      <c r="E40" s="406"/>
      <c r="F40" s="406"/>
      <c r="G40" s="408">
        <f t="shared" si="0"/>
        <v>165151.45</v>
      </c>
      <c r="H40" s="448"/>
      <c r="I40" s="406">
        <v>156471.45</v>
      </c>
      <c r="J40" s="406">
        <v>5679.96</v>
      </c>
      <c r="K40" s="406"/>
      <c r="L40" s="408">
        <f t="shared" si="1"/>
        <v>162151.41</v>
      </c>
      <c r="M40" s="408">
        <f t="shared" si="2"/>
        <v>3000.040000000008</v>
      </c>
    </row>
    <row r="41" spans="1:13" ht="12.75">
      <c r="A41" s="301"/>
      <c r="B41" s="249">
        <f>+'Trial Balance'!A111</f>
        <v>1980</v>
      </c>
      <c r="C41" s="313" t="str">
        <f>+'Trial Balance'!B111</f>
        <v>System Supervisory Equipment</v>
      </c>
      <c r="D41" s="406">
        <v>941625.33</v>
      </c>
      <c r="E41" s="406"/>
      <c r="F41" s="406"/>
      <c r="G41" s="408">
        <f t="shared" si="0"/>
        <v>941625.33</v>
      </c>
      <c r="H41" s="448"/>
      <c r="I41" s="406">
        <v>458200.33</v>
      </c>
      <c r="J41" s="406">
        <f>63681.96-899.96</f>
        <v>62782</v>
      </c>
      <c r="K41" s="406"/>
      <c r="L41" s="408">
        <f t="shared" si="1"/>
        <v>520982.33</v>
      </c>
      <c r="M41" s="408">
        <f t="shared" si="2"/>
        <v>420642.99999999994</v>
      </c>
    </row>
    <row r="42" spans="1:13" ht="12.75">
      <c r="A42" s="301"/>
      <c r="B42" s="249">
        <f>+'Trial Balance'!A112</f>
        <v>1985</v>
      </c>
      <c r="C42" s="313" t="str">
        <f>+'Trial Balance'!B112</f>
        <v>Sentinel Lighting Rentals</v>
      </c>
      <c r="D42" s="406">
        <v>0</v>
      </c>
      <c r="E42" s="406"/>
      <c r="F42" s="406"/>
      <c r="G42" s="408">
        <f t="shared" si="0"/>
        <v>0</v>
      </c>
      <c r="H42" s="448"/>
      <c r="I42" s="406"/>
      <c r="J42" s="406"/>
      <c r="K42" s="406"/>
      <c r="L42" s="408">
        <f t="shared" si="1"/>
        <v>0</v>
      </c>
      <c r="M42" s="408">
        <f t="shared" si="2"/>
        <v>0</v>
      </c>
    </row>
    <row r="43" spans="1:13" ht="12.75">
      <c r="A43" s="301"/>
      <c r="B43" s="249">
        <f>+'Trial Balance'!A113</f>
        <v>1990</v>
      </c>
      <c r="C43" s="313" t="str">
        <f>+'Trial Balance'!B113</f>
        <v>Other Tangible Property</v>
      </c>
      <c r="D43" s="406">
        <v>0</v>
      </c>
      <c r="E43" s="406"/>
      <c r="F43" s="406"/>
      <c r="G43" s="408">
        <f t="shared" si="0"/>
        <v>0</v>
      </c>
      <c r="H43" s="448"/>
      <c r="I43" s="406"/>
      <c r="J43" s="406"/>
      <c r="K43" s="406"/>
      <c r="L43" s="408">
        <f t="shared" si="1"/>
        <v>0</v>
      </c>
      <c r="M43" s="408">
        <f t="shared" si="2"/>
        <v>0</v>
      </c>
    </row>
    <row r="44" spans="1:13" ht="12.75">
      <c r="A44" s="301">
        <v>1</v>
      </c>
      <c r="B44" s="249">
        <f>+'Trial Balance'!A114</f>
        <v>1995</v>
      </c>
      <c r="C44" s="313" t="str">
        <f>+'Trial Balance'!B114</f>
        <v>Contributions and Grants</v>
      </c>
      <c r="D44" s="406">
        <v>-1670694.78</v>
      </c>
      <c r="E44" s="406">
        <f>-130925.99</f>
        <v>-130925.99</v>
      </c>
      <c r="F44" s="406"/>
      <c r="G44" s="408">
        <f t="shared" si="0"/>
        <v>-1801620.77</v>
      </c>
      <c r="H44" s="448"/>
      <c r="I44" s="406">
        <v>-166940.27</v>
      </c>
      <c r="J44" s="406">
        <v>-93254.99</v>
      </c>
      <c r="K44" s="406"/>
      <c r="L44" s="408">
        <f t="shared" si="1"/>
        <v>-260195.26</v>
      </c>
      <c r="M44" s="408">
        <f t="shared" si="2"/>
        <v>-1541425.51</v>
      </c>
    </row>
    <row r="45" spans="1:13" ht="12.75">
      <c r="A45" s="301"/>
      <c r="B45" s="249"/>
      <c r="C45" s="313"/>
      <c r="D45" s="406"/>
      <c r="E45" s="406"/>
      <c r="F45" s="406"/>
      <c r="G45" s="408">
        <f t="shared" si="0"/>
        <v>0</v>
      </c>
      <c r="H45" s="448"/>
      <c r="I45" s="406"/>
      <c r="J45" s="406"/>
      <c r="K45" s="406"/>
      <c r="L45" s="408">
        <f t="shared" si="1"/>
        <v>0</v>
      </c>
      <c r="M45" s="408">
        <f t="shared" si="2"/>
        <v>0</v>
      </c>
    </row>
    <row r="46" spans="1:13" ht="12.75">
      <c r="A46" s="301"/>
      <c r="B46" s="249"/>
      <c r="C46" s="313"/>
      <c r="D46" s="406"/>
      <c r="E46" s="406"/>
      <c r="F46" s="406"/>
      <c r="G46" s="408">
        <f t="shared" si="0"/>
        <v>0</v>
      </c>
      <c r="H46" s="448"/>
      <c r="I46" s="406"/>
      <c r="J46" s="406"/>
      <c r="K46" s="406"/>
      <c r="L46" s="408">
        <f t="shared" si="1"/>
        <v>0</v>
      </c>
      <c r="M46" s="408">
        <f t="shared" si="2"/>
        <v>0</v>
      </c>
    </row>
    <row r="47" spans="1:13" ht="12.75">
      <c r="A47" s="301"/>
      <c r="B47" s="251"/>
      <c r="C47" s="258" t="s">
        <v>242</v>
      </c>
      <c r="D47" s="407">
        <f>SUM(D10:D46)</f>
        <v>63082945.279999994</v>
      </c>
      <c r="E47" s="407">
        <f>SUM(E10:E46)</f>
        <v>1708341.3799999994</v>
      </c>
      <c r="F47" s="407">
        <f>SUM(F10:F46)</f>
        <v>1422247.98</v>
      </c>
      <c r="G47" s="407">
        <f>SUM(G10:G46)</f>
        <v>63369038.679999985</v>
      </c>
      <c r="H47" s="448"/>
      <c r="I47" s="407">
        <f>SUM(I10:I46)</f>
        <v>33788586.559999995</v>
      </c>
      <c r="J47" s="407">
        <f>SUM(J10:J46)</f>
        <v>1986134.85</v>
      </c>
      <c r="K47" s="407">
        <f>SUM(K10:K46)</f>
        <v>274260.44</v>
      </c>
      <c r="L47" s="407">
        <f>SUM(L10:L46)</f>
        <v>35500460.97</v>
      </c>
      <c r="M47" s="407">
        <f>SUM(M10:M46)</f>
        <v>27868577.709999993</v>
      </c>
    </row>
    <row r="48" spans="1:13" ht="12.75">
      <c r="A48" s="301"/>
      <c r="B48" s="251"/>
      <c r="C48" s="250"/>
      <c r="D48" s="408"/>
      <c r="E48" s="408"/>
      <c r="F48" s="408"/>
      <c r="G48" s="408"/>
      <c r="H48" s="448"/>
      <c r="I48" s="408"/>
      <c r="J48" s="408"/>
      <c r="K48" s="408"/>
      <c r="L48" s="408"/>
      <c r="M48" s="408"/>
    </row>
    <row r="49" spans="1:13" ht="12.75">
      <c r="A49" s="301" t="s">
        <v>225</v>
      </c>
      <c r="B49" s="251"/>
      <c r="C49" s="250" t="s">
        <v>277</v>
      </c>
      <c r="D49" s="406">
        <v>0</v>
      </c>
      <c r="E49" s="406"/>
      <c r="F49" s="406"/>
      <c r="G49" s="408">
        <f>D49+E49-F49</f>
        <v>0</v>
      </c>
      <c r="H49" s="448"/>
      <c r="I49" s="406">
        <v>0</v>
      </c>
      <c r="J49" s="406">
        <v>0</v>
      </c>
      <c r="K49" s="406">
        <v>0</v>
      </c>
      <c r="L49" s="408">
        <f>I49+J49-K49</f>
        <v>0</v>
      </c>
      <c r="M49" s="408">
        <f>G49-L49</f>
        <v>0</v>
      </c>
    </row>
    <row r="50" spans="1:13" ht="13.5" thickBot="1">
      <c r="A50" s="301"/>
      <c r="B50" s="251"/>
      <c r="C50" s="258" t="s">
        <v>243</v>
      </c>
      <c r="D50" s="407">
        <f>SUM(D47:D49)</f>
        <v>63082945.279999994</v>
      </c>
      <c r="E50" s="407">
        <f>SUM(E47:E49)</f>
        <v>1708341.3799999994</v>
      </c>
      <c r="F50" s="407">
        <f>SUM(F47:F49)</f>
        <v>1422247.98</v>
      </c>
      <c r="G50" s="407">
        <f>SUM(G47:G49)</f>
        <v>63369038.679999985</v>
      </c>
      <c r="H50" s="449"/>
      <c r="I50" s="407">
        <f>SUM(I47:I49)</f>
        <v>33788586.559999995</v>
      </c>
      <c r="J50" s="407">
        <f>SUM(J47:J49)</f>
        <v>1986134.85</v>
      </c>
      <c r="K50" s="407">
        <f>SUM(K47:K49)</f>
        <v>274260.44</v>
      </c>
      <c r="L50" s="407">
        <f>SUM(L47:L49)</f>
        <v>35500460.97</v>
      </c>
      <c r="M50" s="407">
        <f>SUM(M47:M49)</f>
        <v>27868577.709999993</v>
      </c>
    </row>
    <row r="51" spans="1:13" ht="13.5" thickTop="1">
      <c r="A51" s="253"/>
      <c r="D51" s="241"/>
      <c r="E51" s="241"/>
      <c r="F51" s="241"/>
      <c r="G51" s="241"/>
      <c r="H51" s="237"/>
      <c r="I51" s="237"/>
      <c r="J51" s="237"/>
      <c r="K51" s="237"/>
      <c r="L51" s="237"/>
      <c r="M51" s="237"/>
    </row>
    <row r="52" spans="1:13" ht="12.75">
      <c r="A52" s="253"/>
      <c r="D52" s="241"/>
      <c r="E52" s="241"/>
      <c r="F52" s="241"/>
      <c r="G52" s="241"/>
      <c r="H52" s="445"/>
      <c r="I52" s="445"/>
      <c r="J52" s="445"/>
      <c r="K52" s="370"/>
      <c r="L52" s="370"/>
      <c r="M52" s="237"/>
    </row>
    <row r="53" spans="1:13" ht="12.75">
      <c r="A53" s="314">
        <v>10</v>
      </c>
      <c r="B53" s="249">
        <f>B33</f>
        <v>1935</v>
      </c>
      <c r="C53" s="250" t="s">
        <v>279</v>
      </c>
      <c r="D53" s="241"/>
      <c r="E53" s="241"/>
      <c r="F53" s="241"/>
      <c r="G53" s="241"/>
      <c r="H53" s="445"/>
      <c r="I53" s="445"/>
      <c r="J53" s="372"/>
      <c r="K53" s="370"/>
      <c r="L53" s="370"/>
      <c r="M53" s="237"/>
    </row>
    <row r="54" spans="1:13" ht="12.75">
      <c r="A54" s="314">
        <v>10</v>
      </c>
      <c r="B54" s="249">
        <v>1955</v>
      </c>
      <c r="C54" s="250" t="s">
        <v>660</v>
      </c>
      <c r="E54" s="380"/>
      <c r="H54" s="445"/>
      <c r="I54" s="445"/>
      <c r="J54" s="372"/>
      <c r="K54" s="370"/>
      <c r="L54" s="370"/>
      <c r="M54" s="237"/>
    </row>
    <row r="55" spans="5:13" ht="12.75">
      <c r="E55" s="380"/>
      <c r="H55" s="445"/>
      <c r="I55" s="445"/>
      <c r="J55" s="372"/>
      <c r="K55" s="370"/>
      <c r="L55" s="372"/>
      <c r="M55" s="237"/>
    </row>
    <row r="56" spans="8:13" ht="12.75">
      <c r="H56" s="370"/>
      <c r="I56" s="370"/>
      <c r="J56" s="370"/>
      <c r="K56" s="370"/>
      <c r="L56" s="370"/>
      <c r="M56" s="237"/>
    </row>
    <row r="57" spans="8:13" ht="12.75">
      <c r="H57" s="370"/>
      <c r="I57" s="370"/>
      <c r="J57" s="379"/>
      <c r="K57" s="370"/>
      <c r="L57" s="370"/>
      <c r="M57" s="237"/>
    </row>
    <row r="58" spans="8:13" ht="12.75">
      <c r="H58" s="370"/>
      <c r="I58" s="370"/>
      <c r="J58" s="379"/>
      <c r="K58" s="370"/>
      <c r="L58" s="370"/>
      <c r="M58" s="237"/>
    </row>
    <row r="59" spans="8:13" ht="12.75">
      <c r="H59" s="370"/>
      <c r="I59" s="370"/>
      <c r="J59" s="370"/>
      <c r="K59" s="370"/>
      <c r="L59" s="370"/>
      <c r="M59" s="237"/>
    </row>
    <row r="60" spans="8:13" ht="12.75">
      <c r="H60" s="370"/>
      <c r="I60" s="370"/>
      <c r="J60" s="370"/>
      <c r="K60" s="370"/>
      <c r="L60" s="370"/>
      <c r="M60" s="237"/>
    </row>
    <row r="61" spans="4:13" ht="12.75">
      <c r="D61" s="336"/>
      <c r="E61" s="241"/>
      <c r="F61" s="241"/>
      <c r="G61" s="241"/>
      <c r="H61" s="370"/>
      <c r="I61" s="373"/>
      <c r="J61" s="374"/>
      <c r="K61" s="374"/>
      <c r="L61" s="374"/>
      <c r="M61" s="237"/>
    </row>
    <row r="62" spans="3:13" ht="12.75">
      <c r="C62" s="235"/>
      <c r="D62" s="336"/>
      <c r="E62" s="241"/>
      <c r="F62" s="241"/>
      <c r="G62" s="241"/>
      <c r="H62" s="370"/>
      <c r="I62" s="373"/>
      <c r="J62" s="374"/>
      <c r="K62" s="374"/>
      <c r="L62" s="374"/>
      <c r="M62" s="238"/>
    </row>
    <row r="63" spans="3:13" ht="12.75">
      <c r="C63" s="235"/>
      <c r="D63" s="336"/>
      <c r="E63" s="241"/>
      <c r="F63" s="241"/>
      <c r="G63" s="241"/>
      <c r="H63" s="370"/>
      <c r="I63" s="373"/>
      <c r="J63" s="374"/>
      <c r="K63" s="374"/>
      <c r="L63" s="374"/>
      <c r="M63" s="238"/>
    </row>
    <row r="64" spans="3:13" ht="12.75">
      <c r="C64" s="235"/>
      <c r="D64" s="336"/>
      <c r="E64" s="236"/>
      <c r="F64" s="236"/>
      <c r="G64" s="241"/>
      <c r="H64" s="370"/>
      <c r="I64" s="373"/>
      <c r="J64" s="375"/>
      <c r="K64" s="375"/>
      <c r="L64" s="374"/>
      <c r="M64" s="238"/>
    </row>
    <row r="65" spans="3:13" ht="12.75">
      <c r="C65" s="235"/>
      <c r="D65" s="241"/>
      <c r="E65" s="241"/>
      <c r="F65" s="241"/>
      <c r="G65" s="241"/>
      <c r="H65" s="370"/>
      <c r="I65" s="376"/>
      <c r="J65" s="376"/>
      <c r="K65" s="376"/>
      <c r="L65" s="376"/>
      <c r="M65" s="238"/>
    </row>
    <row r="66" spans="4:12" ht="12.75">
      <c r="D66" s="336"/>
      <c r="E66" s="241"/>
      <c r="F66" s="241"/>
      <c r="G66" s="241"/>
      <c r="H66" s="370"/>
      <c r="I66" s="370"/>
      <c r="J66" s="370"/>
      <c r="K66" s="370"/>
      <c r="L66" s="370"/>
    </row>
    <row r="67" spans="4:7" ht="12.75">
      <c r="D67" s="336"/>
      <c r="E67" s="241"/>
      <c r="F67" s="241"/>
      <c r="G67" s="241"/>
    </row>
    <row r="68" spans="4:7" ht="12.75">
      <c r="D68" s="336"/>
      <c r="E68" s="241"/>
      <c r="F68" s="241"/>
      <c r="G68" s="241"/>
    </row>
    <row r="69" spans="4:7" ht="12.75">
      <c r="D69" s="336"/>
      <c r="E69" s="236"/>
      <c r="F69" s="236"/>
      <c r="G69" s="241"/>
    </row>
    <row r="70" spans="4:7" ht="12.75">
      <c r="D70" s="237"/>
      <c r="E70" s="237"/>
      <c r="F70" s="237"/>
      <c r="G70" s="237"/>
    </row>
    <row r="71" spans="4:7" ht="12.75">
      <c r="D71" s="338"/>
      <c r="E71" s="236"/>
      <c r="F71" s="236"/>
      <c r="G71" s="241"/>
    </row>
    <row r="72" spans="4:7" ht="12.75">
      <c r="D72" s="338"/>
      <c r="E72" s="236"/>
      <c r="F72" s="236"/>
      <c r="G72" s="241"/>
    </row>
    <row r="73" spans="4:7" ht="12.75">
      <c r="D73" s="336"/>
      <c r="E73" s="236"/>
      <c r="F73" s="236"/>
      <c r="G73" s="241"/>
    </row>
    <row r="74" spans="4:7" ht="12.75">
      <c r="D74" s="336"/>
      <c r="E74" s="237"/>
      <c r="F74" s="237"/>
      <c r="G74" s="237"/>
    </row>
    <row r="75" spans="4:7" ht="12.75">
      <c r="D75" s="336"/>
      <c r="E75" s="237"/>
      <c r="F75" s="237"/>
      <c r="G75" s="237"/>
    </row>
    <row r="76" ht="12.75">
      <c r="D76" s="336"/>
    </row>
    <row r="77" ht="12.75">
      <c r="D77" s="336"/>
    </row>
    <row r="78" ht="12.75">
      <c r="D78" s="336"/>
    </row>
    <row r="79" ht="12.75">
      <c r="D79" s="336"/>
    </row>
    <row r="80" ht="12.75">
      <c r="D80" s="336"/>
    </row>
    <row r="81" ht="12.75">
      <c r="D81" s="336"/>
    </row>
    <row r="82" ht="12.75">
      <c r="D82" s="336"/>
    </row>
  </sheetData>
  <mergeCells count="26">
    <mergeCell ref="A8:A9"/>
    <mergeCell ref="B8:B9"/>
    <mergeCell ref="C8:C9"/>
    <mergeCell ref="D8:D9"/>
    <mergeCell ref="M8:M9"/>
    <mergeCell ref="E8:E9"/>
    <mergeCell ref="F8:F9"/>
    <mergeCell ref="G8:G9"/>
    <mergeCell ref="I8:I9"/>
    <mergeCell ref="H55:I55"/>
    <mergeCell ref="J8:J9"/>
    <mergeCell ref="K8:K9"/>
    <mergeCell ref="L8:L9"/>
    <mergeCell ref="H8:H50"/>
    <mergeCell ref="H52:J52"/>
    <mergeCell ref="H53:I53"/>
    <mergeCell ref="H54:I54"/>
    <mergeCell ref="A1:M1"/>
    <mergeCell ref="A2:M2"/>
    <mergeCell ref="D6:G6"/>
    <mergeCell ref="D7:G7"/>
    <mergeCell ref="I7:L7"/>
    <mergeCell ref="I6:L6"/>
    <mergeCell ref="A3:C3"/>
    <mergeCell ref="A4:C4"/>
    <mergeCell ref="A5:C5"/>
  </mergeCells>
  <printOptions horizontalCentered="1"/>
  <pageMargins left="0.35" right="0.35" top="0.35" bottom="0.35" header="0.2" footer="0.2"/>
  <pageSetup fitToHeight="1" fitToWidth="1" horizontalDpi="355" verticalDpi="355" orientation="landscape" scale="83" r:id="rId4"/>
  <headerFooter alignWithMargins="0">
    <oddFooter>&amp;L&amp;A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8"/>
  <sheetViews>
    <sheetView workbookViewId="0" topLeftCell="A1">
      <selection activeCell="A1" sqref="A1:R1"/>
    </sheetView>
  </sheetViews>
  <sheetFormatPr defaultColWidth="9.140625" defaultRowHeight="12.75"/>
  <cols>
    <col min="1" max="1" width="1.28515625" style="0" customWidth="1"/>
    <col min="2" max="2" width="1.1484375" style="0" customWidth="1"/>
    <col min="3" max="3" width="24.57421875" style="0" customWidth="1"/>
    <col min="4" max="4" width="18.140625" style="0" customWidth="1"/>
    <col min="5" max="5" width="17.57421875" style="0" customWidth="1"/>
    <col min="6" max="7" width="0.9921875" style="0" customWidth="1"/>
    <col min="8" max="8" width="1.28515625" style="0" customWidth="1"/>
    <col min="9" max="9" width="19.8515625" style="0" customWidth="1"/>
    <col min="10" max="10" width="15.421875" style="0" customWidth="1"/>
    <col min="11" max="11" width="17.140625" style="0" customWidth="1"/>
    <col min="12" max="12" width="1.1484375" style="0" customWidth="1"/>
    <col min="13" max="13" width="0.85546875" style="0" customWidth="1"/>
    <col min="14" max="14" width="0.9921875" style="0" customWidth="1"/>
    <col min="15" max="15" width="15.421875" style="0" bestFit="1" customWidth="1"/>
    <col min="16" max="16" width="19.7109375" style="0" customWidth="1"/>
    <col min="17" max="17" width="16.28125" style="0" customWidth="1"/>
    <col min="18" max="18" width="1.1484375" style="0" customWidth="1"/>
    <col min="19" max="19" width="0.85546875" style="0" customWidth="1"/>
    <col min="20" max="20" width="0.9921875" style="0" customWidth="1"/>
    <col min="21" max="21" width="16.28125" style="0" customWidth="1"/>
    <col min="22" max="22" width="20.28125" style="0" customWidth="1"/>
    <col min="23" max="23" width="16.28125" style="0" customWidth="1"/>
    <col min="24" max="24" width="0.85546875" style="0" customWidth="1"/>
    <col min="25" max="25" width="0.9921875" style="0" customWidth="1"/>
    <col min="26" max="26" width="1.1484375" style="0" customWidth="1"/>
    <col min="27" max="28" width="17.8515625" style="0" customWidth="1"/>
    <col min="29" max="29" width="20.00390625" style="0" customWidth="1"/>
    <col min="30" max="30" width="1.28515625" style="0" customWidth="1"/>
  </cols>
  <sheetData>
    <row r="1" spans="1:30" ht="12.75">
      <c r="A1" s="474" t="str">
        <f>'Trial Balance'!A1:J1</f>
        <v>North Bay Hydro Distribution Ltd.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324"/>
      <c r="T1" s="324"/>
      <c r="U1" s="324"/>
      <c r="V1" s="324"/>
      <c r="W1" s="326"/>
      <c r="X1" s="326"/>
      <c r="Y1" s="327"/>
      <c r="Z1" s="327"/>
      <c r="AA1" s="327"/>
      <c r="AB1" s="327"/>
      <c r="AC1" s="327"/>
      <c r="AD1" s="327"/>
    </row>
    <row r="2" spans="1:30" ht="12.75">
      <c r="A2" s="474" t="str">
        <f>'Trial Balance'!A2:J2</f>
        <v>License Number ED-2003-0024, File Number EB-2009-0270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324"/>
      <c r="T2" s="324"/>
      <c r="U2" s="324"/>
      <c r="V2" s="324"/>
      <c r="W2" s="326"/>
      <c r="X2" s="326"/>
      <c r="Y2" s="327"/>
      <c r="Z2" s="327"/>
      <c r="AA2" s="327"/>
      <c r="AB2" s="327"/>
      <c r="AC2" s="327"/>
      <c r="AD2" s="327"/>
    </row>
    <row r="3" spans="2:24" ht="23.25" customHeight="1">
      <c r="B3" s="473" t="s">
        <v>244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323"/>
      <c r="T3" s="323"/>
      <c r="U3" s="323"/>
      <c r="V3" s="323"/>
      <c r="W3" s="323"/>
      <c r="X3" s="323"/>
    </row>
    <row r="4" ht="16.5" customHeight="1" thickBot="1"/>
    <row r="5" spans="2:30" ht="5.25" customHeight="1">
      <c r="B5" s="43"/>
      <c r="C5" s="44"/>
      <c r="D5" s="44"/>
      <c r="E5" s="44"/>
      <c r="F5" s="45"/>
      <c r="H5" s="43"/>
      <c r="I5" s="44"/>
      <c r="J5" s="44"/>
      <c r="K5" s="44"/>
      <c r="L5" s="45"/>
      <c r="N5" s="43"/>
      <c r="O5" s="44"/>
      <c r="P5" s="44"/>
      <c r="Q5" s="44"/>
      <c r="R5" s="45"/>
      <c r="S5" s="56"/>
      <c r="T5" s="43"/>
      <c r="U5" s="44"/>
      <c r="V5" s="44"/>
      <c r="W5" s="44"/>
      <c r="X5" s="45"/>
      <c r="Y5" s="56"/>
      <c r="Z5" s="43"/>
      <c r="AA5" s="44"/>
      <c r="AB5" s="44"/>
      <c r="AC5" s="44"/>
      <c r="AD5" s="45"/>
    </row>
    <row r="6" spans="2:30" ht="15" customHeight="1">
      <c r="B6" s="46"/>
      <c r="C6" s="458">
        <v>2006</v>
      </c>
      <c r="D6" s="458"/>
      <c r="E6" s="458"/>
      <c r="F6" s="55"/>
      <c r="H6" s="46"/>
      <c r="I6" s="458">
        <v>2007</v>
      </c>
      <c r="J6" s="458"/>
      <c r="K6" s="458"/>
      <c r="L6" s="55"/>
      <c r="N6" s="46"/>
      <c r="O6" s="458">
        <v>2008</v>
      </c>
      <c r="P6" s="458"/>
      <c r="Q6" s="458"/>
      <c r="R6" s="55"/>
      <c r="S6" s="56"/>
      <c r="T6" s="46"/>
      <c r="U6" s="458">
        <v>2009</v>
      </c>
      <c r="V6" s="458"/>
      <c r="W6" s="458"/>
      <c r="X6" s="55"/>
      <c r="Y6" s="56"/>
      <c r="Z6" s="46"/>
      <c r="AA6" s="458">
        <v>2010</v>
      </c>
      <c r="AB6" s="458"/>
      <c r="AC6" s="458"/>
      <c r="AD6" s="55"/>
    </row>
    <row r="7" spans="2:30" ht="12.75">
      <c r="B7" s="46"/>
      <c r="C7" s="74" t="s">
        <v>189</v>
      </c>
      <c r="D7" s="74" t="s">
        <v>187</v>
      </c>
      <c r="E7" s="74" t="s">
        <v>188</v>
      </c>
      <c r="F7" s="47"/>
      <c r="H7" s="46"/>
      <c r="I7" s="74" t="s">
        <v>189</v>
      </c>
      <c r="J7" s="74" t="s">
        <v>187</v>
      </c>
      <c r="K7" s="74" t="s">
        <v>188</v>
      </c>
      <c r="L7" s="47"/>
      <c r="N7" s="46"/>
      <c r="O7" s="74" t="s">
        <v>189</v>
      </c>
      <c r="P7" s="74" t="s">
        <v>187</v>
      </c>
      <c r="Q7" s="74" t="s">
        <v>188</v>
      </c>
      <c r="R7" s="47"/>
      <c r="S7" s="13"/>
      <c r="T7" s="46"/>
      <c r="U7" s="74" t="s">
        <v>189</v>
      </c>
      <c r="V7" s="74" t="s">
        <v>187</v>
      </c>
      <c r="W7" s="74" t="s">
        <v>188</v>
      </c>
      <c r="X7" s="47"/>
      <c r="Y7" s="13"/>
      <c r="Z7" s="46"/>
      <c r="AA7" s="74" t="s">
        <v>189</v>
      </c>
      <c r="AB7" s="74" t="s">
        <v>187</v>
      </c>
      <c r="AC7" s="74" t="s">
        <v>188</v>
      </c>
      <c r="AD7" s="47"/>
    </row>
    <row r="8" spans="2:30" ht="12.75">
      <c r="B8" s="46"/>
      <c r="C8" s="41" t="s">
        <v>184</v>
      </c>
      <c r="D8" s="75">
        <v>0.5</v>
      </c>
      <c r="E8" s="231">
        <f>'Debt &amp; Capital Structure'!M31</f>
        <v>0.05</v>
      </c>
      <c r="F8" s="47"/>
      <c r="H8" s="46"/>
      <c r="I8" s="41" t="s">
        <v>184</v>
      </c>
      <c r="J8" s="75">
        <v>0.5</v>
      </c>
      <c r="K8" s="354">
        <f>'Debt &amp; Capital Structure'!M35</f>
        <v>0.05</v>
      </c>
      <c r="L8" s="47"/>
      <c r="N8" s="46"/>
      <c r="O8" s="41" t="s">
        <v>184</v>
      </c>
      <c r="P8" s="75">
        <v>0.533</v>
      </c>
      <c r="Q8" s="231">
        <f>'Debt &amp; Capital Structure'!M39</f>
        <v>0.05</v>
      </c>
      <c r="R8" s="47"/>
      <c r="S8" s="13"/>
      <c r="T8" s="46"/>
      <c r="U8" s="41" t="s">
        <v>184</v>
      </c>
      <c r="V8" s="75">
        <v>0.567</v>
      </c>
      <c r="W8" s="53">
        <f>'Debt &amp; Capital Structure'!M43</f>
        <v>0.04892839881001558</v>
      </c>
      <c r="X8" s="47"/>
      <c r="Y8" s="13"/>
      <c r="Z8" s="46"/>
      <c r="AA8" s="41" t="s">
        <v>184</v>
      </c>
      <c r="AB8" s="75">
        <v>0.56</v>
      </c>
      <c r="AC8" s="53">
        <f>'Debt &amp; Capital Structure'!M47</f>
        <v>0.0694190365211752</v>
      </c>
      <c r="AD8" s="47"/>
    </row>
    <row r="9" spans="2:30" ht="12.75">
      <c r="B9" s="46"/>
      <c r="C9" s="52" t="s">
        <v>185</v>
      </c>
      <c r="D9" s="75">
        <v>0</v>
      </c>
      <c r="E9" s="53"/>
      <c r="F9" s="47"/>
      <c r="H9" s="46"/>
      <c r="I9" s="52" t="s">
        <v>185</v>
      </c>
      <c r="J9" s="75">
        <v>0</v>
      </c>
      <c r="K9" s="53"/>
      <c r="L9" s="47"/>
      <c r="N9" s="46"/>
      <c r="O9" s="52" t="s">
        <v>185</v>
      </c>
      <c r="P9" s="75">
        <v>0</v>
      </c>
      <c r="Q9" s="53"/>
      <c r="R9" s="47"/>
      <c r="S9" s="13"/>
      <c r="T9" s="46"/>
      <c r="U9" s="52" t="s">
        <v>887</v>
      </c>
      <c r="V9" s="75"/>
      <c r="W9" s="53"/>
      <c r="X9" s="47"/>
      <c r="Y9" s="13"/>
      <c r="Z9" s="46"/>
      <c r="AA9" s="52" t="s">
        <v>887</v>
      </c>
      <c r="AB9" s="75">
        <v>0.04</v>
      </c>
      <c r="AC9" s="75">
        <v>0.0133</v>
      </c>
      <c r="AD9" s="47"/>
    </row>
    <row r="10" spans="2:30" ht="13.5" thickBot="1">
      <c r="B10" s="46"/>
      <c r="C10" s="41" t="s">
        <v>182</v>
      </c>
      <c r="D10" s="75">
        <v>0.5</v>
      </c>
      <c r="E10" s="291">
        <v>0.09</v>
      </c>
      <c r="F10" s="47"/>
      <c r="H10" s="46"/>
      <c r="I10" s="41" t="s">
        <v>182</v>
      </c>
      <c r="J10" s="75">
        <v>0.5</v>
      </c>
      <c r="K10" s="291">
        <v>0.09</v>
      </c>
      <c r="L10" s="47"/>
      <c r="N10" s="46"/>
      <c r="O10" s="41" t="s">
        <v>182</v>
      </c>
      <c r="P10" s="75">
        <v>0.467</v>
      </c>
      <c r="Q10" s="291">
        <v>0.09</v>
      </c>
      <c r="R10" s="47"/>
      <c r="S10" s="13"/>
      <c r="T10" s="46"/>
      <c r="U10" s="41" t="s">
        <v>182</v>
      </c>
      <c r="V10" s="75">
        <v>0.433</v>
      </c>
      <c r="W10" s="291">
        <v>0.09</v>
      </c>
      <c r="X10" s="47"/>
      <c r="Y10" s="13"/>
      <c r="Z10" s="46"/>
      <c r="AA10" s="41" t="s">
        <v>182</v>
      </c>
      <c r="AB10" s="75">
        <v>0.4</v>
      </c>
      <c r="AC10" s="75">
        <v>0.0801</v>
      </c>
      <c r="AD10" s="47"/>
    </row>
    <row r="11" spans="2:30" ht="13.5" thickBot="1">
      <c r="B11" s="46"/>
      <c r="C11" s="459" t="s">
        <v>445</v>
      </c>
      <c r="D11" s="459"/>
      <c r="E11" s="220">
        <f>E8*(D8/(D8+D9))+E9*(D9/(D8+D9))</f>
        <v>0.05</v>
      </c>
      <c r="F11" s="47"/>
      <c r="H11" s="46"/>
      <c r="I11" s="459" t="s">
        <v>445</v>
      </c>
      <c r="J11" s="459"/>
      <c r="K11" s="220">
        <f>K8*(J8/(J8+J9))+K9*(J9/(J8+J9))</f>
        <v>0.05</v>
      </c>
      <c r="L11" s="47"/>
      <c r="N11" s="46"/>
      <c r="O11" s="459" t="s">
        <v>445</v>
      </c>
      <c r="P11" s="459"/>
      <c r="Q11" s="220">
        <f>Q8*(P8/(P8+P9))+Q9*(P9/(P8+P9))</f>
        <v>0.05</v>
      </c>
      <c r="R11" s="47"/>
      <c r="S11" s="13"/>
      <c r="T11" s="46"/>
      <c r="U11" s="459" t="s">
        <v>445</v>
      </c>
      <c r="V11" s="459"/>
      <c r="W11" s="220">
        <f>W8*(V8/(V8+V9))+W9*(V9/(V8+V9))</f>
        <v>0.04892839881001558</v>
      </c>
      <c r="X11" s="47"/>
      <c r="Y11" s="13"/>
      <c r="Z11" s="46"/>
      <c r="AA11" s="467" t="s">
        <v>445</v>
      </c>
      <c r="AB11" s="468"/>
      <c r="AC11" s="220">
        <f>AC8*(AB8/(AB8+AB9))+AC9*(AB9/(AB8+AB9))</f>
        <v>0.06567776741976351</v>
      </c>
      <c r="AD11" s="47"/>
    </row>
    <row r="12" spans="2:30" ht="13.5" thickBot="1">
      <c r="B12" s="46"/>
      <c r="C12" s="459" t="s">
        <v>186</v>
      </c>
      <c r="D12" s="459"/>
      <c r="E12" s="54">
        <f>(D8*E8)+(D9*E9)+(D10*E10)</f>
        <v>0.07</v>
      </c>
      <c r="F12" s="48"/>
      <c r="H12" s="46"/>
      <c r="I12" s="459" t="s">
        <v>186</v>
      </c>
      <c r="J12" s="459"/>
      <c r="K12" s="54">
        <f>(J8*K8)+(J9*K9)+(J10*K10)</f>
        <v>0.07</v>
      </c>
      <c r="L12" s="48"/>
      <c r="N12" s="46"/>
      <c r="O12" s="459" t="s">
        <v>186</v>
      </c>
      <c r="P12" s="459"/>
      <c r="Q12" s="54">
        <f>(P8*Q8)+(P9*Q9)+(P10*Q10)</f>
        <v>0.06868</v>
      </c>
      <c r="R12" s="48"/>
      <c r="S12" s="242"/>
      <c r="T12" s="46"/>
      <c r="U12" s="459" t="s">
        <v>186</v>
      </c>
      <c r="V12" s="459"/>
      <c r="W12" s="54">
        <f>(V8*W8)+(V9*W9)+(V10*W10)</f>
        <v>0.06671240212527883</v>
      </c>
      <c r="X12" s="48"/>
      <c r="Y12" s="242"/>
      <c r="Z12" s="46"/>
      <c r="AA12" s="459" t="s">
        <v>186</v>
      </c>
      <c r="AB12" s="469"/>
      <c r="AC12" s="54">
        <f>(AB8*AC8)+(AB9*AC9)+(AB10*AC10)</f>
        <v>0.07144666045185813</v>
      </c>
      <c r="AD12" s="48"/>
    </row>
    <row r="13" spans="2:30" ht="6.75" customHeight="1" thickBot="1">
      <c r="B13" s="49"/>
      <c r="C13" s="50"/>
      <c r="D13" s="50"/>
      <c r="E13" s="50"/>
      <c r="F13" s="51"/>
      <c r="H13" s="49"/>
      <c r="I13" s="50"/>
      <c r="J13" s="50"/>
      <c r="K13" s="50"/>
      <c r="L13" s="51"/>
      <c r="N13" s="49"/>
      <c r="O13" s="50"/>
      <c r="P13" s="50"/>
      <c r="Q13" s="50"/>
      <c r="R13" s="51"/>
      <c r="S13" s="56"/>
      <c r="T13" s="49"/>
      <c r="U13" s="50"/>
      <c r="V13" s="50"/>
      <c r="W13" s="50"/>
      <c r="X13" s="51"/>
      <c r="Y13" s="56"/>
      <c r="Z13" s="49"/>
      <c r="AA13" s="50"/>
      <c r="AB13" s="50"/>
      <c r="AC13" s="50"/>
      <c r="AD13" s="51"/>
    </row>
    <row r="14" ht="13.5" thickBot="1"/>
    <row r="15" spans="2:30" ht="6" customHeight="1">
      <c r="B15" s="43"/>
      <c r="C15" s="44"/>
      <c r="D15" s="44"/>
      <c r="E15" s="44"/>
      <c r="F15" s="45"/>
      <c r="H15" s="43"/>
      <c r="I15" s="44"/>
      <c r="J15" s="44"/>
      <c r="K15" s="44"/>
      <c r="L15" s="45"/>
      <c r="N15" s="43"/>
      <c r="O15" s="44"/>
      <c r="P15" s="44"/>
      <c r="Q15" s="44"/>
      <c r="R15" s="45"/>
      <c r="S15" s="56"/>
      <c r="T15" s="43"/>
      <c r="U15" s="44"/>
      <c r="V15" s="44"/>
      <c r="W15" s="44"/>
      <c r="X15" s="45"/>
      <c r="Y15" s="56"/>
      <c r="Z15" s="43"/>
      <c r="AA15" s="44"/>
      <c r="AB15" s="44"/>
      <c r="AC15" s="44"/>
      <c r="AD15" s="45"/>
    </row>
    <row r="16" spans="2:30" ht="15.75">
      <c r="B16" s="46"/>
      <c r="C16" s="460" t="s">
        <v>81</v>
      </c>
      <c r="D16" s="460"/>
      <c r="E16" s="460"/>
      <c r="F16" s="55"/>
      <c r="H16" s="46"/>
      <c r="I16" s="460" t="s">
        <v>190</v>
      </c>
      <c r="J16" s="460"/>
      <c r="K16" s="460"/>
      <c r="L16" s="55"/>
      <c r="N16" s="46"/>
      <c r="O16" s="460" t="s">
        <v>222</v>
      </c>
      <c r="P16" s="460"/>
      <c r="Q16" s="460"/>
      <c r="R16" s="55"/>
      <c r="S16" s="56"/>
      <c r="T16" s="46"/>
      <c r="U16" s="460" t="s">
        <v>209</v>
      </c>
      <c r="V16" s="460"/>
      <c r="W16" s="460"/>
      <c r="X16" s="55"/>
      <c r="Y16" s="56"/>
      <c r="Z16" s="46"/>
      <c r="AA16" s="458" t="s">
        <v>842</v>
      </c>
      <c r="AB16" s="458"/>
      <c r="AC16" s="458"/>
      <c r="AD16" s="55"/>
    </row>
    <row r="17" spans="2:30" ht="12.75">
      <c r="B17" s="46"/>
      <c r="C17" s="457" t="s">
        <v>191</v>
      </c>
      <c r="D17" s="457"/>
      <c r="E17" s="73" t="s">
        <v>192</v>
      </c>
      <c r="F17" s="55"/>
      <c r="H17" s="46"/>
      <c r="I17" s="457" t="s">
        <v>191</v>
      </c>
      <c r="J17" s="457"/>
      <c r="K17" s="73" t="s">
        <v>192</v>
      </c>
      <c r="L17" s="55"/>
      <c r="N17" s="46"/>
      <c r="O17" s="457" t="s">
        <v>191</v>
      </c>
      <c r="P17" s="457"/>
      <c r="Q17" s="73" t="s">
        <v>192</v>
      </c>
      <c r="R17" s="55"/>
      <c r="S17" s="56"/>
      <c r="T17" s="46"/>
      <c r="U17" s="457" t="s">
        <v>191</v>
      </c>
      <c r="V17" s="457"/>
      <c r="W17" s="73"/>
      <c r="X17" s="55"/>
      <c r="Y17" s="56"/>
      <c r="Z17" s="46"/>
      <c r="AA17" s="475" t="s">
        <v>191</v>
      </c>
      <c r="AB17" s="476"/>
      <c r="AC17" s="73"/>
      <c r="AD17" s="55"/>
    </row>
    <row r="18" spans="2:30" s="332" customFormat="1" ht="12.75">
      <c r="B18" s="330"/>
      <c r="C18" s="413" t="s">
        <v>160</v>
      </c>
      <c r="D18" s="413"/>
      <c r="E18" s="346">
        <f>'2006 Income Statement'!B111</f>
        <v>1160194.52</v>
      </c>
      <c r="F18" s="331"/>
      <c r="H18" s="330"/>
      <c r="I18" s="413" t="s">
        <v>160</v>
      </c>
      <c r="J18" s="413"/>
      <c r="K18" s="346">
        <f>'2007 Income Statement'!B111</f>
        <v>1378854.5899999999</v>
      </c>
      <c r="L18" s="331"/>
      <c r="N18" s="330"/>
      <c r="O18" s="413" t="s">
        <v>160</v>
      </c>
      <c r="P18" s="413"/>
      <c r="Q18" s="346">
        <f>'2008 Income Statement'!B111</f>
        <v>783767.8800000001</v>
      </c>
      <c r="R18" s="331"/>
      <c r="S18" s="325"/>
      <c r="T18" s="330"/>
      <c r="U18" s="413" t="s">
        <v>160</v>
      </c>
      <c r="V18" s="413"/>
      <c r="W18" s="346">
        <f>'2009 Income Statement'!B111</f>
        <v>570097.53</v>
      </c>
      <c r="X18" s="331"/>
      <c r="Y18" s="325"/>
      <c r="Z18" s="330"/>
      <c r="AA18" s="462" t="s">
        <v>160</v>
      </c>
      <c r="AB18" s="477"/>
      <c r="AC18" s="355">
        <f>'2010 Income Statement'!B111</f>
        <v>596855.0800000001</v>
      </c>
      <c r="AD18" s="331"/>
    </row>
    <row r="19" spans="2:30" s="332" customFormat="1" ht="12.75">
      <c r="B19" s="330"/>
      <c r="C19" s="413" t="s">
        <v>199</v>
      </c>
      <c r="D19" s="413"/>
      <c r="E19" s="346">
        <f>'2006 Income Statement'!B132</f>
        <v>1446831.18</v>
      </c>
      <c r="F19" s="331"/>
      <c r="H19" s="330"/>
      <c r="I19" s="413" t="s">
        <v>199</v>
      </c>
      <c r="J19" s="413"/>
      <c r="K19" s="346">
        <f>'2007 Income Statement'!B132</f>
        <v>565429.92</v>
      </c>
      <c r="L19" s="331"/>
      <c r="N19" s="330"/>
      <c r="O19" s="413" t="s">
        <v>199</v>
      </c>
      <c r="P19" s="413"/>
      <c r="Q19" s="346">
        <f>'2008 Income Statement'!B132</f>
        <v>968776.3899999999</v>
      </c>
      <c r="R19" s="331"/>
      <c r="S19" s="325"/>
      <c r="T19" s="330"/>
      <c r="U19" s="413" t="s">
        <v>199</v>
      </c>
      <c r="V19" s="413"/>
      <c r="W19" s="346">
        <f>'2009 Income Statement'!B132</f>
        <v>1046197.15</v>
      </c>
      <c r="X19" s="331"/>
      <c r="Y19" s="325"/>
      <c r="Z19" s="330"/>
      <c r="AA19" s="462" t="s">
        <v>199</v>
      </c>
      <c r="AB19" s="477"/>
      <c r="AC19" s="355">
        <f>'2010 Income Statement'!B132</f>
        <v>1270827.77</v>
      </c>
      <c r="AD19" s="331"/>
    </row>
    <row r="20" spans="2:30" s="332" customFormat="1" ht="12.75">
      <c r="B20" s="330"/>
      <c r="C20" s="413" t="s">
        <v>200</v>
      </c>
      <c r="D20" s="413"/>
      <c r="E20" s="346">
        <f>'2006 Income Statement'!B143</f>
        <v>1207311.49</v>
      </c>
      <c r="F20" s="331"/>
      <c r="H20" s="330"/>
      <c r="I20" s="413" t="s">
        <v>200</v>
      </c>
      <c r="J20" s="413"/>
      <c r="K20" s="346">
        <f>'2007 Income Statement'!B143</f>
        <v>1094867.81</v>
      </c>
      <c r="L20" s="331"/>
      <c r="N20" s="330"/>
      <c r="O20" s="413" t="s">
        <v>200</v>
      </c>
      <c r="P20" s="413"/>
      <c r="Q20" s="346">
        <f>'2008 Income Statement'!B143</f>
        <v>1213895.48</v>
      </c>
      <c r="R20" s="331"/>
      <c r="S20" s="325"/>
      <c r="T20" s="330"/>
      <c r="U20" s="413" t="s">
        <v>200</v>
      </c>
      <c r="V20" s="413"/>
      <c r="W20" s="346">
        <f>'2009 Income Statement'!B143</f>
        <v>1173560.92</v>
      </c>
      <c r="X20" s="331"/>
      <c r="Y20" s="325"/>
      <c r="Z20" s="330"/>
      <c r="AA20" s="462" t="s">
        <v>200</v>
      </c>
      <c r="AB20" s="477"/>
      <c r="AC20" s="355">
        <f>'2010 Income Statement'!B143</f>
        <v>1144086.88</v>
      </c>
      <c r="AD20" s="331"/>
    </row>
    <row r="21" spans="2:31" s="332" customFormat="1" ht="12.75">
      <c r="B21" s="330"/>
      <c r="C21" s="413" t="s">
        <v>201</v>
      </c>
      <c r="D21" s="413"/>
      <c r="E21" s="346">
        <f>'2006 Income Statement'!B151</f>
        <v>315361.55000000005</v>
      </c>
      <c r="F21" s="331"/>
      <c r="H21" s="330"/>
      <c r="I21" s="413" t="s">
        <v>201</v>
      </c>
      <c r="J21" s="413"/>
      <c r="K21" s="346">
        <f>'2007 Income Statement'!B151</f>
        <v>454891.47</v>
      </c>
      <c r="L21" s="331"/>
      <c r="N21" s="330"/>
      <c r="O21" s="413" t="s">
        <v>201</v>
      </c>
      <c r="P21" s="413"/>
      <c r="Q21" s="346">
        <f>'2008 Income Statement'!B151</f>
        <v>476254.1</v>
      </c>
      <c r="R21" s="331"/>
      <c r="S21" s="325"/>
      <c r="T21" s="330"/>
      <c r="U21" s="413" t="s">
        <v>201</v>
      </c>
      <c r="V21" s="413"/>
      <c r="W21" s="346">
        <f>'2009 Income Statement'!B151</f>
        <v>10500</v>
      </c>
      <c r="X21" s="331"/>
      <c r="Y21" s="325"/>
      <c r="Z21" s="330"/>
      <c r="AA21" s="462" t="s">
        <v>201</v>
      </c>
      <c r="AB21" s="477"/>
      <c r="AC21" s="355">
        <f>'2010 Income Statement'!B151</f>
        <v>222000</v>
      </c>
      <c r="AD21" s="331"/>
      <c r="AE21" s="366"/>
    </row>
    <row r="22" spans="2:31" s="332" customFormat="1" ht="12.75">
      <c r="B22" s="330"/>
      <c r="C22" s="414" t="s">
        <v>202</v>
      </c>
      <c r="D22" s="414"/>
      <c r="E22" s="346">
        <f>'2006 Income Statement'!B172</f>
        <v>1936589.57</v>
      </c>
      <c r="F22" s="331"/>
      <c r="H22" s="330"/>
      <c r="I22" s="414" t="s">
        <v>202</v>
      </c>
      <c r="J22" s="414"/>
      <c r="K22" s="346">
        <f>'2007 Income Statement'!B172</f>
        <v>2068977.01</v>
      </c>
      <c r="L22" s="331"/>
      <c r="N22" s="330"/>
      <c r="O22" s="414" t="s">
        <v>202</v>
      </c>
      <c r="P22" s="414"/>
      <c r="Q22" s="346">
        <f>'2008 Income Statement'!B172</f>
        <v>2137953.9</v>
      </c>
      <c r="R22" s="331"/>
      <c r="S22" s="325"/>
      <c r="T22" s="330"/>
      <c r="U22" s="414" t="s">
        <v>202</v>
      </c>
      <c r="V22" s="414"/>
      <c r="W22" s="346">
        <f>'2009 Income Statement'!B172</f>
        <v>2181806.72</v>
      </c>
      <c r="X22" s="331"/>
      <c r="Y22" s="325"/>
      <c r="Z22" s="330"/>
      <c r="AA22" s="470" t="s">
        <v>202</v>
      </c>
      <c r="AB22" s="471"/>
      <c r="AC22" s="355">
        <f>'2010 Income Statement'!B172</f>
        <v>2545284.245503748</v>
      </c>
      <c r="AD22" s="331"/>
      <c r="AE22" s="366"/>
    </row>
    <row r="23" spans="2:31" s="332" customFormat="1" ht="12.75">
      <c r="B23" s="330"/>
      <c r="C23" s="414" t="s">
        <v>203</v>
      </c>
      <c r="D23" s="414"/>
      <c r="E23" s="346">
        <f>'2006 Income Statement'!B200</f>
        <v>78522.42</v>
      </c>
      <c r="F23" s="331"/>
      <c r="H23" s="330"/>
      <c r="I23" s="414" t="s">
        <v>203</v>
      </c>
      <c r="J23" s="414"/>
      <c r="K23" s="346">
        <f>'2007 Income Statement'!B200</f>
        <v>80390.9</v>
      </c>
      <c r="L23" s="331"/>
      <c r="N23" s="330"/>
      <c r="O23" s="414" t="s">
        <v>203</v>
      </c>
      <c r="P23" s="414"/>
      <c r="Q23" s="346">
        <f>'2008 Income Statement'!B200</f>
        <v>78421.73</v>
      </c>
      <c r="R23" s="331"/>
      <c r="S23" s="325"/>
      <c r="T23" s="330"/>
      <c r="U23" s="414" t="s">
        <v>203</v>
      </c>
      <c r="V23" s="414"/>
      <c r="W23" s="346">
        <f>'2009 Income Statement'!B200</f>
        <v>62428.78</v>
      </c>
      <c r="X23" s="331"/>
      <c r="Y23" s="325"/>
      <c r="Z23" s="330"/>
      <c r="AA23" s="470" t="s">
        <v>203</v>
      </c>
      <c r="AB23" s="471"/>
      <c r="AC23" s="355">
        <f>'2010 Income Statement'!B200</f>
        <v>64292</v>
      </c>
      <c r="AD23" s="331"/>
      <c r="AE23" s="366"/>
    </row>
    <row r="24" spans="2:31" ht="12.75">
      <c r="B24" s="46"/>
      <c r="C24" s="415" t="s">
        <v>422</v>
      </c>
      <c r="D24" s="456"/>
      <c r="E24" s="345">
        <v>0</v>
      </c>
      <c r="F24" s="55"/>
      <c r="H24" s="46"/>
      <c r="I24" s="415" t="s">
        <v>422</v>
      </c>
      <c r="J24" s="456"/>
      <c r="K24" s="345">
        <v>0</v>
      </c>
      <c r="L24" s="55"/>
      <c r="N24" s="46"/>
      <c r="O24" s="415" t="s">
        <v>422</v>
      </c>
      <c r="P24" s="456"/>
      <c r="Q24" s="345">
        <v>0</v>
      </c>
      <c r="R24" s="55"/>
      <c r="S24" s="56"/>
      <c r="T24" s="46"/>
      <c r="U24" s="415" t="s">
        <v>422</v>
      </c>
      <c r="V24" s="456"/>
      <c r="W24" s="345">
        <v>0</v>
      </c>
      <c r="X24" s="55">
        <v>61872.286762509604</v>
      </c>
      <c r="Y24" s="56"/>
      <c r="Z24" s="46"/>
      <c r="AA24" s="415" t="s">
        <v>422</v>
      </c>
      <c r="AB24" s="472"/>
      <c r="AC24" s="345">
        <v>0</v>
      </c>
      <c r="AD24" s="55"/>
      <c r="AE24" s="21"/>
    </row>
    <row r="25" spans="2:31" s="332" customFormat="1" ht="12.75">
      <c r="B25" s="330"/>
      <c r="C25" s="417" t="s">
        <v>193</v>
      </c>
      <c r="D25" s="418"/>
      <c r="E25" s="347">
        <f>SUM(E18:E23)-E24</f>
        <v>6144810.73</v>
      </c>
      <c r="F25" s="331"/>
      <c r="H25" s="330"/>
      <c r="I25" s="417" t="s">
        <v>193</v>
      </c>
      <c r="J25" s="418"/>
      <c r="K25" s="347">
        <f>SUM(K18:K23)-K24</f>
        <v>5643411.7</v>
      </c>
      <c r="L25" s="331"/>
      <c r="N25" s="330"/>
      <c r="O25" s="417" t="s">
        <v>193</v>
      </c>
      <c r="P25" s="418"/>
      <c r="Q25" s="347">
        <f>SUM(Q18:Q23)-Q24</f>
        <v>5659069.48</v>
      </c>
      <c r="R25" s="331"/>
      <c r="S25" s="325"/>
      <c r="T25" s="330"/>
      <c r="U25" s="417" t="s">
        <v>193</v>
      </c>
      <c r="V25" s="418"/>
      <c r="W25" s="347">
        <f>SUM(W18:W23)-W24</f>
        <v>5044591.100000001</v>
      </c>
      <c r="X25" s="331"/>
      <c r="Y25" s="325"/>
      <c r="Z25" s="330"/>
      <c r="AA25" s="417" t="s">
        <v>193</v>
      </c>
      <c r="AB25" s="418"/>
      <c r="AC25" s="347">
        <f>SUM(AC18:AC23)-AC24</f>
        <v>5843345.975503748</v>
      </c>
      <c r="AD25" s="331"/>
      <c r="AE25" s="366"/>
    </row>
    <row r="26" spans="2:31" s="332" customFormat="1" ht="12.75">
      <c r="B26" s="330"/>
      <c r="C26" s="419" t="s">
        <v>204</v>
      </c>
      <c r="D26" s="420"/>
      <c r="E26" s="346">
        <f>'2006 Income Statement'!B85</f>
        <v>41224656.839999996</v>
      </c>
      <c r="F26" s="331"/>
      <c r="H26" s="330"/>
      <c r="I26" s="419" t="s">
        <v>204</v>
      </c>
      <c r="J26" s="420"/>
      <c r="K26" s="346">
        <f>'2007 Income Statement'!B85</f>
        <v>45345934.73</v>
      </c>
      <c r="L26" s="331"/>
      <c r="N26" s="330"/>
      <c r="O26" s="419" t="s">
        <v>204</v>
      </c>
      <c r="P26" s="420"/>
      <c r="Q26" s="346">
        <f>'2008 Income Statement'!B85</f>
        <v>41077195.09</v>
      </c>
      <c r="R26" s="331"/>
      <c r="S26" s="325"/>
      <c r="T26" s="330"/>
      <c r="U26" s="419" t="s">
        <v>204</v>
      </c>
      <c r="V26" s="420"/>
      <c r="W26" s="355">
        <f>+'2009 Income Statement'!B85</f>
        <v>42629346.77948458</v>
      </c>
      <c r="X26" s="331"/>
      <c r="Y26" s="325"/>
      <c r="Z26" s="330"/>
      <c r="AA26" s="419" t="s">
        <v>204</v>
      </c>
      <c r="AB26" s="420"/>
      <c r="AC26" s="355">
        <f>+'2010 Income Statement'!B85</f>
        <v>44637753.62655575</v>
      </c>
      <c r="AD26" s="331"/>
      <c r="AE26" s="366"/>
    </row>
    <row r="27" spans="2:31" s="332" customFormat="1" ht="12.75">
      <c r="B27" s="330"/>
      <c r="C27" s="421" t="s">
        <v>213</v>
      </c>
      <c r="D27" s="422"/>
      <c r="E27" s="346">
        <f>E25+E26</f>
        <v>47369467.56999999</v>
      </c>
      <c r="F27" s="331"/>
      <c r="H27" s="330"/>
      <c r="I27" s="421" t="s">
        <v>213</v>
      </c>
      <c r="J27" s="422"/>
      <c r="K27" s="346">
        <f>K25+K26</f>
        <v>50989346.43</v>
      </c>
      <c r="L27" s="331"/>
      <c r="N27" s="330"/>
      <c r="O27" s="421" t="s">
        <v>213</v>
      </c>
      <c r="P27" s="422"/>
      <c r="Q27" s="346">
        <f>Q25+Q26</f>
        <v>46736264.57000001</v>
      </c>
      <c r="R27" s="331"/>
      <c r="S27" s="325"/>
      <c r="T27" s="330"/>
      <c r="U27" s="421" t="s">
        <v>213</v>
      </c>
      <c r="V27" s="422"/>
      <c r="W27" s="346">
        <f>W25+W26</f>
        <v>47673937.87948458</v>
      </c>
      <c r="X27" s="331"/>
      <c r="Y27" s="325"/>
      <c r="Z27" s="330"/>
      <c r="AA27" s="421" t="s">
        <v>213</v>
      </c>
      <c r="AB27" s="422"/>
      <c r="AC27" s="346">
        <f>AC25+AC26</f>
        <v>50481099.6020595</v>
      </c>
      <c r="AD27" s="331"/>
      <c r="AE27" s="366"/>
    </row>
    <row r="28" spans="2:31" s="332" customFormat="1" ht="13.5" thickBot="1">
      <c r="B28" s="330"/>
      <c r="C28" s="421"/>
      <c r="D28" s="411"/>
      <c r="E28" s="412"/>
      <c r="F28" s="331"/>
      <c r="H28" s="330"/>
      <c r="I28" s="421"/>
      <c r="J28" s="411"/>
      <c r="K28" s="412"/>
      <c r="L28" s="331"/>
      <c r="N28" s="330"/>
      <c r="O28" s="421"/>
      <c r="P28" s="411"/>
      <c r="Q28" s="412"/>
      <c r="R28" s="331"/>
      <c r="S28" s="325"/>
      <c r="T28" s="330"/>
      <c r="U28" s="421"/>
      <c r="V28" s="411"/>
      <c r="W28" s="412"/>
      <c r="X28" s="331"/>
      <c r="Y28" s="325"/>
      <c r="Z28" s="330"/>
      <c r="AA28" s="464"/>
      <c r="AB28" s="465"/>
      <c r="AC28" s="412"/>
      <c r="AD28" s="331"/>
      <c r="AE28" s="366"/>
    </row>
    <row r="29" spans="2:31" s="332" customFormat="1" ht="13.5" thickBot="1">
      <c r="B29" s="330"/>
      <c r="C29" s="413" t="s">
        <v>214</v>
      </c>
      <c r="D29" s="462"/>
      <c r="E29" s="348">
        <f>E27*0.15</f>
        <v>7105420.135499999</v>
      </c>
      <c r="F29" s="331"/>
      <c r="H29" s="330"/>
      <c r="I29" s="413" t="s">
        <v>214</v>
      </c>
      <c r="J29" s="462"/>
      <c r="K29" s="348">
        <f>K27*0.15</f>
        <v>7648401.9645</v>
      </c>
      <c r="L29" s="331"/>
      <c r="N29" s="330"/>
      <c r="O29" s="413" t="s">
        <v>214</v>
      </c>
      <c r="P29" s="462"/>
      <c r="Q29" s="348">
        <f>Q27*0.15</f>
        <v>7010439.685500001</v>
      </c>
      <c r="R29" s="331"/>
      <c r="S29" s="325"/>
      <c r="T29" s="330"/>
      <c r="U29" s="413" t="s">
        <v>214</v>
      </c>
      <c r="V29" s="462"/>
      <c r="W29" s="348">
        <f>W27*0.15</f>
        <v>7151090.681922686</v>
      </c>
      <c r="X29" s="331"/>
      <c r="Y29" s="325"/>
      <c r="Z29" s="330"/>
      <c r="AA29" s="462" t="s">
        <v>214</v>
      </c>
      <c r="AB29" s="463"/>
      <c r="AC29" s="348">
        <f>AC27*0.15</f>
        <v>7572164.940308925</v>
      </c>
      <c r="AD29" s="331"/>
      <c r="AE29" s="366"/>
    </row>
    <row r="30" spans="2:31" ht="6.75" customHeight="1" thickBot="1">
      <c r="B30" s="49"/>
      <c r="C30" s="50"/>
      <c r="D30" s="50"/>
      <c r="E30" s="58"/>
      <c r="F30" s="51"/>
      <c r="H30" s="49"/>
      <c r="I30" s="50"/>
      <c r="J30" s="50"/>
      <c r="K30" s="58"/>
      <c r="L30" s="51"/>
      <c r="N30" s="49"/>
      <c r="O30" s="50"/>
      <c r="P30" s="50"/>
      <c r="Q30" s="58"/>
      <c r="R30" s="51"/>
      <c r="S30" s="56"/>
      <c r="T30" s="49"/>
      <c r="U30" s="50"/>
      <c r="V30" s="50"/>
      <c r="W30" s="58"/>
      <c r="X30" s="51"/>
      <c r="Y30" s="56"/>
      <c r="Z30" s="49"/>
      <c r="AA30" s="50"/>
      <c r="AB30" s="50"/>
      <c r="AC30" s="58"/>
      <c r="AD30" s="51"/>
      <c r="AE30" s="21"/>
    </row>
    <row r="31" ht="13.5" thickBot="1">
      <c r="AE31" s="21"/>
    </row>
    <row r="32" spans="2:31" ht="7.5" customHeight="1">
      <c r="B32" s="43"/>
      <c r="C32" s="44"/>
      <c r="D32" s="44"/>
      <c r="E32" s="44"/>
      <c r="F32" s="45"/>
      <c r="H32" s="43"/>
      <c r="I32" s="44"/>
      <c r="J32" s="44"/>
      <c r="K32" s="44"/>
      <c r="L32" s="45"/>
      <c r="N32" s="43"/>
      <c r="O32" s="44"/>
      <c r="P32" s="44"/>
      <c r="Q32" s="44"/>
      <c r="R32" s="45"/>
      <c r="S32" s="56"/>
      <c r="T32" s="43"/>
      <c r="U32" s="44"/>
      <c r="V32" s="44"/>
      <c r="W32" s="44"/>
      <c r="X32" s="45"/>
      <c r="Y32" s="56"/>
      <c r="Z32" s="43"/>
      <c r="AA32" s="44"/>
      <c r="AB32" s="44"/>
      <c r="AC32" s="44"/>
      <c r="AD32" s="45"/>
      <c r="AE32" s="21"/>
    </row>
    <row r="33" spans="2:31" s="332" customFormat="1" ht="15.75">
      <c r="B33" s="330"/>
      <c r="C33" s="461" t="s">
        <v>169</v>
      </c>
      <c r="D33" s="461"/>
      <c r="E33" s="461"/>
      <c r="F33" s="331"/>
      <c r="H33" s="330"/>
      <c r="I33" s="461" t="s">
        <v>215</v>
      </c>
      <c r="J33" s="461"/>
      <c r="K33" s="461"/>
      <c r="L33" s="331"/>
      <c r="N33" s="330"/>
      <c r="O33" s="461" t="s">
        <v>269</v>
      </c>
      <c r="P33" s="461"/>
      <c r="Q33" s="461"/>
      <c r="R33" s="331"/>
      <c r="S33" s="325"/>
      <c r="T33" s="330"/>
      <c r="U33" s="461" t="s">
        <v>210</v>
      </c>
      <c r="V33" s="461"/>
      <c r="W33" s="461"/>
      <c r="X33" s="331"/>
      <c r="Y33" s="325"/>
      <c r="Z33" s="330"/>
      <c r="AA33" s="461" t="s">
        <v>843</v>
      </c>
      <c r="AB33" s="461"/>
      <c r="AC33" s="461"/>
      <c r="AD33" s="331"/>
      <c r="AE33" s="366"/>
    </row>
    <row r="34" spans="2:31" s="332" customFormat="1" ht="12.75">
      <c r="B34" s="330"/>
      <c r="C34" s="429" t="s">
        <v>138</v>
      </c>
      <c r="D34" s="429"/>
      <c r="E34" s="349">
        <f>+'FA Continuity 2006'!D47-'FA Continuity 2006'!I47</f>
        <v>27994032.820000008</v>
      </c>
      <c r="F34" s="331"/>
      <c r="H34" s="330"/>
      <c r="I34" s="429" t="s">
        <v>216</v>
      </c>
      <c r="J34" s="429"/>
      <c r="K34" s="349">
        <f>E35</f>
        <v>30177348.369999997</v>
      </c>
      <c r="L34" s="331"/>
      <c r="N34" s="330"/>
      <c r="O34" s="429" t="s">
        <v>217</v>
      </c>
      <c r="P34" s="429"/>
      <c r="Q34" s="350">
        <f>K35</f>
        <v>29235751.03</v>
      </c>
      <c r="R34" s="331"/>
      <c r="S34" s="325"/>
      <c r="T34" s="330"/>
      <c r="U34" s="429" t="s">
        <v>211</v>
      </c>
      <c r="V34" s="429"/>
      <c r="W34" s="350">
        <f>Q35</f>
        <v>30515240.889999997</v>
      </c>
      <c r="X34" s="331"/>
      <c r="Y34" s="325"/>
      <c r="Z34" s="330"/>
      <c r="AA34" s="429" t="s">
        <v>844</v>
      </c>
      <c r="AB34" s="429"/>
      <c r="AC34" s="350">
        <f>W35</f>
        <v>36171974.0350993</v>
      </c>
      <c r="AD34" s="331"/>
      <c r="AE34" s="366"/>
    </row>
    <row r="35" spans="2:31" s="332" customFormat="1" ht="12.75">
      <c r="B35" s="330"/>
      <c r="C35" s="429" t="s">
        <v>139</v>
      </c>
      <c r="D35" s="429"/>
      <c r="E35" s="350">
        <f>'FA Continuity 2006'!M47</f>
        <v>30177348.369999997</v>
      </c>
      <c r="F35" s="331"/>
      <c r="H35" s="330"/>
      <c r="I35" s="429" t="s">
        <v>218</v>
      </c>
      <c r="J35" s="429"/>
      <c r="K35" s="350">
        <f>'FA Continuity 2007'!M47</f>
        <v>29235751.03</v>
      </c>
      <c r="L35" s="331"/>
      <c r="N35" s="330"/>
      <c r="O35" s="429" t="s">
        <v>270</v>
      </c>
      <c r="P35" s="429"/>
      <c r="Q35" s="350">
        <f>'FA Continuity 2008'!M47</f>
        <v>30515240.889999997</v>
      </c>
      <c r="R35" s="331"/>
      <c r="S35" s="325"/>
      <c r="T35" s="330"/>
      <c r="U35" s="429" t="s">
        <v>212</v>
      </c>
      <c r="V35" s="429"/>
      <c r="W35" s="350">
        <f>'FA Continuity 2009'!M47</f>
        <v>36171974.0350993</v>
      </c>
      <c r="X35" s="331"/>
      <c r="Y35" s="325"/>
      <c r="Z35" s="330"/>
      <c r="AA35" s="429" t="s">
        <v>845</v>
      </c>
      <c r="AB35" s="429"/>
      <c r="AC35" s="350">
        <f>'FA Continuity 2010'!M47</f>
        <v>41123140.940937616</v>
      </c>
      <c r="AD35" s="331"/>
      <c r="AE35" s="366"/>
    </row>
    <row r="36" spans="2:33" s="332" customFormat="1" ht="12.75">
      <c r="B36" s="330"/>
      <c r="C36" s="430" t="s">
        <v>238</v>
      </c>
      <c r="D36" s="430"/>
      <c r="E36" s="351">
        <f>AVERAGE(E34:E35)</f>
        <v>29085690.595000003</v>
      </c>
      <c r="F36" s="331"/>
      <c r="H36" s="330"/>
      <c r="I36" s="430" t="s">
        <v>219</v>
      </c>
      <c r="J36" s="430"/>
      <c r="K36" s="351">
        <f>AVERAGE(K34:K35)</f>
        <v>29706549.7</v>
      </c>
      <c r="L36" s="331"/>
      <c r="N36" s="330"/>
      <c r="O36" s="430" t="s">
        <v>271</v>
      </c>
      <c r="P36" s="430"/>
      <c r="Q36" s="351">
        <f>AVERAGE(Q34:Q35)</f>
        <v>29875495.96</v>
      </c>
      <c r="R36" s="331"/>
      <c r="S36" s="325"/>
      <c r="T36" s="330"/>
      <c r="U36" s="430" t="s">
        <v>840</v>
      </c>
      <c r="V36" s="430"/>
      <c r="W36" s="351">
        <f>AVERAGE(W34:W35)</f>
        <v>33343607.46254965</v>
      </c>
      <c r="X36" s="331"/>
      <c r="Y36" s="325"/>
      <c r="Z36" s="330"/>
      <c r="AA36" s="430" t="s">
        <v>841</v>
      </c>
      <c r="AB36" s="430"/>
      <c r="AC36" s="351">
        <f>AVERAGE(AC34:AC35)</f>
        <v>38647557.48801845</v>
      </c>
      <c r="AD36" s="331"/>
      <c r="AE36" s="366"/>
      <c r="AF36" s="466"/>
      <c r="AG36" s="466"/>
    </row>
    <row r="37" spans="2:31" s="332" customFormat="1" ht="12.75">
      <c r="B37" s="330"/>
      <c r="C37" s="429" t="s">
        <v>194</v>
      </c>
      <c r="D37" s="429"/>
      <c r="E37" s="350">
        <f>E29</f>
        <v>7105420.135499999</v>
      </c>
      <c r="F37" s="331"/>
      <c r="H37" s="330"/>
      <c r="I37" s="429" t="s">
        <v>194</v>
      </c>
      <c r="J37" s="429"/>
      <c r="K37" s="350">
        <f>K29</f>
        <v>7648401.9645</v>
      </c>
      <c r="L37" s="331"/>
      <c r="N37" s="330"/>
      <c r="O37" s="429" t="s">
        <v>194</v>
      </c>
      <c r="P37" s="429"/>
      <c r="Q37" s="350">
        <f>Q29</f>
        <v>7010439.685500001</v>
      </c>
      <c r="R37" s="331"/>
      <c r="S37" s="325"/>
      <c r="T37" s="330"/>
      <c r="U37" s="429" t="s">
        <v>194</v>
      </c>
      <c r="V37" s="429"/>
      <c r="W37" s="350">
        <f>W29</f>
        <v>7151090.681922686</v>
      </c>
      <c r="X37" s="331"/>
      <c r="Y37" s="325"/>
      <c r="Z37" s="330"/>
      <c r="AA37" s="429" t="s">
        <v>194</v>
      </c>
      <c r="AB37" s="429"/>
      <c r="AC37" s="350">
        <f>AC29</f>
        <v>7572164.940308925</v>
      </c>
      <c r="AD37" s="331"/>
      <c r="AE37" s="366"/>
    </row>
    <row r="38" spans="2:31" s="332" customFormat="1" ht="13.5" thickBot="1">
      <c r="B38" s="330"/>
      <c r="C38" s="430" t="s">
        <v>220</v>
      </c>
      <c r="D38" s="430"/>
      <c r="E38" s="352">
        <f>E36+E37</f>
        <v>36191110.7305</v>
      </c>
      <c r="F38" s="331"/>
      <c r="H38" s="330"/>
      <c r="I38" s="430" t="s">
        <v>220</v>
      </c>
      <c r="J38" s="430"/>
      <c r="K38" s="352">
        <f>K36+K37</f>
        <v>37354951.6645</v>
      </c>
      <c r="L38" s="331"/>
      <c r="N38" s="330"/>
      <c r="O38" s="430" t="s">
        <v>220</v>
      </c>
      <c r="P38" s="430"/>
      <c r="Q38" s="352">
        <f>Q36+Q37</f>
        <v>36885935.645500004</v>
      </c>
      <c r="R38" s="331"/>
      <c r="S38" s="325"/>
      <c r="T38" s="330"/>
      <c r="U38" s="430" t="s">
        <v>220</v>
      </c>
      <c r="V38" s="430"/>
      <c r="W38" s="352">
        <f>W36+W37</f>
        <v>40494698.14447234</v>
      </c>
      <c r="X38" s="331"/>
      <c r="Y38" s="325"/>
      <c r="Z38" s="330"/>
      <c r="AA38" s="430" t="s">
        <v>220</v>
      </c>
      <c r="AB38" s="430"/>
      <c r="AC38" s="352">
        <f>AC36+AC37</f>
        <v>46219722.42832738</v>
      </c>
      <c r="AD38" s="331"/>
      <c r="AE38" s="366"/>
    </row>
    <row r="39" spans="2:31" ht="13.5" thickTop="1">
      <c r="B39" s="46"/>
      <c r="C39" s="416" t="s">
        <v>186</v>
      </c>
      <c r="D39" s="416"/>
      <c r="E39" s="59">
        <f>E12</f>
        <v>0.07</v>
      </c>
      <c r="F39" s="55"/>
      <c r="H39" s="46"/>
      <c r="I39" s="416" t="s">
        <v>186</v>
      </c>
      <c r="J39" s="416"/>
      <c r="K39" s="59">
        <f>K12</f>
        <v>0.07</v>
      </c>
      <c r="L39" s="55"/>
      <c r="N39" s="46"/>
      <c r="O39" s="416" t="s">
        <v>186</v>
      </c>
      <c r="P39" s="416"/>
      <c r="Q39" s="59">
        <f>Q12</f>
        <v>0.06868</v>
      </c>
      <c r="R39" s="55"/>
      <c r="S39" s="56"/>
      <c r="T39" s="46"/>
      <c r="U39" s="416" t="s">
        <v>186</v>
      </c>
      <c r="V39" s="416"/>
      <c r="W39" s="59">
        <f>W12</f>
        <v>0.06671240212527883</v>
      </c>
      <c r="X39" s="55"/>
      <c r="Y39" s="56"/>
      <c r="Z39" s="46"/>
      <c r="AA39" s="416" t="s">
        <v>186</v>
      </c>
      <c r="AB39" s="416"/>
      <c r="AC39" s="59">
        <f>AC12</f>
        <v>0.07144666045185813</v>
      </c>
      <c r="AD39" s="55"/>
      <c r="AE39" s="21"/>
    </row>
    <row r="40" spans="2:30" s="332" customFormat="1" ht="13.5" thickBot="1">
      <c r="B40" s="330"/>
      <c r="C40" s="430" t="s">
        <v>221</v>
      </c>
      <c r="D40" s="430"/>
      <c r="E40" s="352">
        <f>E38*E39</f>
        <v>2533377.751135</v>
      </c>
      <c r="F40" s="331"/>
      <c r="H40" s="330"/>
      <c r="I40" s="430" t="s">
        <v>221</v>
      </c>
      <c r="J40" s="430"/>
      <c r="K40" s="352">
        <f>K38*K39</f>
        <v>2614846.616515</v>
      </c>
      <c r="L40" s="331"/>
      <c r="N40" s="330"/>
      <c r="O40" s="430" t="s">
        <v>221</v>
      </c>
      <c r="P40" s="430"/>
      <c r="Q40" s="352">
        <f>Q38*Q39</f>
        <v>2533326.0601329403</v>
      </c>
      <c r="R40" s="331"/>
      <c r="S40" s="325"/>
      <c r="T40" s="330"/>
      <c r="U40" s="430" t="s">
        <v>221</v>
      </c>
      <c r="V40" s="430"/>
      <c r="W40" s="352">
        <f>W38*W39</f>
        <v>2701498.5865558214</v>
      </c>
      <c r="X40" s="331"/>
      <c r="Y40" s="325"/>
      <c r="Z40" s="330"/>
      <c r="AA40" s="430" t="s">
        <v>221</v>
      </c>
      <c r="AB40" s="430"/>
      <c r="AC40" s="352">
        <f>AC38*AC39</f>
        <v>3302244.814515838</v>
      </c>
      <c r="AD40" s="331"/>
    </row>
    <row r="41" spans="2:30" s="332" customFormat="1" ht="13.5" thickTop="1">
      <c r="B41" s="330"/>
      <c r="C41" s="429" t="s">
        <v>197</v>
      </c>
      <c r="D41" s="429"/>
      <c r="E41" s="350">
        <f>(E38*D8*E8)+(E38*D9*E9)</f>
        <v>904777.7682625</v>
      </c>
      <c r="F41" s="331"/>
      <c r="H41" s="330"/>
      <c r="I41" s="429" t="s">
        <v>197</v>
      </c>
      <c r="J41" s="429"/>
      <c r="K41" s="350">
        <f>(K38*J8*K8)+(K38*J9*K9)</f>
        <v>933873.7916125</v>
      </c>
      <c r="L41" s="331"/>
      <c r="N41" s="330"/>
      <c r="O41" s="429" t="s">
        <v>197</v>
      </c>
      <c r="P41" s="429"/>
      <c r="Q41" s="350">
        <f>(Q38*P8*Q8)+(Q38*P9*Q9)</f>
        <v>983010.1849525752</v>
      </c>
      <c r="R41" s="331"/>
      <c r="S41" s="325"/>
      <c r="T41" s="330"/>
      <c r="U41" s="429" t="s">
        <v>197</v>
      </c>
      <c r="V41" s="429"/>
      <c r="W41" s="350">
        <f>(W38*V8*W8)+(W38*V9*W9)</f>
        <v>1123420.1998657342</v>
      </c>
      <c r="X41" s="331"/>
      <c r="Y41" s="325"/>
      <c r="Z41" s="330"/>
      <c r="AA41" s="429" t="s">
        <v>197</v>
      </c>
      <c r="AB41" s="429"/>
      <c r="AC41" s="350">
        <f>(AC38*AB8*AC8)+(AC38*AB9*AC9)</f>
        <v>1821364.9079122285</v>
      </c>
      <c r="AD41" s="331"/>
    </row>
    <row r="42" spans="2:30" s="332" customFormat="1" ht="12.75">
      <c r="B42" s="330"/>
      <c r="C42" s="429" t="s">
        <v>198</v>
      </c>
      <c r="D42" s="429"/>
      <c r="E42" s="350">
        <f>E38*D10*E10</f>
        <v>1628599.9828724999</v>
      </c>
      <c r="F42" s="331"/>
      <c r="H42" s="330"/>
      <c r="I42" s="429" t="s">
        <v>198</v>
      </c>
      <c r="J42" s="429"/>
      <c r="K42" s="350">
        <f>K38*J10*K10</f>
        <v>1680972.8249024998</v>
      </c>
      <c r="L42" s="331"/>
      <c r="N42" s="330"/>
      <c r="O42" s="429" t="s">
        <v>198</v>
      </c>
      <c r="P42" s="429"/>
      <c r="Q42" s="350">
        <f>Q38*P10*Q10</f>
        <v>1550315.875180365</v>
      </c>
      <c r="R42" s="331"/>
      <c r="S42" s="325"/>
      <c r="T42" s="330"/>
      <c r="U42" s="429" t="s">
        <v>198</v>
      </c>
      <c r="V42" s="429"/>
      <c r="W42" s="350">
        <f>W38*V10*W10</f>
        <v>1578078.386690087</v>
      </c>
      <c r="X42" s="331"/>
      <c r="Y42" s="325"/>
      <c r="Z42" s="330"/>
      <c r="AA42" s="429" t="s">
        <v>198</v>
      </c>
      <c r="AB42" s="429"/>
      <c r="AC42" s="350">
        <f>AC38*AB10*AC10</f>
        <v>1480879.9066036094</v>
      </c>
      <c r="AD42" s="331"/>
    </row>
    <row r="43" spans="2:30" ht="5.25" customHeight="1" thickBot="1">
      <c r="B43" s="49"/>
      <c r="C43" s="50"/>
      <c r="D43" s="50"/>
      <c r="E43" s="50"/>
      <c r="F43" s="51"/>
      <c r="H43" s="49"/>
      <c r="I43" s="50"/>
      <c r="J43" s="50"/>
      <c r="K43" s="50"/>
      <c r="L43" s="51"/>
      <c r="N43" s="49"/>
      <c r="O43" s="50"/>
      <c r="P43" s="50"/>
      <c r="Q43" s="50"/>
      <c r="R43" s="51"/>
      <c r="S43" s="56"/>
      <c r="T43" s="49"/>
      <c r="U43" s="50"/>
      <c r="V43" s="50"/>
      <c r="W43" s="50"/>
      <c r="X43" s="51"/>
      <c r="Y43" s="56"/>
      <c r="Z43" s="49"/>
      <c r="AA43" s="50"/>
      <c r="AB43" s="50"/>
      <c r="AC43" s="50"/>
      <c r="AD43" s="51"/>
    </row>
    <row r="44" ht="13.5" customHeight="1"/>
    <row r="78" ht="12.75">
      <c r="D78" s="20"/>
    </row>
  </sheetData>
  <sheetProtection/>
  <mergeCells count="139">
    <mergeCell ref="C20:D20"/>
    <mergeCell ref="C21:D21"/>
    <mergeCell ref="C6:E6"/>
    <mergeCell ref="C11:D11"/>
    <mergeCell ref="C12:D12"/>
    <mergeCell ref="C16:E16"/>
    <mergeCell ref="C17:D17"/>
    <mergeCell ref="C18:D18"/>
    <mergeCell ref="C19:D19"/>
    <mergeCell ref="C22:D22"/>
    <mergeCell ref="C23:D23"/>
    <mergeCell ref="C24:D24"/>
    <mergeCell ref="C25:D25"/>
    <mergeCell ref="C26:D26"/>
    <mergeCell ref="C27:D27"/>
    <mergeCell ref="C28:E28"/>
    <mergeCell ref="C29:D29"/>
    <mergeCell ref="C33:E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I6:K6"/>
    <mergeCell ref="I11:J11"/>
    <mergeCell ref="I12:J12"/>
    <mergeCell ref="I16:K16"/>
    <mergeCell ref="I17:J17"/>
    <mergeCell ref="I18:J18"/>
    <mergeCell ref="I19:J19"/>
    <mergeCell ref="I20:J20"/>
    <mergeCell ref="I34:J34"/>
    <mergeCell ref="AA6:AC6"/>
    <mergeCell ref="AA16:AC16"/>
    <mergeCell ref="AA37:AB37"/>
    <mergeCell ref="AA17:AB17"/>
    <mergeCell ref="AA18:AB18"/>
    <mergeCell ref="AA19:AB19"/>
    <mergeCell ref="AA20:AB20"/>
    <mergeCell ref="AA21:AB21"/>
    <mergeCell ref="AA22:AB22"/>
    <mergeCell ref="AA42:AB42"/>
    <mergeCell ref="AA41:AB41"/>
    <mergeCell ref="AA39:AB39"/>
    <mergeCell ref="I38:J38"/>
    <mergeCell ref="I39:J39"/>
    <mergeCell ref="I40:J40"/>
    <mergeCell ref="I41:J41"/>
    <mergeCell ref="I42:J42"/>
    <mergeCell ref="AA38:AB38"/>
    <mergeCell ref="U41:V41"/>
    <mergeCell ref="B3:R3"/>
    <mergeCell ref="A1:R1"/>
    <mergeCell ref="A2:R2"/>
    <mergeCell ref="O11:P11"/>
    <mergeCell ref="AF36:AG36"/>
    <mergeCell ref="O42:P42"/>
    <mergeCell ref="AA11:AB11"/>
    <mergeCell ref="AA12:AB12"/>
    <mergeCell ref="AA35:AB35"/>
    <mergeCell ref="AA36:AB36"/>
    <mergeCell ref="AA23:AB23"/>
    <mergeCell ref="AA25:AB25"/>
    <mergeCell ref="AA26:AB26"/>
    <mergeCell ref="AA24:AB24"/>
    <mergeCell ref="I35:J35"/>
    <mergeCell ref="I36:J36"/>
    <mergeCell ref="I21:J21"/>
    <mergeCell ref="I22:J22"/>
    <mergeCell ref="I29:J29"/>
    <mergeCell ref="I33:K33"/>
    <mergeCell ref="I23:J23"/>
    <mergeCell ref="I24:J24"/>
    <mergeCell ref="I25:J25"/>
    <mergeCell ref="I26:J26"/>
    <mergeCell ref="I37:J37"/>
    <mergeCell ref="I27:J27"/>
    <mergeCell ref="I28:K28"/>
    <mergeCell ref="O23:P23"/>
    <mergeCell ref="O26:P26"/>
    <mergeCell ref="O25:P25"/>
    <mergeCell ref="O24:P24"/>
    <mergeCell ref="O37:P37"/>
    <mergeCell ref="O27:P27"/>
    <mergeCell ref="O29:P29"/>
    <mergeCell ref="AA27:AB27"/>
    <mergeCell ref="O41:P41"/>
    <mergeCell ref="AA33:AC33"/>
    <mergeCell ref="AA34:AB34"/>
    <mergeCell ref="O38:P38"/>
    <mergeCell ref="O39:P39"/>
    <mergeCell ref="O40:P40"/>
    <mergeCell ref="O34:P34"/>
    <mergeCell ref="O35:P35"/>
    <mergeCell ref="AA40:AB40"/>
    <mergeCell ref="O36:P36"/>
    <mergeCell ref="O28:Q28"/>
    <mergeCell ref="O33:Q33"/>
    <mergeCell ref="AA29:AB29"/>
    <mergeCell ref="AA28:AC28"/>
    <mergeCell ref="U29:V29"/>
    <mergeCell ref="U33:W33"/>
    <mergeCell ref="U34:V34"/>
    <mergeCell ref="U35:V35"/>
    <mergeCell ref="U36:V36"/>
    <mergeCell ref="O19:P19"/>
    <mergeCell ref="O20:P20"/>
    <mergeCell ref="O21:P21"/>
    <mergeCell ref="O22:P22"/>
    <mergeCell ref="O16:Q16"/>
    <mergeCell ref="O6:Q6"/>
    <mergeCell ref="O17:P17"/>
    <mergeCell ref="O18:P18"/>
    <mergeCell ref="O12:P12"/>
    <mergeCell ref="U6:W6"/>
    <mergeCell ref="U11:V11"/>
    <mergeCell ref="U12:V12"/>
    <mergeCell ref="U16:W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W28"/>
    <mergeCell ref="U42:V42"/>
    <mergeCell ref="U37:V37"/>
    <mergeCell ref="U38:V38"/>
    <mergeCell ref="U39:V39"/>
    <mergeCell ref="U40:V40"/>
  </mergeCells>
  <printOptions horizontalCentered="1"/>
  <pageMargins left="0.35" right="0.35" top="0.35" bottom="0.35" header="0.2" footer="0.2"/>
  <pageSetup fitToHeight="1" fitToWidth="1" horizontalDpi="355" verticalDpi="355" orientation="landscape" scale="46" r:id="rId1"/>
  <headerFooter alignWithMargins="0">
    <oddFooter>&amp;L&amp;A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3"/>
  <sheetViews>
    <sheetView workbookViewId="0" topLeftCell="A1">
      <selection activeCell="A1" sqref="A1:N1"/>
    </sheetView>
  </sheetViews>
  <sheetFormatPr defaultColWidth="9.140625" defaultRowHeight="12.75"/>
  <cols>
    <col min="1" max="1" width="0.9921875" style="0" customWidth="1"/>
    <col min="2" max="2" width="1.28515625" style="0" customWidth="1"/>
    <col min="3" max="3" width="23.28125" style="0" bestFit="1" customWidth="1"/>
    <col min="4" max="4" width="11.8515625" style="0" bestFit="1" customWidth="1"/>
    <col min="5" max="5" width="18.28125" style="0" customWidth="1"/>
    <col min="8" max="8" width="12.28125" style="0" bestFit="1" customWidth="1"/>
    <col min="9" max="9" width="12.421875" style="0" bestFit="1" customWidth="1"/>
    <col min="10" max="10" width="1.7109375" style="0" customWidth="1"/>
    <col min="12" max="12" width="12.28125" style="0" bestFit="1" customWidth="1"/>
    <col min="13" max="13" width="12.140625" style="0" bestFit="1" customWidth="1"/>
    <col min="14" max="14" width="0.9921875" style="0" customWidth="1"/>
    <col min="16" max="16" width="12.8515625" style="310" bestFit="1" customWidth="1"/>
  </cols>
  <sheetData>
    <row r="1" spans="1:14" ht="12.75">
      <c r="A1" s="441" t="str">
        <f>'Trial Balance'!A1:J1</f>
        <v>North Bay Hydro Distribution Ltd.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ht="12.75">
      <c r="A2" s="441" t="str">
        <f>'Trial Balance'!A2:J2</f>
        <v>License Number ED-2003-0024, File Number EB-2009-0270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</row>
    <row r="3" spans="2:14" ht="35.25" customHeight="1" thickBot="1">
      <c r="B3" s="509" t="s">
        <v>237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</row>
    <row r="4" spans="2:14" ht="6" customHeight="1">
      <c r="B4" s="43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5"/>
    </row>
    <row r="5" spans="2:14" ht="24" customHeight="1">
      <c r="B5" s="46"/>
      <c r="C5" s="458" t="s">
        <v>459</v>
      </c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55"/>
    </row>
    <row r="6" spans="2:16" s="19" customFormat="1" ht="33" customHeight="1">
      <c r="B6" s="243"/>
      <c r="C6" s="86" t="s">
        <v>189</v>
      </c>
      <c r="D6" s="86" t="s">
        <v>460</v>
      </c>
      <c r="E6" s="244" t="s">
        <v>461</v>
      </c>
      <c r="F6" s="487" t="s">
        <v>462</v>
      </c>
      <c r="G6" s="508"/>
      <c r="H6" s="86" t="s">
        <v>463</v>
      </c>
      <c r="I6" s="86" t="s">
        <v>464</v>
      </c>
      <c r="J6" s="489" t="s">
        <v>180</v>
      </c>
      <c r="K6" s="489"/>
      <c r="L6" s="244" t="s">
        <v>181</v>
      </c>
      <c r="M6" s="86" t="s">
        <v>465</v>
      </c>
      <c r="N6" s="245"/>
      <c r="P6" s="357"/>
    </row>
    <row r="7" spans="2:14" ht="12.75">
      <c r="B7" s="46"/>
      <c r="C7" s="219" t="s">
        <v>846</v>
      </c>
      <c r="D7" s="219" t="s">
        <v>876</v>
      </c>
      <c r="E7" s="328" t="s">
        <v>93</v>
      </c>
      <c r="F7" s="499">
        <v>37697</v>
      </c>
      <c r="G7" s="500"/>
      <c r="H7" s="91">
        <v>19511601</v>
      </c>
      <c r="I7" s="92"/>
      <c r="J7" s="501">
        <v>0.05</v>
      </c>
      <c r="K7" s="502"/>
      <c r="L7" s="329">
        <v>2006</v>
      </c>
      <c r="M7" s="94">
        <f aca="true" t="shared" si="0" ref="M7:M14">H7*J7</f>
        <v>975580.05</v>
      </c>
      <c r="N7" s="55"/>
    </row>
    <row r="8" spans="2:14" ht="12.75">
      <c r="B8" s="46"/>
      <c r="C8" s="219" t="s">
        <v>846</v>
      </c>
      <c r="D8" s="219" t="s">
        <v>876</v>
      </c>
      <c r="E8" s="328" t="s">
        <v>93</v>
      </c>
      <c r="F8" s="499">
        <v>37697</v>
      </c>
      <c r="G8" s="500"/>
      <c r="H8" s="91">
        <v>19511601</v>
      </c>
      <c r="I8" s="92"/>
      <c r="J8" s="501">
        <v>0.05</v>
      </c>
      <c r="K8" s="502"/>
      <c r="L8" s="329">
        <v>2007</v>
      </c>
      <c r="M8" s="94">
        <f t="shared" si="0"/>
        <v>975580.05</v>
      </c>
      <c r="N8" s="55"/>
    </row>
    <row r="9" spans="2:14" ht="12.75">
      <c r="B9" s="46"/>
      <c r="C9" s="219" t="s">
        <v>846</v>
      </c>
      <c r="D9" s="219" t="s">
        <v>876</v>
      </c>
      <c r="E9" s="328" t="s">
        <v>93</v>
      </c>
      <c r="F9" s="499">
        <v>37697</v>
      </c>
      <c r="G9" s="500"/>
      <c r="H9" s="91">
        <v>19511601</v>
      </c>
      <c r="I9" s="92"/>
      <c r="J9" s="501">
        <v>0.05</v>
      </c>
      <c r="K9" s="502"/>
      <c r="L9" s="329">
        <v>2008</v>
      </c>
      <c r="M9" s="94">
        <f t="shared" si="0"/>
        <v>975580.05</v>
      </c>
      <c r="N9" s="55"/>
    </row>
    <row r="10" spans="2:14" ht="12.75">
      <c r="B10" s="46"/>
      <c r="C10" s="219" t="s">
        <v>846</v>
      </c>
      <c r="D10" s="219" t="s">
        <v>876</v>
      </c>
      <c r="E10" s="328" t="s">
        <v>93</v>
      </c>
      <c r="F10" s="499">
        <v>37697</v>
      </c>
      <c r="G10" s="500"/>
      <c r="H10" s="91">
        <v>19511601</v>
      </c>
      <c r="I10" s="92"/>
      <c r="J10" s="501">
        <v>0.05</v>
      </c>
      <c r="K10" s="502"/>
      <c r="L10" s="329">
        <v>2009</v>
      </c>
      <c r="M10" s="94">
        <f t="shared" si="0"/>
        <v>975580.05</v>
      </c>
      <c r="N10" s="55"/>
    </row>
    <row r="11" spans="2:16" ht="12.75">
      <c r="B11" s="46"/>
      <c r="C11" s="219" t="s">
        <v>846</v>
      </c>
      <c r="D11" s="219" t="s">
        <v>876</v>
      </c>
      <c r="E11" s="328" t="s">
        <v>93</v>
      </c>
      <c r="F11" s="499">
        <v>37697</v>
      </c>
      <c r="G11" s="500"/>
      <c r="H11" s="91">
        <v>19511601</v>
      </c>
      <c r="I11" s="92"/>
      <c r="J11" s="501">
        <v>0.0762</v>
      </c>
      <c r="K11" s="502"/>
      <c r="L11" s="329">
        <v>2010</v>
      </c>
      <c r="M11" s="94">
        <f t="shared" si="0"/>
        <v>1486783.9962000002</v>
      </c>
      <c r="N11" s="55"/>
      <c r="P11" s="369" t="s">
        <v>893</v>
      </c>
    </row>
    <row r="12" spans="2:17" ht="12.75">
      <c r="B12" s="46"/>
      <c r="C12" s="219" t="s">
        <v>889</v>
      </c>
      <c r="D12" s="219" t="s">
        <v>894</v>
      </c>
      <c r="E12" s="328" t="s">
        <v>878</v>
      </c>
      <c r="F12" s="503" t="s">
        <v>895</v>
      </c>
      <c r="G12" s="500"/>
      <c r="H12" s="91">
        <v>3411764.72</v>
      </c>
      <c r="I12" s="92"/>
      <c r="J12" s="501">
        <v>0.0428</v>
      </c>
      <c r="K12" s="502"/>
      <c r="L12" s="329">
        <v>2009</v>
      </c>
      <c r="M12" s="94">
        <f t="shared" si="0"/>
        <v>146023.530016</v>
      </c>
      <c r="N12" s="55"/>
      <c r="P12" s="310">
        <f>+'Trial Balance'!J146+'Trial Balance'!J182</f>
        <v>-3411764.7200000016</v>
      </c>
      <c r="Q12" s="381">
        <f>+H12+P12</f>
        <v>0</v>
      </c>
    </row>
    <row r="13" spans="2:17" ht="12.75">
      <c r="B13" s="46"/>
      <c r="C13" s="219" t="s">
        <v>889</v>
      </c>
      <c r="D13" s="219" t="s">
        <v>894</v>
      </c>
      <c r="E13" s="328" t="s">
        <v>878</v>
      </c>
      <c r="F13" s="503" t="s">
        <v>895</v>
      </c>
      <c r="G13" s="500"/>
      <c r="H13" s="91">
        <v>3058823.6</v>
      </c>
      <c r="I13" s="92"/>
      <c r="J13" s="501">
        <v>0.0428</v>
      </c>
      <c r="K13" s="502"/>
      <c r="L13" s="329">
        <v>2010</v>
      </c>
      <c r="M13" s="94">
        <f t="shared" si="0"/>
        <v>130917.65007999999</v>
      </c>
      <c r="N13" s="55"/>
      <c r="P13" s="310">
        <f>'Trial Balance'!L146+'Trial Balance'!L182</f>
        <v>-5502957.680000002</v>
      </c>
      <c r="Q13" s="381">
        <f>+H13+H14+P13</f>
        <v>0</v>
      </c>
    </row>
    <row r="14" spans="2:17" ht="12.75">
      <c r="B14" s="46"/>
      <c r="C14" s="219" t="s">
        <v>888</v>
      </c>
      <c r="D14" s="219" t="s">
        <v>894</v>
      </c>
      <c r="E14" s="328" t="s">
        <v>878</v>
      </c>
      <c r="F14" s="503" t="s">
        <v>896</v>
      </c>
      <c r="G14" s="500"/>
      <c r="H14" s="91">
        <v>2444134.08</v>
      </c>
      <c r="I14" s="92"/>
      <c r="J14" s="501">
        <v>0.0486</v>
      </c>
      <c r="K14" s="502"/>
      <c r="L14" s="329">
        <v>2010</v>
      </c>
      <c r="M14" s="94">
        <f t="shared" si="0"/>
        <v>118784.916288</v>
      </c>
      <c r="N14" s="55"/>
      <c r="Q14" s="381"/>
    </row>
    <row r="15" spans="2:14" ht="12.75">
      <c r="B15" s="46"/>
      <c r="C15" s="219"/>
      <c r="D15" s="219"/>
      <c r="E15" s="328"/>
      <c r="F15" s="499"/>
      <c r="G15" s="500"/>
      <c r="H15" s="91"/>
      <c r="I15" s="92"/>
      <c r="J15" s="501"/>
      <c r="K15" s="502"/>
      <c r="L15" s="329"/>
      <c r="M15" s="94">
        <f>H15*J15</f>
        <v>0</v>
      </c>
      <c r="N15" s="55"/>
    </row>
    <row r="16" spans="2:14" ht="12.75">
      <c r="B16" s="46"/>
      <c r="C16" s="219"/>
      <c r="D16" s="219"/>
      <c r="E16" s="328"/>
      <c r="F16" s="499"/>
      <c r="G16" s="500"/>
      <c r="H16" s="91"/>
      <c r="I16" s="92"/>
      <c r="J16" s="501"/>
      <c r="K16" s="502"/>
      <c r="L16" s="329"/>
      <c r="M16" s="94">
        <f>H16*J16</f>
        <v>0</v>
      </c>
      <c r="N16" s="55"/>
    </row>
    <row r="17" spans="2:14" ht="12.75">
      <c r="B17" s="46"/>
      <c r="C17" s="219"/>
      <c r="D17" s="219"/>
      <c r="E17" s="328"/>
      <c r="F17" s="321"/>
      <c r="G17" s="322"/>
      <c r="H17" s="91"/>
      <c r="I17" s="92"/>
      <c r="J17" s="498"/>
      <c r="K17" s="498"/>
      <c r="L17" s="329"/>
      <c r="M17" s="94">
        <f aca="true" t="shared" si="1" ref="M17:M24">H17*J17</f>
        <v>0</v>
      </c>
      <c r="N17" s="55"/>
    </row>
    <row r="18" spans="2:14" ht="12.75">
      <c r="B18" s="46"/>
      <c r="C18" s="219"/>
      <c r="D18" s="219"/>
      <c r="E18" s="328"/>
      <c r="F18" s="321"/>
      <c r="G18" s="322"/>
      <c r="H18" s="91"/>
      <c r="I18" s="92"/>
      <c r="J18" s="498"/>
      <c r="K18" s="498"/>
      <c r="L18" s="329"/>
      <c r="M18" s="94">
        <f t="shared" si="1"/>
        <v>0</v>
      </c>
      <c r="N18" s="55"/>
    </row>
    <row r="19" spans="2:14" ht="12.75">
      <c r="B19" s="46"/>
      <c r="C19" s="219"/>
      <c r="D19" s="219"/>
      <c r="E19" s="328"/>
      <c r="F19" s="321"/>
      <c r="G19" s="322"/>
      <c r="H19" s="91"/>
      <c r="I19" s="92"/>
      <c r="J19" s="498"/>
      <c r="K19" s="498"/>
      <c r="L19" s="329"/>
      <c r="M19" s="94">
        <f t="shared" si="1"/>
        <v>0</v>
      </c>
      <c r="N19" s="55"/>
    </row>
    <row r="20" spans="2:14" ht="12.75">
      <c r="B20" s="46"/>
      <c r="C20" s="219"/>
      <c r="D20" s="219"/>
      <c r="E20" s="328"/>
      <c r="F20" s="321"/>
      <c r="G20" s="322"/>
      <c r="H20" s="91"/>
      <c r="I20" s="92"/>
      <c r="J20" s="498"/>
      <c r="K20" s="498"/>
      <c r="L20" s="329"/>
      <c r="M20" s="94">
        <f t="shared" si="1"/>
        <v>0</v>
      </c>
      <c r="N20" s="55"/>
    </row>
    <row r="21" spans="2:14" ht="12.75">
      <c r="B21" s="46"/>
      <c r="C21" s="219"/>
      <c r="D21" s="219"/>
      <c r="E21" s="328"/>
      <c r="F21" s="321"/>
      <c r="G21" s="322"/>
      <c r="H21" s="91"/>
      <c r="I21" s="92"/>
      <c r="J21" s="498"/>
      <c r="K21" s="498"/>
      <c r="L21" s="329"/>
      <c r="M21" s="94">
        <f t="shared" si="1"/>
        <v>0</v>
      </c>
      <c r="N21" s="55"/>
    </row>
    <row r="22" spans="2:14" ht="12.75">
      <c r="B22" s="46"/>
      <c r="C22" s="219"/>
      <c r="D22" s="219"/>
      <c r="E22" s="328"/>
      <c r="F22" s="321"/>
      <c r="G22" s="322"/>
      <c r="H22" s="91"/>
      <c r="I22" s="92"/>
      <c r="J22" s="498"/>
      <c r="K22" s="498"/>
      <c r="L22" s="329"/>
      <c r="M22" s="94">
        <f t="shared" si="1"/>
        <v>0</v>
      </c>
      <c r="N22" s="55"/>
    </row>
    <row r="23" spans="2:14" ht="12.75">
      <c r="B23" s="46"/>
      <c r="C23" s="219"/>
      <c r="D23" s="219"/>
      <c r="E23" s="328"/>
      <c r="F23" s="496"/>
      <c r="G23" s="497"/>
      <c r="H23" s="91"/>
      <c r="I23" s="92"/>
      <c r="J23" s="498"/>
      <c r="K23" s="498"/>
      <c r="L23" s="329"/>
      <c r="M23" s="94">
        <f t="shared" si="1"/>
        <v>0</v>
      </c>
      <c r="N23" s="55"/>
    </row>
    <row r="24" spans="2:14" ht="12.75">
      <c r="B24" s="46"/>
      <c r="C24" s="219"/>
      <c r="D24" s="219"/>
      <c r="E24" s="328"/>
      <c r="F24" s="496"/>
      <c r="G24" s="497"/>
      <c r="H24" s="91"/>
      <c r="I24" s="92"/>
      <c r="J24" s="498"/>
      <c r="K24" s="498"/>
      <c r="L24" s="329"/>
      <c r="M24" s="94">
        <f t="shared" si="1"/>
        <v>0</v>
      </c>
      <c r="N24" s="55"/>
    </row>
    <row r="25" spans="2:14" ht="12.75">
      <c r="B25" s="46"/>
      <c r="C25" s="219"/>
      <c r="D25" s="219"/>
      <c r="E25" s="328"/>
      <c r="F25" s="496"/>
      <c r="G25" s="497"/>
      <c r="H25" s="91"/>
      <c r="I25" s="92"/>
      <c r="J25" s="498"/>
      <c r="K25" s="498"/>
      <c r="L25" s="92"/>
      <c r="M25" s="94">
        <f>H25*J25</f>
        <v>0</v>
      </c>
      <c r="N25" s="55"/>
    </row>
    <row r="26" spans="2:14" ht="12.75">
      <c r="B26" s="46"/>
      <c r="C26" s="219"/>
      <c r="D26" s="219"/>
      <c r="E26" s="328"/>
      <c r="F26" s="496"/>
      <c r="G26" s="497"/>
      <c r="H26" s="91"/>
      <c r="I26" s="92"/>
      <c r="J26" s="498"/>
      <c r="K26" s="498"/>
      <c r="L26" s="92"/>
      <c r="M26" s="94">
        <f>H26*J26</f>
        <v>0</v>
      </c>
      <c r="N26" s="55"/>
    </row>
    <row r="27" spans="2:14" ht="12.75">
      <c r="B27" s="46"/>
      <c r="C27" s="219"/>
      <c r="D27" s="219"/>
      <c r="E27" s="328"/>
      <c r="F27" s="496"/>
      <c r="G27" s="497"/>
      <c r="H27" s="91"/>
      <c r="I27" s="92"/>
      <c r="J27" s="498"/>
      <c r="K27" s="498"/>
      <c r="L27" s="92"/>
      <c r="M27" s="94">
        <f>H27*J27</f>
        <v>0</v>
      </c>
      <c r="N27" s="55"/>
    </row>
    <row r="28" spans="2:14" ht="7.5" customHeight="1" thickBot="1">
      <c r="B28" s="46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5"/>
    </row>
    <row r="29" spans="2:14" ht="13.5" customHeight="1" thickBot="1">
      <c r="B29" s="46"/>
      <c r="C29" s="492" t="s">
        <v>847</v>
      </c>
      <c r="D29" s="492"/>
      <c r="E29" s="492"/>
      <c r="F29" s="492"/>
      <c r="G29" s="492"/>
      <c r="H29" s="304">
        <f>SUMIF($L$7:$L$26,2006,$H$7:$H$27)</f>
        <v>19511601</v>
      </c>
      <c r="I29" s="506" t="s">
        <v>235</v>
      </c>
      <c r="J29" s="493"/>
      <c r="K29" s="493"/>
      <c r="L29" s="507"/>
      <c r="M29" s="304">
        <f>SUMIF($L$7:$L$26,2006,$M$7:$M$27)</f>
        <v>975580.05</v>
      </c>
      <c r="N29" s="55"/>
    </row>
    <row r="30" spans="2:14" ht="13.5" customHeight="1" thickBot="1">
      <c r="B30" s="46"/>
      <c r="C30" s="494"/>
      <c r="D30" s="494"/>
      <c r="E30" s="494"/>
      <c r="F30" s="494"/>
      <c r="G30" s="494"/>
      <c r="H30" s="494"/>
      <c r="I30" s="494"/>
      <c r="J30" s="494"/>
      <c r="K30" s="494"/>
      <c r="L30" s="494"/>
      <c r="M30" s="494"/>
      <c r="N30" s="55"/>
    </row>
    <row r="31" spans="2:14" ht="13.5" customHeight="1" thickBot="1">
      <c r="B31" s="46"/>
      <c r="C31" s="416"/>
      <c r="D31" s="416"/>
      <c r="E31" s="416"/>
      <c r="F31" s="416"/>
      <c r="G31" s="416"/>
      <c r="H31" s="416"/>
      <c r="I31" s="493" t="s">
        <v>236</v>
      </c>
      <c r="J31" s="493"/>
      <c r="K31" s="493"/>
      <c r="L31" s="493"/>
      <c r="M31" s="221">
        <f>M29/H29</f>
        <v>0.05</v>
      </c>
      <c r="N31" s="55"/>
    </row>
    <row r="32" spans="2:14" ht="13.5" thickBot="1">
      <c r="B32" s="4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5"/>
    </row>
    <row r="33" spans="2:14" ht="13.5" thickBot="1">
      <c r="B33" s="46"/>
      <c r="C33" s="492" t="s">
        <v>848</v>
      </c>
      <c r="D33" s="492"/>
      <c r="E33" s="492"/>
      <c r="F33" s="492"/>
      <c r="G33" s="492"/>
      <c r="H33" s="304">
        <f>SUMIF($L$7:$L$26,2007,$H$7:$H$27)</f>
        <v>19511601</v>
      </c>
      <c r="I33" s="506" t="s">
        <v>283</v>
      </c>
      <c r="J33" s="493"/>
      <c r="K33" s="493"/>
      <c r="L33" s="507"/>
      <c r="M33" s="304">
        <f>SUMIF($L$7:$L$26,2007,$M$7:$M$27)</f>
        <v>975580.05</v>
      </c>
      <c r="N33" s="55"/>
    </row>
    <row r="34" spans="2:14" ht="13.5" thickBot="1">
      <c r="B34" s="46"/>
      <c r="C34" s="494"/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55"/>
    </row>
    <row r="35" spans="2:14" ht="13.5" thickBot="1">
      <c r="B35" s="46"/>
      <c r="C35" s="416"/>
      <c r="D35" s="416"/>
      <c r="E35" s="416"/>
      <c r="F35" s="416"/>
      <c r="G35" s="416"/>
      <c r="H35" s="416"/>
      <c r="I35" s="493" t="s">
        <v>284</v>
      </c>
      <c r="J35" s="493"/>
      <c r="K35" s="493"/>
      <c r="L35" s="493"/>
      <c r="M35" s="221">
        <f>M33/H33</f>
        <v>0.05</v>
      </c>
      <c r="N35" s="55"/>
    </row>
    <row r="36" spans="2:14" ht="9" customHeight="1" thickBot="1">
      <c r="B36" s="46"/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55"/>
    </row>
    <row r="37" spans="2:14" ht="13.5" thickBot="1">
      <c r="B37" s="46"/>
      <c r="C37" s="492" t="s">
        <v>849</v>
      </c>
      <c r="D37" s="492"/>
      <c r="E37" s="492"/>
      <c r="F37" s="492"/>
      <c r="G37" s="492"/>
      <c r="H37" s="304">
        <f>SUMIF($L$7:$L$26,2008,$H$7:$H$27)</f>
        <v>19511601</v>
      </c>
      <c r="I37" s="493" t="s">
        <v>292</v>
      </c>
      <c r="J37" s="493"/>
      <c r="K37" s="493"/>
      <c r="L37" s="493"/>
      <c r="M37" s="304">
        <f>SUMIF($L$7:$L$26,2008,$M$7:$M$27)</f>
        <v>975580.05</v>
      </c>
      <c r="N37" s="55"/>
    </row>
    <row r="38" spans="2:14" ht="13.5" thickBot="1">
      <c r="B38" s="46"/>
      <c r="C38" s="494"/>
      <c r="D38" s="494"/>
      <c r="E38" s="494"/>
      <c r="F38" s="494"/>
      <c r="G38" s="494"/>
      <c r="H38" s="494"/>
      <c r="I38" s="494"/>
      <c r="J38" s="494"/>
      <c r="K38" s="494"/>
      <c r="L38" s="494"/>
      <c r="M38" s="494"/>
      <c r="N38" s="55"/>
    </row>
    <row r="39" spans="2:14" ht="13.5" thickBot="1">
      <c r="B39" s="46"/>
      <c r="C39" s="416"/>
      <c r="D39" s="416"/>
      <c r="E39" s="416"/>
      <c r="F39" s="416"/>
      <c r="G39" s="416"/>
      <c r="H39" s="416"/>
      <c r="I39" s="493" t="s">
        <v>285</v>
      </c>
      <c r="J39" s="493"/>
      <c r="K39" s="493"/>
      <c r="L39" s="493"/>
      <c r="M39" s="221">
        <f>M37/H37</f>
        <v>0.05</v>
      </c>
      <c r="N39" s="55"/>
    </row>
    <row r="40" spans="2:14" ht="13.5" thickBot="1">
      <c r="B40" s="46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55"/>
    </row>
    <row r="41" spans="2:14" ht="13.5" thickBot="1">
      <c r="B41" s="46"/>
      <c r="C41" s="492" t="s">
        <v>850</v>
      </c>
      <c r="D41" s="492"/>
      <c r="E41" s="492"/>
      <c r="F41" s="492"/>
      <c r="G41" s="492"/>
      <c r="H41" s="304">
        <f>SUMIF($L$7:$L$26,2009,$H$7:$H$27)</f>
        <v>22923365.72</v>
      </c>
      <c r="I41" s="493" t="s">
        <v>167</v>
      </c>
      <c r="J41" s="493"/>
      <c r="K41" s="493"/>
      <c r="L41" s="493"/>
      <c r="M41" s="304">
        <f>SUMIF($L$7:$L$26,2009,$M$7:$M$27)</f>
        <v>1121603.580016</v>
      </c>
      <c r="N41" s="55"/>
    </row>
    <row r="42" spans="2:14" ht="13.5" thickBot="1">
      <c r="B42" s="46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55"/>
    </row>
    <row r="43" spans="2:14" ht="13.5" thickBot="1">
      <c r="B43" s="46"/>
      <c r="C43" s="416"/>
      <c r="D43" s="416"/>
      <c r="E43" s="416"/>
      <c r="F43" s="416"/>
      <c r="G43" s="416"/>
      <c r="H43" s="416"/>
      <c r="I43" s="493" t="s">
        <v>168</v>
      </c>
      <c r="J43" s="493"/>
      <c r="K43" s="493"/>
      <c r="L43" s="493"/>
      <c r="M43" s="221">
        <f>M41/H41</f>
        <v>0.04892839881001558</v>
      </c>
      <c r="N43" s="55"/>
    </row>
    <row r="44" spans="2:14" ht="9" customHeight="1" thickBot="1">
      <c r="B44" s="46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55"/>
    </row>
    <row r="45" spans="2:14" ht="13.5" thickBot="1">
      <c r="B45" s="46"/>
      <c r="C45" s="492" t="s">
        <v>851</v>
      </c>
      <c r="D45" s="492"/>
      <c r="E45" s="492"/>
      <c r="F45" s="492"/>
      <c r="G45" s="492"/>
      <c r="H45" s="304">
        <f>SUMIF($L$7:$L$26,2010,$H$7:$H$27)</f>
        <v>25014558.68</v>
      </c>
      <c r="I45" s="493" t="s">
        <v>852</v>
      </c>
      <c r="J45" s="493"/>
      <c r="K45" s="493"/>
      <c r="L45" s="493"/>
      <c r="M45" s="304">
        <f>SUMIF($L$7:$L$26,2010,$M$7:$M$27)</f>
        <v>1736486.5625680003</v>
      </c>
      <c r="N45" s="55"/>
    </row>
    <row r="46" spans="2:14" ht="13.5" thickBot="1">
      <c r="B46" s="46"/>
      <c r="C46" s="494"/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55"/>
    </row>
    <row r="47" spans="2:14" ht="13.5" thickBot="1">
      <c r="B47" s="46"/>
      <c r="C47" s="416"/>
      <c r="D47" s="416"/>
      <c r="E47" s="416"/>
      <c r="F47" s="416"/>
      <c r="G47" s="416"/>
      <c r="H47" s="416"/>
      <c r="I47" s="493" t="s">
        <v>853</v>
      </c>
      <c r="J47" s="493"/>
      <c r="K47" s="493"/>
      <c r="L47" s="493"/>
      <c r="M47" s="221">
        <f>M45/H45</f>
        <v>0.0694190365211752</v>
      </c>
      <c r="N47" s="55"/>
    </row>
    <row r="48" spans="2:14" ht="8.25" customHeight="1" thickBot="1">
      <c r="B48" s="49"/>
      <c r="C48" s="510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"/>
    </row>
    <row r="49" spans="2:14" ht="13.5" thickBot="1">
      <c r="B49" s="495"/>
      <c r="C49" s="495"/>
      <c r="D49" s="495"/>
      <c r="E49" s="495"/>
      <c r="F49" s="495"/>
      <c r="G49" s="495"/>
      <c r="H49" s="495"/>
      <c r="I49" s="495"/>
      <c r="J49" s="495"/>
      <c r="K49" s="495"/>
      <c r="L49" s="495"/>
      <c r="M49" s="495"/>
      <c r="N49" s="495"/>
    </row>
    <row r="50" spans="1:14" ht="12.75">
      <c r="A50" s="56"/>
      <c r="B50" s="43"/>
      <c r="C50" s="495"/>
      <c r="D50" s="495"/>
      <c r="E50" s="495"/>
      <c r="F50" s="495"/>
      <c r="G50" s="495"/>
      <c r="H50" s="495"/>
      <c r="I50" s="495"/>
      <c r="J50" s="45"/>
      <c r="K50" s="56"/>
      <c r="L50" s="56"/>
      <c r="M50" s="56"/>
      <c r="N50" s="56"/>
    </row>
    <row r="51" spans="1:14" ht="15.75">
      <c r="A51" s="56"/>
      <c r="B51" s="46"/>
      <c r="C51" s="458" t="s">
        <v>854</v>
      </c>
      <c r="D51" s="458"/>
      <c r="E51" s="458"/>
      <c r="F51" s="458"/>
      <c r="G51" s="458"/>
      <c r="H51" s="458"/>
      <c r="I51" s="458"/>
      <c r="J51" s="55"/>
      <c r="K51" s="56"/>
      <c r="L51" s="56"/>
      <c r="M51" s="56"/>
      <c r="N51" s="56"/>
    </row>
    <row r="52" spans="1:14" ht="12.75" customHeight="1">
      <c r="A52" s="56"/>
      <c r="B52" s="243"/>
      <c r="C52" s="86" t="s">
        <v>189</v>
      </c>
      <c r="D52" s="86" t="s">
        <v>192</v>
      </c>
      <c r="E52" s="86" t="s">
        <v>466</v>
      </c>
      <c r="F52" s="487" t="s">
        <v>171</v>
      </c>
      <c r="G52" s="488"/>
      <c r="H52" s="489" t="s">
        <v>170</v>
      </c>
      <c r="I52" s="489"/>
      <c r="J52" s="245"/>
      <c r="K52" s="56"/>
      <c r="L52" s="56"/>
      <c r="M52" s="56"/>
      <c r="N52" s="56"/>
    </row>
    <row r="53" spans="1:14" ht="12.75">
      <c r="A53" s="56"/>
      <c r="B53" s="46"/>
      <c r="C53" s="56" t="s">
        <v>454</v>
      </c>
      <c r="D53" s="293">
        <f>D60*E53</f>
        <v>18095555.36525</v>
      </c>
      <c r="E53" s="70">
        <f>'Return on Capital'!D8</f>
        <v>0.5</v>
      </c>
      <c r="F53" s="490">
        <f>M31</f>
        <v>0.05</v>
      </c>
      <c r="G53" s="490"/>
      <c r="H53" s="491">
        <f>D53*F53</f>
        <v>904777.7682625</v>
      </c>
      <c r="I53" s="491"/>
      <c r="J53" s="55"/>
      <c r="K53" s="56"/>
      <c r="L53" s="56"/>
      <c r="M53" s="56"/>
      <c r="N53" s="56"/>
    </row>
    <row r="54" spans="1:14" ht="12.75">
      <c r="A54" s="56"/>
      <c r="B54" s="46"/>
      <c r="C54" s="56" t="s">
        <v>455</v>
      </c>
      <c r="D54" s="293"/>
      <c r="E54" s="70"/>
      <c r="F54" s="504"/>
      <c r="G54" s="504"/>
      <c r="H54" s="483"/>
      <c r="I54" s="483"/>
      <c r="J54" s="55"/>
      <c r="K54" s="56"/>
      <c r="L54" s="56"/>
      <c r="M54" s="56"/>
      <c r="N54" s="56"/>
    </row>
    <row r="55" spans="1:14" ht="12.75">
      <c r="A55" s="56"/>
      <c r="B55" s="46"/>
      <c r="C55" s="66" t="s">
        <v>538</v>
      </c>
      <c r="D55" s="294">
        <f>D53+D54</f>
        <v>18095555.36525</v>
      </c>
      <c r="E55" s="69">
        <f>E53+E54</f>
        <v>0.5</v>
      </c>
      <c r="F55" s="481"/>
      <c r="G55" s="481"/>
      <c r="H55" s="479">
        <f>SUM(H53:I54)</f>
        <v>904777.7682625</v>
      </c>
      <c r="I55" s="479"/>
      <c r="J55" s="55"/>
      <c r="K55" s="56"/>
      <c r="L55" s="56"/>
      <c r="M55" s="56"/>
      <c r="N55" s="56"/>
    </row>
    <row r="56" spans="1:14" ht="12.75">
      <c r="A56" s="56"/>
      <c r="B56" s="46"/>
      <c r="C56" s="56"/>
      <c r="D56" s="253"/>
      <c r="E56" s="70"/>
      <c r="F56" s="484"/>
      <c r="G56" s="484"/>
      <c r="H56" s="483"/>
      <c r="I56" s="483"/>
      <c r="J56" s="55"/>
      <c r="K56" s="56"/>
      <c r="L56" s="56"/>
      <c r="M56" s="56"/>
      <c r="N56" s="56"/>
    </row>
    <row r="57" spans="1:14" ht="12.75">
      <c r="A57" s="56"/>
      <c r="B57" s="46"/>
      <c r="C57" s="56" t="s">
        <v>453</v>
      </c>
      <c r="D57" s="293">
        <f>D60*E57</f>
        <v>18095555.36525</v>
      </c>
      <c r="E57" s="70">
        <f>'Return on Capital'!D10</f>
        <v>0.5</v>
      </c>
      <c r="F57" s="485">
        <f>'Return on Capital'!E10</f>
        <v>0.09</v>
      </c>
      <c r="G57" s="485"/>
      <c r="H57" s="483">
        <f>D57*F57</f>
        <v>1628599.9828724999</v>
      </c>
      <c r="I57" s="483"/>
      <c r="J57" s="55"/>
      <c r="K57" s="56"/>
      <c r="L57" s="56"/>
      <c r="M57" s="56"/>
      <c r="N57" s="56"/>
    </row>
    <row r="58" spans="1:14" ht="12.75">
      <c r="A58" s="56"/>
      <c r="B58" s="46"/>
      <c r="C58" s="66" t="s">
        <v>467</v>
      </c>
      <c r="D58" s="67">
        <f>+D57</f>
        <v>18095555.36525</v>
      </c>
      <c r="E58" s="69">
        <f>+E57</f>
        <v>0.5</v>
      </c>
      <c r="F58" s="481"/>
      <c r="G58" s="481"/>
      <c r="H58" s="479">
        <f>H57</f>
        <v>1628599.9828724999</v>
      </c>
      <c r="I58" s="479"/>
      <c r="J58" s="55"/>
      <c r="K58" s="56"/>
      <c r="L58" s="56"/>
      <c r="M58" s="56"/>
      <c r="N58" s="56"/>
    </row>
    <row r="59" spans="1:14" ht="12.75">
      <c r="A59" s="56"/>
      <c r="B59" s="46"/>
      <c r="C59" s="56"/>
      <c r="D59" s="63"/>
      <c r="E59" s="56"/>
      <c r="F59" s="482"/>
      <c r="G59" s="482"/>
      <c r="H59" s="483"/>
      <c r="I59" s="483"/>
      <c r="J59" s="55"/>
      <c r="K59" s="56"/>
      <c r="L59" s="56"/>
      <c r="M59" s="56"/>
      <c r="N59" s="56"/>
    </row>
    <row r="60" spans="1:14" ht="12.75">
      <c r="A60" s="56"/>
      <c r="B60" s="46"/>
      <c r="C60" s="66" t="s">
        <v>195</v>
      </c>
      <c r="D60" s="67">
        <f>'Return on Capital'!E38</f>
        <v>36191110.7305</v>
      </c>
      <c r="E60" s="69">
        <f>E55+E58</f>
        <v>1</v>
      </c>
      <c r="F60" s="478">
        <f>H60/D60</f>
        <v>0.07</v>
      </c>
      <c r="G60" s="478"/>
      <c r="H60" s="479">
        <f>H55+H58</f>
        <v>2533377.751135</v>
      </c>
      <c r="I60" s="479"/>
      <c r="J60" s="55"/>
      <c r="K60" s="56"/>
      <c r="L60" s="56"/>
      <c r="M60" s="56"/>
      <c r="N60" s="56"/>
    </row>
    <row r="61" spans="1:14" ht="13.5" thickBot="1">
      <c r="A61" s="56"/>
      <c r="B61" s="49"/>
      <c r="C61" s="480"/>
      <c r="D61" s="480"/>
      <c r="E61" s="480"/>
      <c r="F61" s="480"/>
      <c r="G61" s="480"/>
      <c r="H61" s="480"/>
      <c r="I61" s="480"/>
      <c r="J61" s="51"/>
      <c r="K61" s="56"/>
      <c r="L61" s="56"/>
      <c r="M61" s="56"/>
      <c r="N61" s="56"/>
    </row>
    <row r="62" spans="1:14" ht="13.5" thickBo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</row>
    <row r="63" spans="2:10" ht="6.75" customHeight="1">
      <c r="B63" s="43"/>
      <c r="C63" s="495"/>
      <c r="D63" s="495"/>
      <c r="E63" s="495"/>
      <c r="F63" s="495"/>
      <c r="G63" s="495"/>
      <c r="H63" s="495"/>
      <c r="I63" s="495"/>
      <c r="J63" s="45"/>
    </row>
    <row r="64" spans="2:10" ht="26.25" customHeight="1">
      <c r="B64" s="46"/>
      <c r="C64" s="458" t="s">
        <v>855</v>
      </c>
      <c r="D64" s="458"/>
      <c r="E64" s="458"/>
      <c r="F64" s="458"/>
      <c r="G64" s="458"/>
      <c r="H64" s="458"/>
      <c r="I64" s="458"/>
      <c r="J64" s="55"/>
    </row>
    <row r="65" spans="2:16" s="19" customFormat="1" ht="26.25" customHeight="1">
      <c r="B65" s="243"/>
      <c r="C65" s="86" t="s">
        <v>189</v>
      </c>
      <c r="D65" s="86" t="s">
        <v>192</v>
      </c>
      <c r="E65" s="86" t="s">
        <v>466</v>
      </c>
      <c r="F65" s="487" t="s">
        <v>171</v>
      </c>
      <c r="G65" s="488"/>
      <c r="H65" s="489" t="s">
        <v>170</v>
      </c>
      <c r="I65" s="489"/>
      <c r="J65" s="245"/>
      <c r="P65" s="357"/>
    </row>
    <row r="66" spans="2:10" ht="12.75">
      <c r="B66" s="46"/>
      <c r="C66" s="56" t="s">
        <v>454</v>
      </c>
      <c r="D66" s="293">
        <f>D73*E66</f>
        <v>18677475.83225</v>
      </c>
      <c r="E66" s="70">
        <f>'Return on Capital'!J8</f>
        <v>0.5</v>
      </c>
      <c r="F66" s="490">
        <f>M35</f>
        <v>0.05</v>
      </c>
      <c r="G66" s="490"/>
      <c r="H66" s="491">
        <f>D66*F66</f>
        <v>933873.7916125</v>
      </c>
      <c r="I66" s="491"/>
      <c r="J66" s="55"/>
    </row>
    <row r="67" spans="2:10" ht="12.75">
      <c r="B67" s="46"/>
      <c r="C67" s="56" t="s">
        <v>455</v>
      </c>
      <c r="D67" s="293"/>
      <c r="E67" s="70"/>
      <c r="F67" s="504"/>
      <c r="G67" s="504"/>
      <c r="H67" s="483"/>
      <c r="I67" s="483"/>
      <c r="J67" s="55"/>
    </row>
    <row r="68" spans="2:10" ht="12.75">
      <c r="B68" s="46"/>
      <c r="C68" s="66" t="s">
        <v>538</v>
      </c>
      <c r="D68" s="294">
        <f>D66+D67</f>
        <v>18677475.83225</v>
      </c>
      <c r="E68" s="69">
        <f>E66+E67</f>
        <v>0.5</v>
      </c>
      <c r="F68" s="481"/>
      <c r="G68" s="481"/>
      <c r="H68" s="479">
        <f>SUM(H66:I67)</f>
        <v>933873.7916125</v>
      </c>
      <c r="I68" s="479"/>
      <c r="J68" s="55"/>
    </row>
    <row r="69" spans="2:10" ht="12.75">
      <c r="B69" s="46"/>
      <c r="C69" s="56"/>
      <c r="D69" s="253"/>
      <c r="E69" s="70"/>
      <c r="F69" s="484"/>
      <c r="G69" s="484"/>
      <c r="H69" s="483"/>
      <c r="I69" s="483"/>
      <c r="J69" s="55"/>
    </row>
    <row r="70" spans="2:10" ht="12.75">
      <c r="B70" s="46"/>
      <c r="C70" s="56" t="s">
        <v>453</v>
      </c>
      <c r="D70" s="293">
        <f>D73*E70</f>
        <v>18677475.83225</v>
      </c>
      <c r="E70" s="70">
        <f>'Return on Capital'!J10</f>
        <v>0.5</v>
      </c>
      <c r="F70" s="485">
        <f>'Return on Capital'!K10</f>
        <v>0.09</v>
      </c>
      <c r="G70" s="485"/>
      <c r="H70" s="483">
        <f>D70*F70</f>
        <v>1680972.8249024998</v>
      </c>
      <c r="I70" s="483"/>
      <c r="J70" s="55"/>
    </row>
    <row r="71" spans="2:10" ht="12.75">
      <c r="B71" s="46"/>
      <c r="C71" s="66" t="s">
        <v>467</v>
      </c>
      <c r="D71" s="67">
        <f>+D70</f>
        <v>18677475.83225</v>
      </c>
      <c r="E71" s="69">
        <f>+E70</f>
        <v>0.5</v>
      </c>
      <c r="F71" s="481"/>
      <c r="G71" s="481"/>
      <c r="H71" s="479">
        <f>H70</f>
        <v>1680972.8249024998</v>
      </c>
      <c r="I71" s="479"/>
      <c r="J71" s="55"/>
    </row>
    <row r="72" spans="2:10" ht="12.75">
      <c r="B72" s="46"/>
      <c r="C72" s="56"/>
      <c r="D72" s="63"/>
      <c r="E72" s="56"/>
      <c r="F72" s="482"/>
      <c r="G72" s="482"/>
      <c r="H72" s="483"/>
      <c r="I72" s="483"/>
      <c r="J72" s="55"/>
    </row>
    <row r="73" spans="2:10" ht="12.75">
      <c r="B73" s="46"/>
      <c r="C73" s="66" t="s">
        <v>195</v>
      </c>
      <c r="D73" s="67">
        <f>'Return on Capital'!K38</f>
        <v>37354951.6645</v>
      </c>
      <c r="E73" s="69">
        <f>E68+E71</f>
        <v>1</v>
      </c>
      <c r="F73" s="478">
        <f>H73/D73</f>
        <v>0.07</v>
      </c>
      <c r="G73" s="478"/>
      <c r="H73" s="479">
        <f>H68+H71</f>
        <v>2614846.616515</v>
      </c>
      <c r="I73" s="479"/>
      <c r="J73" s="55"/>
    </row>
    <row r="74" spans="2:10" ht="7.5" customHeight="1" thickBot="1">
      <c r="B74" s="49"/>
      <c r="C74" s="480"/>
      <c r="D74" s="480"/>
      <c r="E74" s="480"/>
      <c r="F74" s="480"/>
      <c r="G74" s="480"/>
      <c r="H74" s="480"/>
      <c r="I74" s="480"/>
      <c r="J74" s="51"/>
    </row>
    <row r="75" ht="13.5" thickBot="1"/>
    <row r="76" spans="2:10" ht="6.75" customHeight="1">
      <c r="B76" s="43"/>
      <c r="C76" s="495"/>
      <c r="D76" s="495"/>
      <c r="E76" s="495"/>
      <c r="F76" s="495"/>
      <c r="G76" s="495"/>
      <c r="H76" s="495"/>
      <c r="I76" s="495"/>
      <c r="J76" s="45"/>
    </row>
    <row r="77" spans="2:10" ht="26.25" customHeight="1">
      <c r="B77" s="46"/>
      <c r="C77" s="458" t="s">
        <v>856</v>
      </c>
      <c r="D77" s="458"/>
      <c r="E77" s="458"/>
      <c r="F77" s="458"/>
      <c r="G77" s="458"/>
      <c r="H77" s="458"/>
      <c r="I77" s="458"/>
      <c r="J77" s="55"/>
    </row>
    <row r="78" spans="2:16" s="19" customFormat="1" ht="26.25" customHeight="1">
      <c r="B78" s="243"/>
      <c r="C78" s="86" t="s">
        <v>189</v>
      </c>
      <c r="D78" s="86" t="s">
        <v>192</v>
      </c>
      <c r="E78" s="86" t="s">
        <v>466</v>
      </c>
      <c r="F78" s="487" t="s">
        <v>171</v>
      </c>
      <c r="G78" s="488"/>
      <c r="H78" s="489" t="s">
        <v>170</v>
      </c>
      <c r="I78" s="489"/>
      <c r="J78" s="245"/>
      <c r="P78" s="357"/>
    </row>
    <row r="79" spans="2:10" ht="12.75">
      <c r="B79" s="46"/>
      <c r="C79" s="56" t="s">
        <v>454</v>
      </c>
      <c r="D79" s="293">
        <f>D86*E79</f>
        <v>19660203.699051503</v>
      </c>
      <c r="E79" s="70">
        <f>'Return on Capital'!P8</f>
        <v>0.533</v>
      </c>
      <c r="F79" s="490">
        <f>M39</f>
        <v>0.05</v>
      </c>
      <c r="G79" s="490"/>
      <c r="H79" s="483">
        <f>D79*F79</f>
        <v>983010.1849525752</v>
      </c>
      <c r="I79" s="483"/>
      <c r="J79" s="55"/>
    </row>
    <row r="80" spans="2:10" ht="12.75">
      <c r="B80" s="46"/>
      <c r="C80" s="56" t="s">
        <v>455</v>
      </c>
      <c r="D80" s="293"/>
      <c r="E80" s="70"/>
      <c r="F80" s="504"/>
      <c r="G80" s="504"/>
      <c r="H80" s="483"/>
      <c r="I80" s="483"/>
      <c r="J80" s="55"/>
    </row>
    <row r="81" spans="2:10" ht="12.75">
      <c r="B81" s="46"/>
      <c r="C81" s="66" t="s">
        <v>538</v>
      </c>
      <c r="D81" s="294">
        <f>D79+D80</f>
        <v>19660203.699051503</v>
      </c>
      <c r="E81" s="69">
        <f>E79+E80</f>
        <v>0.533</v>
      </c>
      <c r="F81" s="481"/>
      <c r="G81" s="481"/>
      <c r="H81" s="479">
        <f>SUM(H79:I80)</f>
        <v>983010.1849525752</v>
      </c>
      <c r="I81" s="479"/>
      <c r="J81" s="55"/>
    </row>
    <row r="82" spans="2:10" ht="12.75">
      <c r="B82" s="46"/>
      <c r="C82" s="56"/>
      <c r="D82" s="253"/>
      <c r="E82" s="70"/>
      <c r="F82" s="484"/>
      <c r="G82" s="484"/>
      <c r="H82" s="483"/>
      <c r="I82" s="483"/>
      <c r="J82" s="55"/>
    </row>
    <row r="83" spans="2:10" ht="12.75">
      <c r="B83" s="46"/>
      <c r="C83" s="56" t="s">
        <v>453</v>
      </c>
      <c r="D83" s="293">
        <f>D86*E83</f>
        <v>17225731.9464485</v>
      </c>
      <c r="E83" s="70">
        <f>'Return on Capital'!P10</f>
        <v>0.467</v>
      </c>
      <c r="F83" s="485">
        <f>'Return on Capital'!Q10</f>
        <v>0.09</v>
      </c>
      <c r="G83" s="485"/>
      <c r="H83" s="483">
        <f>D83*F83</f>
        <v>1550315.875180365</v>
      </c>
      <c r="I83" s="483"/>
      <c r="J83" s="55"/>
    </row>
    <row r="84" spans="2:10" ht="12.75">
      <c r="B84" s="46"/>
      <c r="C84" s="66" t="s">
        <v>467</v>
      </c>
      <c r="D84" s="67">
        <f>+D83</f>
        <v>17225731.9464485</v>
      </c>
      <c r="E84" s="69">
        <f>+E83</f>
        <v>0.467</v>
      </c>
      <c r="F84" s="481"/>
      <c r="G84" s="481"/>
      <c r="H84" s="479">
        <f>H83</f>
        <v>1550315.875180365</v>
      </c>
      <c r="I84" s="479"/>
      <c r="J84" s="55"/>
    </row>
    <row r="85" spans="2:10" ht="12.75">
      <c r="B85" s="46"/>
      <c r="C85" s="56"/>
      <c r="D85" s="253"/>
      <c r="E85" s="56"/>
      <c r="F85" s="482"/>
      <c r="G85" s="482"/>
      <c r="H85" s="483"/>
      <c r="I85" s="483"/>
      <c r="J85" s="55"/>
    </row>
    <row r="86" spans="2:10" ht="12.75">
      <c r="B86" s="46"/>
      <c r="C86" s="66" t="s">
        <v>195</v>
      </c>
      <c r="D86" s="294">
        <f>'Return on Capital'!Q38</f>
        <v>36885935.645500004</v>
      </c>
      <c r="E86" s="69">
        <f>E81+E84</f>
        <v>1</v>
      </c>
      <c r="F86" s="478">
        <f>H86/D86</f>
        <v>0.06868</v>
      </c>
      <c r="G86" s="478"/>
      <c r="H86" s="479">
        <f>H81+H84</f>
        <v>2533326.0601329403</v>
      </c>
      <c r="I86" s="479"/>
      <c r="J86" s="55"/>
    </row>
    <row r="87" spans="2:10" ht="7.5" customHeight="1" thickBot="1">
      <c r="B87" s="49"/>
      <c r="C87" s="480"/>
      <c r="D87" s="480"/>
      <c r="E87" s="480"/>
      <c r="F87" s="480"/>
      <c r="G87" s="480"/>
      <c r="H87" s="480"/>
      <c r="I87" s="480"/>
      <c r="J87" s="51"/>
    </row>
    <row r="88" ht="13.5" thickBot="1"/>
    <row r="89" spans="2:10" ht="6.75" customHeight="1">
      <c r="B89" s="43"/>
      <c r="C89" s="495"/>
      <c r="D89" s="495"/>
      <c r="E89" s="495"/>
      <c r="F89" s="495"/>
      <c r="G89" s="495"/>
      <c r="H89" s="495"/>
      <c r="I89" s="495"/>
      <c r="J89" s="45"/>
    </row>
    <row r="90" spans="2:10" ht="26.25" customHeight="1">
      <c r="B90" s="46"/>
      <c r="C90" s="458" t="s">
        <v>857</v>
      </c>
      <c r="D90" s="458"/>
      <c r="E90" s="458"/>
      <c r="F90" s="458"/>
      <c r="G90" s="458"/>
      <c r="H90" s="458"/>
      <c r="I90" s="458"/>
      <c r="J90" s="55"/>
    </row>
    <row r="91" spans="2:16" s="19" customFormat="1" ht="26.25" customHeight="1">
      <c r="B91" s="243"/>
      <c r="C91" s="86" t="s">
        <v>189</v>
      </c>
      <c r="D91" s="86" t="s">
        <v>192</v>
      </c>
      <c r="E91" s="86" t="s">
        <v>466</v>
      </c>
      <c r="F91" s="487" t="s">
        <v>171</v>
      </c>
      <c r="G91" s="488"/>
      <c r="H91" s="489" t="s">
        <v>170</v>
      </c>
      <c r="I91" s="489"/>
      <c r="J91" s="245"/>
      <c r="P91" s="357"/>
    </row>
    <row r="92" spans="2:10" ht="12.75">
      <c r="B92" s="46"/>
      <c r="C92" s="56" t="s">
        <v>454</v>
      </c>
      <c r="D92" s="293">
        <f>D99*E92</f>
        <v>22960493.847915813</v>
      </c>
      <c r="E92" s="70">
        <f>'Return on Capital'!V8</f>
        <v>0.567</v>
      </c>
      <c r="F92" s="490">
        <f>M43</f>
        <v>0.04892839881001558</v>
      </c>
      <c r="G92" s="490"/>
      <c r="H92" s="491">
        <f>D92*F92</f>
        <v>1123420.1998657342</v>
      </c>
      <c r="I92" s="491"/>
      <c r="J92" s="55"/>
    </row>
    <row r="93" spans="2:10" ht="12.75">
      <c r="B93" s="46"/>
      <c r="C93" s="56" t="s">
        <v>455</v>
      </c>
      <c r="D93" s="293"/>
      <c r="E93" s="70"/>
      <c r="F93" s="486"/>
      <c r="G93" s="486"/>
      <c r="H93" s="483"/>
      <c r="I93" s="483"/>
      <c r="J93" s="55"/>
    </row>
    <row r="94" spans="2:10" ht="12.75">
      <c r="B94" s="46"/>
      <c r="C94" s="66" t="s">
        <v>538</v>
      </c>
      <c r="D94" s="294">
        <f>D92+D93</f>
        <v>22960493.847915813</v>
      </c>
      <c r="E94" s="69">
        <f>E92+E93</f>
        <v>0.567</v>
      </c>
      <c r="F94" s="481"/>
      <c r="G94" s="481"/>
      <c r="H94" s="479">
        <f>SUM(H92:I93)</f>
        <v>1123420.1998657342</v>
      </c>
      <c r="I94" s="479"/>
      <c r="J94" s="55"/>
    </row>
    <row r="95" spans="2:10" ht="12.75">
      <c r="B95" s="46"/>
      <c r="C95" s="56"/>
      <c r="D95" s="253"/>
      <c r="E95" s="70"/>
      <c r="F95" s="484"/>
      <c r="G95" s="484"/>
      <c r="H95" s="483"/>
      <c r="I95" s="483"/>
      <c r="J95" s="55"/>
    </row>
    <row r="96" spans="2:10" ht="12.75">
      <c r="B96" s="46"/>
      <c r="C96" s="56" t="s">
        <v>453</v>
      </c>
      <c r="D96" s="293">
        <f>D99*E96</f>
        <v>17534204.29655652</v>
      </c>
      <c r="E96" s="70">
        <f>'Return on Capital'!V10</f>
        <v>0.433</v>
      </c>
      <c r="F96" s="485">
        <f>'Return on Capital'!W10</f>
        <v>0.09</v>
      </c>
      <c r="G96" s="485"/>
      <c r="H96" s="483">
        <f>D96*F96</f>
        <v>1578078.386690087</v>
      </c>
      <c r="I96" s="483"/>
      <c r="J96" s="55"/>
    </row>
    <row r="97" spans="2:10" ht="12.75">
      <c r="B97" s="46"/>
      <c r="C97" s="66" t="s">
        <v>467</v>
      </c>
      <c r="D97" s="67">
        <f>+D96</f>
        <v>17534204.29655652</v>
      </c>
      <c r="E97" s="69">
        <f>+E96</f>
        <v>0.433</v>
      </c>
      <c r="F97" s="481"/>
      <c r="G97" s="481"/>
      <c r="H97" s="479">
        <f>H96</f>
        <v>1578078.386690087</v>
      </c>
      <c r="I97" s="479"/>
      <c r="J97" s="55"/>
    </row>
    <row r="98" spans="2:10" ht="12.75">
      <c r="B98" s="46"/>
      <c r="C98" s="56"/>
      <c r="D98" s="253"/>
      <c r="E98" s="56"/>
      <c r="F98" s="482"/>
      <c r="G98" s="482"/>
      <c r="H98" s="483"/>
      <c r="I98" s="483"/>
      <c r="J98" s="55"/>
    </row>
    <row r="99" spans="2:10" ht="12.75">
      <c r="B99" s="46"/>
      <c r="C99" s="66" t="s">
        <v>195</v>
      </c>
      <c r="D99" s="67">
        <f>'Return on Capital'!W38</f>
        <v>40494698.14447234</v>
      </c>
      <c r="E99" s="69">
        <f>E94+E97</f>
        <v>1</v>
      </c>
      <c r="F99" s="478">
        <f>H99/D99</f>
        <v>0.06671240212527882</v>
      </c>
      <c r="G99" s="478"/>
      <c r="H99" s="479">
        <f>H94+H97</f>
        <v>2701498.586555821</v>
      </c>
      <c r="I99" s="479"/>
      <c r="J99" s="55"/>
    </row>
    <row r="100" spans="2:10" ht="7.5" customHeight="1" thickBot="1">
      <c r="B100" s="49"/>
      <c r="C100" s="480"/>
      <c r="D100" s="480"/>
      <c r="E100" s="480"/>
      <c r="F100" s="480"/>
      <c r="G100" s="480"/>
      <c r="H100" s="480"/>
      <c r="I100" s="480"/>
      <c r="J100" s="51"/>
    </row>
    <row r="101" ht="13.5" thickBot="1"/>
    <row r="102" spans="2:10" ht="12.75">
      <c r="B102" s="43"/>
      <c r="C102" s="495"/>
      <c r="D102" s="495"/>
      <c r="E102" s="495"/>
      <c r="F102" s="495"/>
      <c r="G102" s="495"/>
      <c r="H102" s="495"/>
      <c r="I102" s="495"/>
      <c r="J102" s="45"/>
    </row>
    <row r="103" spans="2:10" ht="15.75">
      <c r="B103" s="46"/>
      <c r="C103" s="458" t="s">
        <v>858</v>
      </c>
      <c r="D103" s="458"/>
      <c r="E103" s="458"/>
      <c r="F103" s="458"/>
      <c r="G103" s="458"/>
      <c r="H103" s="458"/>
      <c r="I103" s="458"/>
      <c r="J103" s="55"/>
    </row>
    <row r="104" spans="2:10" ht="12.75">
      <c r="B104" s="243"/>
      <c r="C104" s="86" t="s">
        <v>189</v>
      </c>
      <c r="D104" s="86" t="s">
        <v>192</v>
      </c>
      <c r="E104" s="86" t="s">
        <v>466</v>
      </c>
      <c r="F104" s="487" t="s">
        <v>171</v>
      </c>
      <c r="G104" s="488"/>
      <c r="H104" s="489" t="s">
        <v>170</v>
      </c>
      <c r="I104" s="489"/>
      <c r="J104" s="245"/>
    </row>
    <row r="105" spans="2:10" ht="12.75">
      <c r="B105" s="46"/>
      <c r="C105" s="56" t="s">
        <v>454</v>
      </c>
      <c r="D105" s="293">
        <f>D112*E105</f>
        <v>25883044.559863336</v>
      </c>
      <c r="E105" s="70">
        <f>'Return on Capital'!AB8</f>
        <v>0.56</v>
      </c>
      <c r="F105" s="490">
        <f>'Return on Capital'!AC8</f>
        <v>0.0694190365211752</v>
      </c>
      <c r="G105" s="490"/>
      <c r="H105" s="491">
        <f>D105*F105</f>
        <v>1796776.0155803582</v>
      </c>
      <c r="I105" s="491"/>
      <c r="J105" s="55"/>
    </row>
    <row r="106" spans="2:10" ht="12.75">
      <c r="B106" s="46"/>
      <c r="C106" s="56" t="s">
        <v>455</v>
      </c>
      <c r="D106" s="293">
        <f>D112*E106</f>
        <v>1848788.8971330952</v>
      </c>
      <c r="E106" s="70">
        <f>'Return on Capital'!AB9</f>
        <v>0.04</v>
      </c>
      <c r="F106" s="486">
        <f>'Return on Capital'!AC9</f>
        <v>0.0133</v>
      </c>
      <c r="G106" s="486"/>
      <c r="H106" s="483">
        <f>D106*F106</f>
        <v>24588.892331870164</v>
      </c>
      <c r="I106" s="483"/>
      <c r="J106" s="55"/>
    </row>
    <row r="107" spans="2:10" ht="12.75">
      <c r="B107" s="46"/>
      <c r="C107" s="66" t="s">
        <v>538</v>
      </c>
      <c r="D107" s="294">
        <f>D105+D106</f>
        <v>27731833.456996433</v>
      </c>
      <c r="E107" s="69">
        <f>E105+E106</f>
        <v>0.6000000000000001</v>
      </c>
      <c r="F107" s="481"/>
      <c r="G107" s="481"/>
      <c r="H107" s="479">
        <f>SUM(H105:I106)</f>
        <v>1821364.9079122285</v>
      </c>
      <c r="I107" s="479"/>
      <c r="J107" s="55"/>
    </row>
    <row r="108" spans="2:10" ht="12.75">
      <c r="B108" s="46"/>
      <c r="C108" s="56"/>
      <c r="D108" s="253"/>
      <c r="E108" s="70"/>
      <c r="F108" s="484"/>
      <c r="G108" s="484"/>
      <c r="H108" s="483"/>
      <c r="I108" s="483"/>
      <c r="J108" s="55"/>
    </row>
    <row r="109" spans="2:10" ht="12.75">
      <c r="B109" s="46"/>
      <c r="C109" s="56" t="s">
        <v>453</v>
      </c>
      <c r="D109" s="293">
        <f>D112*E109</f>
        <v>18487888.971330952</v>
      </c>
      <c r="E109" s="70">
        <f>'Return on Capital'!AB10</f>
        <v>0.4</v>
      </c>
      <c r="F109" s="485">
        <f>'Return on Capital'!AC10</f>
        <v>0.0801</v>
      </c>
      <c r="G109" s="485"/>
      <c r="H109" s="483">
        <f>D109*F109</f>
        <v>1480879.9066036094</v>
      </c>
      <c r="I109" s="483"/>
      <c r="J109" s="55"/>
    </row>
    <row r="110" spans="2:10" ht="12.75">
      <c r="B110" s="46"/>
      <c r="C110" s="66" t="s">
        <v>467</v>
      </c>
      <c r="D110" s="67">
        <f>+D109</f>
        <v>18487888.971330952</v>
      </c>
      <c r="E110" s="69">
        <f>+E109</f>
        <v>0.4</v>
      </c>
      <c r="F110" s="481"/>
      <c r="G110" s="481"/>
      <c r="H110" s="479">
        <f>H109</f>
        <v>1480879.9066036094</v>
      </c>
      <c r="I110" s="479"/>
      <c r="J110" s="55"/>
    </row>
    <row r="111" spans="2:10" ht="12.75">
      <c r="B111" s="46"/>
      <c r="C111" s="56"/>
      <c r="D111" s="253"/>
      <c r="E111" s="56"/>
      <c r="F111" s="482"/>
      <c r="G111" s="482"/>
      <c r="H111" s="483"/>
      <c r="I111" s="483"/>
      <c r="J111" s="55"/>
    </row>
    <row r="112" spans="2:10" ht="12.75">
      <c r="B112" s="46"/>
      <c r="C112" s="66" t="s">
        <v>195</v>
      </c>
      <c r="D112" s="67">
        <f>'Return on Capital'!AC38</f>
        <v>46219722.42832738</v>
      </c>
      <c r="E112" s="69">
        <f>E107+E110</f>
        <v>1</v>
      </c>
      <c r="F112" s="478">
        <f>H112/D112</f>
        <v>0.07144666045185813</v>
      </c>
      <c r="G112" s="478"/>
      <c r="H112" s="479">
        <f>H107+H110</f>
        <v>3302244.814515838</v>
      </c>
      <c r="I112" s="479"/>
      <c r="J112" s="55"/>
    </row>
    <row r="113" spans="2:10" ht="13.5" thickBot="1">
      <c r="B113" s="49"/>
      <c r="C113" s="480"/>
      <c r="D113" s="480"/>
      <c r="E113" s="480"/>
      <c r="F113" s="480"/>
      <c r="G113" s="480"/>
      <c r="H113" s="480"/>
      <c r="I113" s="480"/>
      <c r="J113" s="51"/>
    </row>
  </sheetData>
  <mergeCells count="177">
    <mergeCell ref="C100:I100"/>
    <mergeCell ref="F98:G98"/>
    <mergeCell ref="H98:I98"/>
    <mergeCell ref="F99:G99"/>
    <mergeCell ref="H99:I99"/>
    <mergeCell ref="F96:G96"/>
    <mergeCell ref="H96:I96"/>
    <mergeCell ref="F97:G97"/>
    <mergeCell ref="H97:I97"/>
    <mergeCell ref="F94:G94"/>
    <mergeCell ref="H94:I94"/>
    <mergeCell ref="F95:G95"/>
    <mergeCell ref="H95:I95"/>
    <mergeCell ref="F92:G92"/>
    <mergeCell ref="H92:I92"/>
    <mergeCell ref="F93:G93"/>
    <mergeCell ref="H93:I93"/>
    <mergeCell ref="C87:I87"/>
    <mergeCell ref="C89:I89"/>
    <mergeCell ref="C90:I90"/>
    <mergeCell ref="F91:G91"/>
    <mergeCell ref="H91:I91"/>
    <mergeCell ref="F85:G85"/>
    <mergeCell ref="H85:I85"/>
    <mergeCell ref="F86:G86"/>
    <mergeCell ref="H86:I86"/>
    <mergeCell ref="F83:G83"/>
    <mergeCell ref="H83:I83"/>
    <mergeCell ref="F84:G84"/>
    <mergeCell ref="H84:I84"/>
    <mergeCell ref="F81:G81"/>
    <mergeCell ref="H81:I81"/>
    <mergeCell ref="F82:G82"/>
    <mergeCell ref="H82:I82"/>
    <mergeCell ref="F79:G79"/>
    <mergeCell ref="H79:I79"/>
    <mergeCell ref="F80:G80"/>
    <mergeCell ref="H80:I80"/>
    <mergeCell ref="C76:I76"/>
    <mergeCell ref="C77:I77"/>
    <mergeCell ref="F78:G78"/>
    <mergeCell ref="H78:I78"/>
    <mergeCell ref="F72:G72"/>
    <mergeCell ref="F73:G73"/>
    <mergeCell ref="C29:G29"/>
    <mergeCell ref="I29:L29"/>
    <mergeCell ref="C30:M30"/>
    <mergeCell ref="C31:H31"/>
    <mergeCell ref="I31:L31"/>
    <mergeCell ref="C48:M48"/>
    <mergeCell ref="C63:I63"/>
    <mergeCell ref="B49:N49"/>
    <mergeCell ref="C103:I103"/>
    <mergeCell ref="B3:N3"/>
    <mergeCell ref="C4:M4"/>
    <mergeCell ref="C5:M5"/>
    <mergeCell ref="C38:M38"/>
    <mergeCell ref="C35:H35"/>
    <mergeCell ref="J27:K27"/>
    <mergeCell ref="J26:K26"/>
    <mergeCell ref="C33:G33"/>
    <mergeCell ref="I37:L37"/>
    <mergeCell ref="C74:I74"/>
    <mergeCell ref="A1:N1"/>
    <mergeCell ref="A2:N2"/>
    <mergeCell ref="F27:G27"/>
    <mergeCell ref="F26:G26"/>
    <mergeCell ref="I33:L33"/>
    <mergeCell ref="J6:K6"/>
    <mergeCell ref="F7:G7"/>
    <mergeCell ref="F6:G6"/>
    <mergeCell ref="J7:K7"/>
    <mergeCell ref="F66:G66"/>
    <mergeCell ref="C47:H47"/>
    <mergeCell ref="C34:M34"/>
    <mergeCell ref="C64:I64"/>
    <mergeCell ref="I47:L47"/>
    <mergeCell ref="C50:I50"/>
    <mergeCell ref="C51:I51"/>
    <mergeCell ref="F52:G52"/>
    <mergeCell ref="H52:I52"/>
    <mergeCell ref="F53:G53"/>
    <mergeCell ref="F70:G70"/>
    <mergeCell ref="F71:G71"/>
    <mergeCell ref="C28:M28"/>
    <mergeCell ref="C36:M36"/>
    <mergeCell ref="F67:G67"/>
    <mergeCell ref="F68:G68"/>
    <mergeCell ref="F69:G69"/>
    <mergeCell ref="I35:L35"/>
    <mergeCell ref="C37:G37"/>
    <mergeCell ref="F65:G65"/>
    <mergeCell ref="H72:I72"/>
    <mergeCell ref="H73:I73"/>
    <mergeCell ref="H65:I65"/>
    <mergeCell ref="H66:I66"/>
    <mergeCell ref="H67:I67"/>
    <mergeCell ref="H68:I68"/>
    <mergeCell ref="H69:I69"/>
    <mergeCell ref="H70:I70"/>
    <mergeCell ref="H71:I71"/>
    <mergeCell ref="H53:I53"/>
    <mergeCell ref="F54:G54"/>
    <mergeCell ref="H54:I54"/>
    <mergeCell ref="H57:I57"/>
    <mergeCell ref="F58:G58"/>
    <mergeCell ref="H58:I58"/>
    <mergeCell ref="F55:G55"/>
    <mergeCell ref="H55:I55"/>
    <mergeCell ref="F56:G56"/>
    <mergeCell ref="H56:I56"/>
    <mergeCell ref="F8:G8"/>
    <mergeCell ref="J8:K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5:G15"/>
    <mergeCell ref="J15:K15"/>
    <mergeCell ref="F14:G14"/>
    <mergeCell ref="J14:K14"/>
    <mergeCell ref="F16:G16"/>
    <mergeCell ref="J16:K16"/>
    <mergeCell ref="J17:K17"/>
    <mergeCell ref="J18:K18"/>
    <mergeCell ref="J19:K19"/>
    <mergeCell ref="J20:K20"/>
    <mergeCell ref="J21:K21"/>
    <mergeCell ref="J22:K22"/>
    <mergeCell ref="F23:G23"/>
    <mergeCell ref="J23:K23"/>
    <mergeCell ref="F24:G24"/>
    <mergeCell ref="J24:K24"/>
    <mergeCell ref="F25:G25"/>
    <mergeCell ref="J25:K25"/>
    <mergeCell ref="C39:H39"/>
    <mergeCell ref="I39:L39"/>
    <mergeCell ref="C41:G41"/>
    <mergeCell ref="I41:L41"/>
    <mergeCell ref="C42:M42"/>
    <mergeCell ref="C43:H43"/>
    <mergeCell ref="I43:L43"/>
    <mergeCell ref="C45:G45"/>
    <mergeCell ref="I45:L45"/>
    <mergeCell ref="C46:M46"/>
    <mergeCell ref="C102:I102"/>
    <mergeCell ref="C61:I61"/>
    <mergeCell ref="F59:G59"/>
    <mergeCell ref="H59:I59"/>
    <mergeCell ref="F60:G60"/>
    <mergeCell ref="H60:I60"/>
    <mergeCell ref="F57:G57"/>
    <mergeCell ref="F104:G104"/>
    <mergeCell ref="H104:I104"/>
    <mergeCell ref="F105:G105"/>
    <mergeCell ref="H105:I105"/>
    <mergeCell ref="F106:G106"/>
    <mergeCell ref="H106:I106"/>
    <mergeCell ref="F107:G107"/>
    <mergeCell ref="H107:I107"/>
    <mergeCell ref="F108:G108"/>
    <mergeCell ref="H108:I108"/>
    <mergeCell ref="F109:G109"/>
    <mergeCell ref="H109:I109"/>
    <mergeCell ref="F112:G112"/>
    <mergeCell ref="H112:I112"/>
    <mergeCell ref="C113:I113"/>
    <mergeCell ref="F110:G110"/>
    <mergeCell ref="H110:I110"/>
    <mergeCell ref="F111:G111"/>
    <mergeCell ref="H111:I111"/>
  </mergeCells>
  <printOptions/>
  <pageMargins left="0.7480314960629921" right="0.7480314960629921" top="0.984251968503937" bottom="0.984251968503937" header="0.5118110236220472" footer="0.5118110236220472"/>
  <pageSetup fitToHeight="2" horizontalDpi="355" verticalDpi="355" orientation="portrait" scale="67" r:id="rId1"/>
  <headerFooter alignWithMargins="0">
    <oddFooter>&amp;L&amp;A</oddFooter>
  </headerFooter>
  <rowBreaks count="1" manualBreakCount="1">
    <brk id="4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A1">
      <selection activeCell="A1" sqref="A1:C1"/>
    </sheetView>
  </sheetViews>
  <sheetFormatPr defaultColWidth="9.140625" defaultRowHeight="12.75"/>
  <cols>
    <col min="1" max="1" width="31.57421875" style="0" customWidth="1"/>
    <col min="2" max="2" width="24.140625" style="0" customWidth="1"/>
    <col min="3" max="3" width="25.28125" style="0" customWidth="1"/>
  </cols>
  <sheetData>
    <row r="1" spans="1:3" ht="12.75">
      <c r="A1" s="441" t="str">
        <f>'Trial Balance'!A1:J1</f>
        <v>North Bay Hydro Distribution Ltd.</v>
      </c>
      <c r="B1" s="441"/>
      <c r="C1" s="441"/>
    </row>
    <row r="2" spans="1:3" ht="12.75">
      <c r="A2" s="441" t="str">
        <f>'Trial Balance'!A2:J2</f>
        <v>License Number ED-2003-0024, File Number EB-2009-0270</v>
      </c>
      <c r="B2" s="441"/>
      <c r="C2" s="441"/>
    </row>
    <row r="3" spans="1:3" ht="32.25" customHeight="1">
      <c r="A3" s="511" t="s">
        <v>245</v>
      </c>
      <c r="B3" s="511"/>
      <c r="C3" s="511"/>
    </row>
    <row r="4" spans="1:3" ht="12.75">
      <c r="A4" s="512" t="s">
        <v>473</v>
      </c>
      <c r="B4" s="77">
        <v>2009</v>
      </c>
      <c r="C4" s="77">
        <v>2010</v>
      </c>
    </row>
    <row r="5" spans="1:3" ht="12.75">
      <c r="A5" s="513"/>
      <c r="B5" s="79" t="s">
        <v>471</v>
      </c>
      <c r="C5" s="78" t="s">
        <v>472</v>
      </c>
    </row>
    <row r="7" spans="1:3" ht="12.75">
      <c r="A7" s="61" t="s">
        <v>474</v>
      </c>
      <c r="B7" s="80">
        <v>15000000</v>
      </c>
      <c r="C7" s="80">
        <v>15000000</v>
      </c>
    </row>
    <row r="8" spans="1:3" ht="12.75">
      <c r="A8" s="61"/>
      <c r="B8" s="25"/>
      <c r="C8" s="76"/>
    </row>
    <row r="9" spans="1:3" ht="12.75">
      <c r="A9" s="61" t="s">
        <v>468</v>
      </c>
      <c r="B9" s="81">
        <v>0.19</v>
      </c>
      <c r="C9" s="82">
        <v>0.18</v>
      </c>
    </row>
    <row r="10" spans="1:3" ht="12.75">
      <c r="A10" s="61"/>
      <c r="B10" s="25"/>
      <c r="C10" s="68"/>
    </row>
    <row r="11" spans="1:3" ht="12.75">
      <c r="A11" s="61" t="s">
        <v>469</v>
      </c>
      <c r="B11" s="81">
        <v>0.14</v>
      </c>
      <c r="C11" s="82">
        <v>0.13</v>
      </c>
    </row>
    <row r="12" ht="12.75">
      <c r="A12" s="61"/>
    </row>
    <row r="13" spans="1:3" ht="12.75">
      <c r="A13" s="61" t="s">
        <v>470</v>
      </c>
      <c r="B13" s="81">
        <f>SUM(B9:B11)</f>
        <v>0.33</v>
      </c>
      <c r="C13" s="81">
        <f>SUM(C9:C11)</f>
        <v>0.31</v>
      </c>
    </row>
    <row r="14" ht="12.75">
      <c r="A14" s="61"/>
    </row>
    <row r="15" spans="1:3" ht="12.75">
      <c r="A15" s="61" t="s">
        <v>476</v>
      </c>
      <c r="B15" s="83">
        <v>0.00225</v>
      </c>
      <c r="C15" s="83">
        <f>0.15%/2</f>
        <v>0.00075</v>
      </c>
    </row>
    <row r="16" spans="1:2" ht="12.75">
      <c r="A16" s="61"/>
      <c r="B16" s="42"/>
    </row>
    <row r="17" spans="1:3" ht="12.75">
      <c r="A17" s="61" t="s">
        <v>477</v>
      </c>
      <c r="B17" s="84"/>
      <c r="C17" s="84"/>
    </row>
    <row r="18" ht="12.75">
      <c r="A18" s="61"/>
    </row>
    <row r="19" spans="1:3" ht="12.75">
      <c r="A19" s="61" t="s">
        <v>478</v>
      </c>
      <c r="B19" s="80"/>
      <c r="C19" s="80"/>
    </row>
  </sheetData>
  <mergeCells count="4">
    <mergeCell ref="A3:C3"/>
    <mergeCell ref="A4:A5"/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5" fitToWidth="1" horizontalDpi="355" verticalDpi="355" orientation="landscape" r:id="rId1"/>
  <headerFooter alignWithMargins="0">
    <oddFooter>&amp;L&amp;A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1.57421875" style="0" customWidth="1"/>
    <col min="2" max="2" width="6.421875" style="0" customWidth="1"/>
    <col min="3" max="3" width="49.421875" style="0" customWidth="1"/>
    <col min="4" max="4" width="17.421875" style="0" customWidth="1"/>
    <col min="5" max="5" width="21.140625" style="0" customWidth="1"/>
    <col min="6" max="6" width="20.421875" style="0" customWidth="1"/>
    <col min="7" max="7" width="19.28125" style="0" customWidth="1"/>
    <col min="8" max="8" width="13.00390625" style="0" customWidth="1"/>
    <col min="9" max="9" width="13.57421875" style="0" customWidth="1"/>
    <col min="10" max="10" width="18.57421875" style="0" customWidth="1"/>
    <col min="11" max="11" width="26.7109375" style="0" customWidth="1"/>
    <col min="12" max="12" width="13.140625" style="0" bestFit="1" customWidth="1"/>
    <col min="14" max="14" width="10.8515625" style="0" bestFit="1" customWidth="1"/>
    <col min="15" max="15" width="15.421875" style="0" customWidth="1"/>
  </cols>
  <sheetData>
    <row r="1" spans="1:15" ht="12.75">
      <c r="A1" s="441" t="str">
        <f>'Trial Balance'!A1:J1</f>
        <v>North Bay Hydro Distribution Ltd.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</row>
    <row r="2" spans="1:15" ht="12.75">
      <c r="A2" s="441" t="str">
        <f>'Trial Balance'!A2:J2</f>
        <v>License Number ED-2003-0024, File Number EB-2009-0270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ht="6.75" customHeight="1"/>
    <row r="4" spans="2:15" ht="36" customHeight="1">
      <c r="B4" s="458" t="s">
        <v>172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</row>
    <row r="5" spans="2:15" s="19" customFormat="1" ht="38.25">
      <c r="B5" s="86" t="s">
        <v>479</v>
      </c>
      <c r="C5" s="86" t="s">
        <v>480</v>
      </c>
      <c r="D5" s="86" t="s">
        <v>481</v>
      </c>
      <c r="E5" s="86" t="s">
        <v>482</v>
      </c>
      <c r="F5" s="86" t="s">
        <v>483</v>
      </c>
      <c r="G5" s="86" t="s">
        <v>484</v>
      </c>
      <c r="H5" s="86" t="s">
        <v>508</v>
      </c>
      <c r="I5" s="86" t="s">
        <v>509</v>
      </c>
      <c r="J5" s="86" t="s">
        <v>510</v>
      </c>
      <c r="K5" s="86" t="s">
        <v>511</v>
      </c>
      <c r="L5" s="86" t="s">
        <v>512</v>
      </c>
      <c r="M5" s="86" t="s">
        <v>513</v>
      </c>
      <c r="N5" s="86" t="s">
        <v>514</v>
      </c>
      <c r="O5" s="86" t="s">
        <v>515</v>
      </c>
    </row>
    <row r="6" spans="2:15" ht="12.75">
      <c r="B6" s="87">
        <v>1</v>
      </c>
      <c r="C6" s="88" t="s">
        <v>485</v>
      </c>
      <c r="D6" s="344">
        <v>35811209</v>
      </c>
      <c r="E6" s="92">
        <v>0</v>
      </c>
      <c r="F6" s="92">
        <v>0</v>
      </c>
      <c r="G6" s="65">
        <f>D6-E6-F6</f>
        <v>35811209</v>
      </c>
      <c r="H6" s="92">
        <v>0</v>
      </c>
      <c r="I6" s="92">
        <v>0</v>
      </c>
      <c r="J6" s="65">
        <f>G6+H6-I6</f>
        <v>35811209</v>
      </c>
      <c r="K6" s="65">
        <f>H6*0.5</f>
        <v>0</v>
      </c>
      <c r="L6" s="65">
        <f>J6-K6</f>
        <v>35811209</v>
      </c>
      <c r="M6" s="90">
        <v>0.04</v>
      </c>
      <c r="N6" s="65">
        <f>L6*M6</f>
        <v>1432448.36</v>
      </c>
      <c r="O6" s="65">
        <f>J6-N6</f>
        <v>34378760.64</v>
      </c>
    </row>
    <row r="7" spans="2:15" ht="12.75">
      <c r="B7" s="87">
        <v>2</v>
      </c>
      <c r="C7" s="88" t="s">
        <v>486</v>
      </c>
      <c r="D7" s="91"/>
      <c r="E7" s="92">
        <v>0</v>
      </c>
      <c r="F7" s="92">
        <v>0</v>
      </c>
      <c r="G7" s="65">
        <f aca="true" t="shared" si="0" ref="G7:G24">D7-E7-F7</f>
        <v>0</v>
      </c>
      <c r="H7" s="92">
        <v>0</v>
      </c>
      <c r="I7" s="92">
        <v>0</v>
      </c>
      <c r="J7" s="65">
        <f aca="true" t="shared" si="1" ref="J7:J24">G7+H7-I7</f>
        <v>0</v>
      </c>
      <c r="K7" s="65">
        <f>H7*0.5</f>
        <v>0</v>
      </c>
      <c r="L7" s="65">
        <f aca="true" t="shared" si="2" ref="L7:L24">J7-K7</f>
        <v>0</v>
      </c>
      <c r="M7" s="90">
        <v>0.06</v>
      </c>
      <c r="N7" s="65">
        <f aca="true" t="shared" si="3" ref="N7:N24">L7*M7</f>
        <v>0</v>
      </c>
      <c r="O7" s="65">
        <f aca="true" t="shared" si="4" ref="O7:O24">J7-N7</f>
        <v>0</v>
      </c>
    </row>
    <row r="8" spans="2:15" ht="12.75">
      <c r="B8" s="87">
        <v>6</v>
      </c>
      <c r="C8" s="88" t="s">
        <v>297</v>
      </c>
      <c r="D8" s="91"/>
      <c r="E8" s="92">
        <v>0</v>
      </c>
      <c r="F8" s="92">
        <v>0</v>
      </c>
      <c r="G8" s="65">
        <f t="shared" si="0"/>
        <v>0</v>
      </c>
      <c r="H8" s="92">
        <v>0</v>
      </c>
      <c r="I8" s="92">
        <v>0</v>
      </c>
      <c r="J8" s="65">
        <f>G8+H8-I8</f>
        <v>0</v>
      </c>
      <c r="K8" s="65">
        <f>H8*0.5</f>
        <v>0</v>
      </c>
      <c r="L8" s="65">
        <f>J8-K8</f>
        <v>0</v>
      </c>
      <c r="M8" s="90">
        <v>0.1</v>
      </c>
      <c r="N8" s="65">
        <f>L8*M8</f>
        <v>0</v>
      </c>
      <c r="O8" s="65">
        <f>J8-N8</f>
        <v>0</v>
      </c>
    </row>
    <row r="9" spans="2:15" ht="12.75">
      <c r="B9" s="87">
        <v>8</v>
      </c>
      <c r="C9" s="88" t="s">
        <v>487</v>
      </c>
      <c r="D9" s="91">
        <v>378600</v>
      </c>
      <c r="E9" s="92">
        <v>0</v>
      </c>
      <c r="F9" s="92">
        <v>0</v>
      </c>
      <c r="G9" s="65">
        <f t="shared" si="0"/>
        <v>378600</v>
      </c>
      <c r="H9" s="94">
        <f>+'FA Continuity 2009'!E31+'FA Continuity 2009'!E35+'FA Continuity 2009'!E36+'FA Continuity 2009'!E37+'FA Continuity 2009'!E38+'FA Continuity 2009'!E39+'FA Continuity 2009'!E40</f>
        <v>58266.064689213905</v>
      </c>
      <c r="I9" s="92">
        <v>0</v>
      </c>
      <c r="J9" s="65">
        <f t="shared" si="1"/>
        <v>436866.0646892139</v>
      </c>
      <c r="K9" s="65">
        <f>H9*0.5</f>
        <v>29133.032344606952</v>
      </c>
      <c r="L9" s="65">
        <f t="shared" si="2"/>
        <v>407733.03234460694</v>
      </c>
      <c r="M9" s="90">
        <v>0.2</v>
      </c>
      <c r="N9" s="65">
        <f t="shared" si="3"/>
        <v>81546.6064689214</v>
      </c>
      <c r="O9" s="65">
        <f t="shared" si="4"/>
        <v>355319.45822029246</v>
      </c>
    </row>
    <row r="10" spans="2:15" ht="12.75">
      <c r="B10" s="87">
        <v>10</v>
      </c>
      <c r="C10" s="88" t="s">
        <v>488</v>
      </c>
      <c r="D10" s="91">
        <v>583005</v>
      </c>
      <c r="E10" s="92">
        <v>0</v>
      </c>
      <c r="F10" s="92">
        <v>0</v>
      </c>
      <c r="G10" s="65">
        <f t="shared" si="0"/>
        <v>583005</v>
      </c>
      <c r="H10" s="94">
        <f>'FA Continuity 2009'!E34</f>
        <v>487664.51</v>
      </c>
      <c r="I10" s="345">
        <f>+'FA Continuity 2009'!F34</f>
        <v>53654.4</v>
      </c>
      <c r="J10" s="65">
        <f t="shared" si="1"/>
        <v>1017015.11</v>
      </c>
      <c r="K10" s="65">
        <f>H10*0.5</f>
        <v>243832.255</v>
      </c>
      <c r="L10" s="65">
        <f t="shared" si="2"/>
        <v>773182.855</v>
      </c>
      <c r="M10" s="90">
        <v>0.3</v>
      </c>
      <c r="N10" s="65">
        <f t="shared" si="3"/>
        <v>231954.8565</v>
      </c>
      <c r="O10" s="65">
        <f t="shared" si="4"/>
        <v>785060.2535</v>
      </c>
    </row>
    <row r="11" spans="2:15" ht="12.75">
      <c r="B11" s="87">
        <v>10.1</v>
      </c>
      <c r="C11" s="88" t="s">
        <v>489</v>
      </c>
      <c r="D11" s="91">
        <v>19256</v>
      </c>
      <c r="E11" s="92">
        <v>0</v>
      </c>
      <c r="F11" s="92">
        <v>0</v>
      </c>
      <c r="G11" s="65">
        <f t="shared" si="0"/>
        <v>19256</v>
      </c>
      <c r="H11" s="92">
        <v>0</v>
      </c>
      <c r="I11" s="92">
        <v>0</v>
      </c>
      <c r="J11" s="65">
        <f t="shared" si="1"/>
        <v>19256</v>
      </c>
      <c r="K11" s="65">
        <f aca="true" t="shared" si="5" ref="K11:K24">H11*0.5</f>
        <v>0</v>
      </c>
      <c r="L11" s="65">
        <f t="shared" si="2"/>
        <v>19256</v>
      </c>
      <c r="M11" s="90">
        <v>0.3</v>
      </c>
      <c r="N11" s="65">
        <f t="shared" si="3"/>
        <v>5776.8</v>
      </c>
      <c r="O11" s="65">
        <f t="shared" si="4"/>
        <v>13479.2</v>
      </c>
    </row>
    <row r="12" spans="2:15" ht="12.75">
      <c r="B12" s="87">
        <v>12</v>
      </c>
      <c r="C12" s="88" t="s">
        <v>539</v>
      </c>
      <c r="D12" s="91"/>
      <c r="E12" s="92">
        <v>0</v>
      </c>
      <c r="F12" s="92">
        <v>0</v>
      </c>
      <c r="G12" s="65">
        <f t="shared" si="0"/>
        <v>0</v>
      </c>
      <c r="H12" s="94">
        <v>0</v>
      </c>
      <c r="I12" s="92">
        <v>0</v>
      </c>
      <c r="J12" s="65">
        <f t="shared" si="1"/>
        <v>0</v>
      </c>
      <c r="K12" s="65">
        <f t="shared" si="5"/>
        <v>0</v>
      </c>
      <c r="L12" s="65">
        <f t="shared" si="2"/>
        <v>0</v>
      </c>
      <c r="M12" s="90">
        <v>1</v>
      </c>
      <c r="N12" s="65">
        <f t="shared" si="3"/>
        <v>0</v>
      </c>
      <c r="O12" s="65">
        <f t="shared" si="4"/>
        <v>0</v>
      </c>
    </row>
    <row r="13" spans="2:15" ht="12.75">
      <c r="B13" s="87" t="s">
        <v>490</v>
      </c>
      <c r="C13" s="88" t="s">
        <v>491</v>
      </c>
      <c r="D13" s="92"/>
      <c r="E13" s="92">
        <v>0</v>
      </c>
      <c r="F13" s="92">
        <v>0</v>
      </c>
      <c r="G13" s="65">
        <f t="shared" si="0"/>
        <v>0</v>
      </c>
      <c r="H13" s="93">
        <v>0</v>
      </c>
      <c r="I13" s="92">
        <v>0</v>
      </c>
      <c r="J13" s="65">
        <f t="shared" si="1"/>
        <v>0</v>
      </c>
      <c r="K13" s="65">
        <f t="shared" si="5"/>
        <v>0</v>
      </c>
      <c r="L13" s="65">
        <f t="shared" si="2"/>
        <v>0</v>
      </c>
      <c r="M13" s="305">
        <v>0.2</v>
      </c>
      <c r="N13" s="65">
        <f t="shared" si="3"/>
        <v>0</v>
      </c>
      <c r="O13" s="65">
        <f t="shared" si="4"/>
        <v>0</v>
      </c>
    </row>
    <row r="14" spans="2:15" ht="12.75">
      <c r="B14" s="87" t="s">
        <v>492</v>
      </c>
      <c r="C14" s="88" t="s">
        <v>493</v>
      </c>
      <c r="D14" s="92"/>
      <c r="E14" s="92">
        <v>0</v>
      </c>
      <c r="F14" s="92">
        <v>0</v>
      </c>
      <c r="G14" s="65">
        <f t="shared" si="0"/>
        <v>0</v>
      </c>
      <c r="H14" s="92">
        <v>0</v>
      </c>
      <c r="I14" s="92">
        <v>0</v>
      </c>
      <c r="J14" s="65">
        <f t="shared" si="1"/>
        <v>0</v>
      </c>
      <c r="K14" s="65">
        <f t="shared" si="5"/>
        <v>0</v>
      </c>
      <c r="L14" s="65">
        <f t="shared" si="2"/>
        <v>0</v>
      </c>
      <c r="M14" s="62"/>
      <c r="N14" s="94">
        <f t="shared" si="3"/>
        <v>0</v>
      </c>
      <c r="O14" s="65">
        <f t="shared" si="4"/>
        <v>0</v>
      </c>
    </row>
    <row r="15" spans="2:15" ht="12.75">
      <c r="B15" s="87" t="s">
        <v>494</v>
      </c>
      <c r="C15" s="88" t="s">
        <v>495</v>
      </c>
      <c r="D15" s="92"/>
      <c r="E15" s="92">
        <v>0</v>
      </c>
      <c r="F15" s="92">
        <v>0</v>
      </c>
      <c r="G15" s="65">
        <f t="shared" si="0"/>
        <v>0</v>
      </c>
      <c r="H15" s="92">
        <v>0</v>
      </c>
      <c r="I15" s="92">
        <v>0</v>
      </c>
      <c r="J15" s="65">
        <f t="shared" si="1"/>
        <v>0</v>
      </c>
      <c r="K15" s="65">
        <f t="shared" si="5"/>
        <v>0</v>
      </c>
      <c r="L15" s="65">
        <f t="shared" si="2"/>
        <v>0</v>
      </c>
      <c r="M15" s="62"/>
      <c r="N15" s="94">
        <f t="shared" si="3"/>
        <v>0</v>
      </c>
      <c r="O15" s="65">
        <f t="shared" si="4"/>
        <v>0</v>
      </c>
    </row>
    <row r="16" spans="2:15" ht="12.75">
      <c r="B16" s="87" t="s">
        <v>496</v>
      </c>
      <c r="C16" s="88" t="s">
        <v>497</v>
      </c>
      <c r="D16" s="92"/>
      <c r="E16" s="92">
        <v>0</v>
      </c>
      <c r="F16" s="92">
        <v>0</v>
      </c>
      <c r="G16" s="65">
        <f t="shared" si="0"/>
        <v>0</v>
      </c>
      <c r="H16" s="92">
        <v>0</v>
      </c>
      <c r="I16" s="92">
        <v>0</v>
      </c>
      <c r="J16" s="65">
        <f t="shared" si="1"/>
        <v>0</v>
      </c>
      <c r="K16" s="65">
        <f t="shared" si="5"/>
        <v>0</v>
      </c>
      <c r="L16" s="65">
        <f t="shared" si="2"/>
        <v>0</v>
      </c>
      <c r="M16" s="62"/>
      <c r="N16" s="94">
        <f t="shared" si="3"/>
        <v>0</v>
      </c>
      <c r="O16" s="65">
        <f t="shared" si="4"/>
        <v>0</v>
      </c>
    </row>
    <row r="17" spans="2:15" ht="12.75">
      <c r="B17" s="87">
        <v>14</v>
      </c>
      <c r="C17" s="88" t="s">
        <v>498</v>
      </c>
      <c r="D17" s="92"/>
      <c r="E17" s="92">
        <v>0</v>
      </c>
      <c r="F17" s="92">
        <v>0</v>
      </c>
      <c r="G17" s="65">
        <f t="shared" si="0"/>
        <v>0</v>
      </c>
      <c r="H17" s="92">
        <v>0</v>
      </c>
      <c r="I17" s="92">
        <v>0</v>
      </c>
      <c r="J17" s="65">
        <f t="shared" si="1"/>
        <v>0</v>
      </c>
      <c r="K17" s="65">
        <f t="shared" si="5"/>
        <v>0</v>
      </c>
      <c r="L17" s="65">
        <f t="shared" si="2"/>
        <v>0</v>
      </c>
      <c r="M17" s="62"/>
      <c r="N17" s="94">
        <f t="shared" si="3"/>
        <v>0</v>
      </c>
      <c r="O17" s="65">
        <f t="shared" si="4"/>
        <v>0</v>
      </c>
    </row>
    <row r="18" spans="2:15" ht="25.5">
      <c r="B18" s="87">
        <v>17</v>
      </c>
      <c r="C18" s="88" t="s">
        <v>499</v>
      </c>
      <c r="D18" s="91"/>
      <c r="E18" s="92">
        <v>0</v>
      </c>
      <c r="F18" s="92">
        <v>0</v>
      </c>
      <c r="G18" s="65">
        <f t="shared" si="0"/>
        <v>0</v>
      </c>
      <c r="H18" s="92">
        <v>0</v>
      </c>
      <c r="I18" s="92">
        <v>0</v>
      </c>
      <c r="J18" s="65">
        <f t="shared" si="1"/>
        <v>0</v>
      </c>
      <c r="K18" s="65">
        <f t="shared" si="5"/>
        <v>0</v>
      </c>
      <c r="L18" s="65">
        <f t="shared" si="2"/>
        <v>0</v>
      </c>
      <c r="M18" s="90">
        <v>0.08</v>
      </c>
      <c r="N18" s="65">
        <f t="shared" si="3"/>
        <v>0</v>
      </c>
      <c r="O18" s="65">
        <f t="shared" si="4"/>
        <v>0</v>
      </c>
    </row>
    <row r="19" spans="2:15" ht="25.5">
      <c r="B19" s="87">
        <v>43.1</v>
      </c>
      <c r="C19" s="88" t="s">
        <v>500</v>
      </c>
      <c r="D19" s="92"/>
      <c r="E19" s="92">
        <v>0</v>
      </c>
      <c r="F19" s="92">
        <v>0</v>
      </c>
      <c r="G19" s="65">
        <f t="shared" si="0"/>
        <v>0</v>
      </c>
      <c r="H19" s="92">
        <v>0</v>
      </c>
      <c r="I19" s="92">
        <v>0</v>
      </c>
      <c r="J19" s="65">
        <f t="shared" si="1"/>
        <v>0</v>
      </c>
      <c r="K19" s="65">
        <f t="shared" si="5"/>
        <v>0</v>
      </c>
      <c r="L19" s="65">
        <f t="shared" si="2"/>
        <v>0</v>
      </c>
      <c r="M19" s="90">
        <v>0.3</v>
      </c>
      <c r="N19" s="65">
        <f t="shared" si="3"/>
        <v>0</v>
      </c>
      <c r="O19" s="65">
        <f t="shared" si="4"/>
        <v>0</v>
      </c>
    </row>
    <row r="20" spans="2:15" ht="25.5">
      <c r="B20" s="87">
        <v>45</v>
      </c>
      <c r="C20" s="88" t="s">
        <v>299</v>
      </c>
      <c r="D20" s="91">
        <v>13290.55</v>
      </c>
      <c r="E20" s="92">
        <v>0</v>
      </c>
      <c r="F20" s="92">
        <v>0</v>
      </c>
      <c r="G20" s="65">
        <f t="shared" si="0"/>
        <v>13290.55</v>
      </c>
      <c r="H20" s="94">
        <v>0</v>
      </c>
      <c r="I20" s="92">
        <v>0</v>
      </c>
      <c r="J20" s="65">
        <f t="shared" si="1"/>
        <v>13290.55</v>
      </c>
      <c r="K20" s="65">
        <f t="shared" si="5"/>
        <v>0</v>
      </c>
      <c r="L20" s="65">
        <f t="shared" si="2"/>
        <v>13290.55</v>
      </c>
      <c r="M20" s="90">
        <v>0.45</v>
      </c>
      <c r="N20" s="65">
        <f t="shared" si="3"/>
        <v>5980.7474999999995</v>
      </c>
      <c r="O20" s="65">
        <f t="shared" si="4"/>
        <v>7309.8025</v>
      </c>
    </row>
    <row r="21" spans="2:15" ht="25.5">
      <c r="B21" s="87">
        <v>50</v>
      </c>
      <c r="C21" s="88" t="s">
        <v>298</v>
      </c>
      <c r="D21" s="91">
        <v>134417.45</v>
      </c>
      <c r="E21" s="92">
        <v>0</v>
      </c>
      <c r="F21" s="92">
        <v>0</v>
      </c>
      <c r="G21" s="65">
        <f t="shared" si="0"/>
        <v>134417.45</v>
      </c>
      <c r="H21" s="94">
        <v>0</v>
      </c>
      <c r="I21" s="92">
        <v>0</v>
      </c>
      <c r="J21" s="65">
        <f t="shared" si="1"/>
        <v>134417.45</v>
      </c>
      <c r="K21" s="65">
        <f t="shared" si="5"/>
        <v>0</v>
      </c>
      <c r="L21" s="65">
        <f t="shared" si="2"/>
        <v>134417.45</v>
      </c>
      <c r="M21" s="90">
        <v>0.55</v>
      </c>
      <c r="N21" s="65">
        <f t="shared" si="3"/>
        <v>73929.59750000002</v>
      </c>
      <c r="O21" s="65">
        <f t="shared" si="4"/>
        <v>60487.85249999999</v>
      </c>
    </row>
    <row r="22" spans="2:15" ht="25.5">
      <c r="B22" s="87">
        <v>50</v>
      </c>
      <c r="C22" s="88" t="s">
        <v>890</v>
      </c>
      <c r="D22" s="91">
        <v>0</v>
      </c>
      <c r="E22" s="92">
        <v>0</v>
      </c>
      <c r="F22" s="92">
        <v>0</v>
      </c>
      <c r="G22" s="65">
        <f>D22-E22-F22</f>
        <v>0</v>
      </c>
      <c r="H22" s="94">
        <f>+'FA Continuity 2009'!E32+'FA Continuity 2009'!E33</f>
        <v>50223.10042509288</v>
      </c>
      <c r="I22" s="92">
        <v>0</v>
      </c>
      <c r="J22" s="65">
        <f>G22+H22-I22</f>
        <v>50223.10042509288</v>
      </c>
      <c r="K22" s="65">
        <v>0</v>
      </c>
      <c r="L22" s="65">
        <f>J22-K22</f>
        <v>50223.10042509288</v>
      </c>
      <c r="M22" s="90">
        <v>1</v>
      </c>
      <c r="N22" s="65">
        <f>L22*M22</f>
        <v>50223.10042509288</v>
      </c>
      <c r="O22" s="65">
        <f>J22-N22</f>
        <v>0</v>
      </c>
    </row>
    <row r="23" spans="2:15" ht="25.5">
      <c r="B23" s="87">
        <v>46</v>
      </c>
      <c r="C23" s="88" t="s">
        <v>501</v>
      </c>
      <c r="D23" s="92"/>
      <c r="E23" s="92">
        <v>0</v>
      </c>
      <c r="F23" s="92">
        <v>0</v>
      </c>
      <c r="G23" s="65">
        <f t="shared" si="0"/>
        <v>0</v>
      </c>
      <c r="H23" s="92">
        <v>0</v>
      </c>
      <c r="I23" s="92">
        <v>0</v>
      </c>
      <c r="J23" s="65">
        <f t="shared" si="1"/>
        <v>0</v>
      </c>
      <c r="K23" s="65">
        <f t="shared" si="5"/>
        <v>0</v>
      </c>
      <c r="L23" s="65">
        <f t="shared" si="2"/>
        <v>0</v>
      </c>
      <c r="M23" s="90">
        <v>0.3</v>
      </c>
      <c r="N23" s="65">
        <f t="shared" si="3"/>
        <v>0</v>
      </c>
      <c r="O23" s="65">
        <f t="shared" si="4"/>
        <v>0</v>
      </c>
    </row>
    <row r="24" spans="2:15" ht="12.75">
      <c r="B24" s="87">
        <v>47</v>
      </c>
      <c r="C24" s="88" t="s">
        <v>502</v>
      </c>
      <c r="D24" s="91">
        <v>8246693</v>
      </c>
      <c r="E24" s="92"/>
      <c r="F24" s="92"/>
      <c r="G24" s="65">
        <f t="shared" si="0"/>
        <v>8246693</v>
      </c>
      <c r="H24" s="94">
        <f>+'FA Continuity 2009'!E12+'FA Continuity 2009'!E14+'FA Continuity 2009'!E15+'FA Continuity 2009'!E16+'FA Continuity 2009'!E17+'FA Continuity 2009'!E18+'FA Continuity 2009'!E19+'FA Continuity 2009'!E20+'FA Continuity 2009'!E21+'FA Continuity 2009'!E22+'FA Continuity 2009'!E23+'FA Continuity 2009'!E29+'FA Continuity 2009'!E41+'FA Continuity 2009'!E42+'FA Continuity 2009'!E43+'FA Continuity 2009'!E44+'FA Continuity 2009'!E45+'FA Continuity 2009'!E46</f>
        <v>7596809.434054024</v>
      </c>
      <c r="I24" s="92">
        <v>0</v>
      </c>
      <c r="J24" s="65">
        <f t="shared" si="1"/>
        <v>15843502.434054025</v>
      </c>
      <c r="K24" s="65">
        <f t="shared" si="5"/>
        <v>3798404.717027012</v>
      </c>
      <c r="L24" s="65">
        <f t="shared" si="2"/>
        <v>12045097.717027012</v>
      </c>
      <c r="M24" s="90">
        <v>0.08</v>
      </c>
      <c r="N24" s="94">
        <f t="shared" si="3"/>
        <v>963607.817362161</v>
      </c>
      <c r="O24" s="65">
        <f t="shared" si="4"/>
        <v>14879894.616691863</v>
      </c>
    </row>
    <row r="25" spans="2:15" ht="12.75">
      <c r="B25" s="87"/>
      <c r="C25" s="89" t="s">
        <v>503</v>
      </c>
      <c r="D25" s="272">
        <f aca="true" t="shared" si="6" ref="D25:L25">SUM(D6:D24)</f>
        <v>45186471</v>
      </c>
      <c r="E25" s="272">
        <f t="shared" si="6"/>
        <v>0</v>
      </c>
      <c r="F25" s="272">
        <f t="shared" si="6"/>
        <v>0</v>
      </c>
      <c r="G25" s="272">
        <f t="shared" si="6"/>
        <v>45186471</v>
      </c>
      <c r="H25" s="272">
        <f t="shared" si="6"/>
        <v>8192963.10916833</v>
      </c>
      <c r="I25" s="272">
        <f t="shared" si="6"/>
        <v>53654.4</v>
      </c>
      <c r="J25" s="272">
        <f t="shared" si="6"/>
        <v>53325779.70916833</v>
      </c>
      <c r="K25" s="272">
        <f t="shared" si="6"/>
        <v>4071370.004371619</v>
      </c>
      <c r="L25" s="272">
        <f t="shared" si="6"/>
        <v>49254409.70479672</v>
      </c>
      <c r="M25" s="272"/>
      <c r="N25" s="272">
        <f>SUM(N6:N24)</f>
        <v>2845467.8857561755</v>
      </c>
      <c r="O25" s="272">
        <f>SUM(O6:O24)</f>
        <v>50480311.823412165</v>
      </c>
    </row>
    <row r="26" spans="2:8" ht="12.75">
      <c r="B26" s="30"/>
      <c r="C26" s="85"/>
      <c r="D26" s="25"/>
      <c r="E26" s="25"/>
      <c r="F26" s="25"/>
      <c r="G26" s="25"/>
      <c r="H26" s="310"/>
    </row>
    <row r="27" spans="2:8" ht="12.75">
      <c r="B27" s="87" t="s">
        <v>504</v>
      </c>
      <c r="C27" s="88" t="s">
        <v>505</v>
      </c>
      <c r="D27" s="91"/>
      <c r="E27" s="92">
        <v>0</v>
      </c>
      <c r="F27" s="92">
        <v>0</v>
      </c>
      <c r="G27" s="65">
        <f>D27-E27-F27</f>
        <v>0</v>
      </c>
      <c r="H27" s="310"/>
    </row>
    <row r="28" spans="2:7" ht="12.75">
      <c r="B28" s="87" t="s">
        <v>504</v>
      </c>
      <c r="C28" s="88" t="s">
        <v>549</v>
      </c>
      <c r="D28" s="92"/>
      <c r="E28" s="92">
        <v>0</v>
      </c>
      <c r="F28" s="92">
        <v>0</v>
      </c>
      <c r="G28" s="65">
        <f>D28-E28-F28</f>
        <v>0</v>
      </c>
    </row>
    <row r="29" spans="2:7" ht="12.75">
      <c r="B29" s="87" t="s">
        <v>504</v>
      </c>
      <c r="C29" s="88" t="s">
        <v>506</v>
      </c>
      <c r="D29" s="92"/>
      <c r="E29" s="92">
        <v>0</v>
      </c>
      <c r="F29" s="92">
        <v>0</v>
      </c>
      <c r="G29" s="65">
        <f>D29-E29-F29</f>
        <v>0</v>
      </c>
    </row>
    <row r="30" spans="2:7" ht="12.75">
      <c r="B30" s="87"/>
      <c r="C30" s="89" t="s">
        <v>507</v>
      </c>
      <c r="D30" s="272">
        <f>SUM(D27:D29)</f>
        <v>0</v>
      </c>
      <c r="E30" s="272">
        <f>SUM(E27:E29)</f>
        <v>0</v>
      </c>
      <c r="F30" s="272">
        <f>SUM(F27:F29)</f>
        <v>0</v>
      </c>
      <c r="G30" s="272">
        <f>SUM(G27:G29)</f>
        <v>0</v>
      </c>
    </row>
    <row r="31" ht="13.5" thickBot="1"/>
    <row r="32" spans="1:9" ht="12.75">
      <c r="A32" s="516"/>
      <c r="B32" s="495"/>
      <c r="C32" s="495"/>
      <c r="D32" s="495"/>
      <c r="E32" s="495"/>
      <c r="F32" s="495"/>
      <c r="G32" s="495"/>
      <c r="H32" s="495"/>
      <c r="I32" s="517"/>
    </row>
    <row r="33" spans="1:9" ht="24" customHeight="1">
      <c r="A33" s="46"/>
      <c r="B33" s="460" t="s">
        <v>396</v>
      </c>
      <c r="C33" s="460"/>
      <c r="D33" s="460"/>
      <c r="E33" s="460"/>
      <c r="F33" s="460"/>
      <c r="G33" s="460"/>
      <c r="H33" s="460"/>
      <c r="I33" s="55"/>
    </row>
    <row r="34" spans="1:9" ht="15.75">
      <c r="A34" s="46"/>
      <c r="B34" s="514" t="s">
        <v>342</v>
      </c>
      <c r="C34" s="514"/>
      <c r="D34" s="514"/>
      <c r="E34" s="57"/>
      <c r="F34" s="57"/>
      <c r="G34" s="57"/>
      <c r="H34" s="64">
        <f>G30</f>
        <v>0</v>
      </c>
      <c r="I34" s="55"/>
    </row>
    <row r="35" spans="1:9" ht="15.75">
      <c r="A35" s="46"/>
      <c r="B35" s="514"/>
      <c r="C35" s="514"/>
      <c r="D35" s="514"/>
      <c r="E35" s="57"/>
      <c r="F35" s="57"/>
      <c r="G35" s="57"/>
      <c r="H35" s="64"/>
      <c r="I35" s="55"/>
    </row>
    <row r="36" spans="1:9" ht="12.75">
      <c r="A36" s="46"/>
      <c r="B36" s="515" t="s">
        <v>520</v>
      </c>
      <c r="C36" s="515"/>
      <c r="D36" s="515"/>
      <c r="E36" s="56"/>
      <c r="F36" s="56"/>
      <c r="G36" s="56"/>
      <c r="I36" s="55"/>
    </row>
    <row r="37" spans="1:9" ht="12.75">
      <c r="A37" s="46"/>
      <c r="B37" s="514" t="s">
        <v>393</v>
      </c>
      <c r="C37" s="514"/>
      <c r="D37" s="514"/>
      <c r="E37" s="95">
        <v>0</v>
      </c>
      <c r="F37" s="56"/>
      <c r="G37" s="56"/>
      <c r="H37" s="56"/>
      <c r="I37" s="55"/>
    </row>
    <row r="38" spans="1:9" ht="12.75">
      <c r="A38" s="46"/>
      <c r="B38" s="514"/>
      <c r="C38" s="514"/>
      <c r="D38" s="514"/>
      <c r="E38" s="56"/>
      <c r="F38" s="56"/>
      <c r="G38" s="56"/>
      <c r="H38" s="56"/>
      <c r="I38" s="55"/>
    </row>
    <row r="39" spans="1:9" ht="12.75">
      <c r="A39" s="46"/>
      <c r="B39" s="514" t="s">
        <v>343</v>
      </c>
      <c r="C39" s="514"/>
      <c r="D39" s="514"/>
      <c r="E39" s="95">
        <v>0</v>
      </c>
      <c r="F39" s="56"/>
      <c r="G39" s="56"/>
      <c r="H39" s="56"/>
      <c r="I39" s="55"/>
    </row>
    <row r="40" spans="1:9" ht="12.75">
      <c r="A40" s="46"/>
      <c r="B40" s="514"/>
      <c r="C40" s="514"/>
      <c r="D40" s="514"/>
      <c r="E40" s="56"/>
      <c r="F40" s="56"/>
      <c r="G40" s="56"/>
      <c r="H40" s="56"/>
      <c r="I40" s="55"/>
    </row>
    <row r="41" spans="1:9" ht="12.75">
      <c r="A41" s="46"/>
      <c r="B41" s="514" t="s">
        <v>344</v>
      </c>
      <c r="C41" s="514"/>
      <c r="D41" s="514"/>
      <c r="E41" s="95">
        <f>E37+E39</f>
        <v>0</v>
      </c>
      <c r="F41" s="56" t="s">
        <v>345</v>
      </c>
      <c r="G41" s="56">
        <f>E41*0.75</f>
        <v>0</v>
      </c>
      <c r="H41" s="56"/>
      <c r="I41" s="55"/>
    </row>
    <row r="42" spans="1:9" ht="12.75">
      <c r="A42" s="46"/>
      <c r="B42" s="514"/>
      <c r="C42" s="514"/>
      <c r="D42" s="514"/>
      <c r="E42" s="56"/>
      <c r="F42" s="56"/>
      <c r="G42" s="56"/>
      <c r="H42" s="56"/>
      <c r="I42" s="55"/>
    </row>
    <row r="43" spans="1:9" ht="12.75" customHeight="1">
      <c r="A43" s="46"/>
      <c r="B43" s="521" t="s">
        <v>395</v>
      </c>
      <c r="C43" s="521"/>
      <c r="D43" s="521"/>
      <c r="H43" s="56"/>
      <c r="I43" s="55"/>
    </row>
    <row r="44" spans="1:9" ht="12.75">
      <c r="A44" s="46"/>
      <c r="B44" s="521"/>
      <c r="C44" s="521"/>
      <c r="D44" s="521"/>
      <c r="E44" s="95">
        <v>0</v>
      </c>
      <c r="F44" s="56" t="s">
        <v>346</v>
      </c>
      <c r="G44" s="56">
        <f>E44*0.5</f>
        <v>0</v>
      </c>
      <c r="H44" s="56"/>
      <c r="I44" s="55"/>
    </row>
    <row r="45" spans="1:9" ht="12.75">
      <c r="A45" s="46"/>
      <c r="B45" s="514"/>
      <c r="C45" s="514"/>
      <c r="D45" s="514"/>
      <c r="E45" s="56"/>
      <c r="F45" s="56"/>
      <c r="G45" s="66">
        <f>G41+G44</f>
        <v>0</v>
      </c>
      <c r="H45" s="96">
        <f>G45+H34</f>
        <v>0</v>
      </c>
      <c r="I45" s="55"/>
    </row>
    <row r="46" spans="1:9" ht="12.75">
      <c r="A46" s="46"/>
      <c r="B46" s="60"/>
      <c r="C46" s="60"/>
      <c r="D46" s="60"/>
      <c r="E46" s="56"/>
      <c r="F46" s="56"/>
      <c r="G46" s="56"/>
      <c r="H46" s="56"/>
      <c r="I46" s="55"/>
    </row>
    <row r="47" spans="1:9" ht="12.75">
      <c r="A47" s="46"/>
      <c r="B47" s="514" t="s">
        <v>347</v>
      </c>
      <c r="C47" s="514"/>
      <c r="D47" s="514"/>
      <c r="E47" s="95">
        <v>0</v>
      </c>
      <c r="F47" s="56"/>
      <c r="G47" s="56"/>
      <c r="H47" s="13">
        <f>E47</f>
        <v>0</v>
      </c>
      <c r="I47" s="55"/>
    </row>
    <row r="48" spans="1:9" ht="12.75">
      <c r="A48" s="46"/>
      <c r="B48" s="514"/>
      <c r="C48" s="514"/>
      <c r="D48" s="514"/>
      <c r="E48" s="56"/>
      <c r="F48" s="56"/>
      <c r="G48" s="56"/>
      <c r="H48" s="56"/>
      <c r="I48" s="55"/>
    </row>
    <row r="49" spans="1:9" ht="12.75">
      <c r="A49" s="46"/>
      <c r="B49" s="518" t="s">
        <v>344</v>
      </c>
      <c r="C49" s="518"/>
      <c r="D49" s="518" t="s">
        <v>344</v>
      </c>
      <c r="E49" s="56"/>
      <c r="F49" s="56"/>
      <c r="G49" s="56"/>
      <c r="H49" s="96">
        <f>H45+H47</f>
        <v>0</v>
      </c>
      <c r="I49" s="55"/>
    </row>
    <row r="50" spans="1:9" ht="12.75">
      <c r="A50" s="46"/>
      <c r="B50" s="514"/>
      <c r="C50" s="514"/>
      <c r="D50" s="514"/>
      <c r="E50" s="56"/>
      <c r="F50" s="56"/>
      <c r="G50" s="56"/>
      <c r="H50" s="56"/>
      <c r="I50" s="55"/>
    </row>
    <row r="51" spans="1:9" ht="12.75">
      <c r="A51" s="46"/>
      <c r="B51" s="515" t="s">
        <v>320</v>
      </c>
      <c r="C51" s="515"/>
      <c r="D51" s="515"/>
      <c r="E51" s="56"/>
      <c r="F51" s="56"/>
      <c r="G51" s="56"/>
      <c r="H51" s="56"/>
      <c r="I51" s="55"/>
    </row>
    <row r="52" spans="1:9" ht="12.75">
      <c r="A52" s="46"/>
      <c r="B52" s="514"/>
      <c r="C52" s="514"/>
      <c r="D52" s="514"/>
      <c r="E52" s="56"/>
      <c r="F52" s="56"/>
      <c r="G52" s="56"/>
      <c r="H52" s="56"/>
      <c r="I52" s="55"/>
    </row>
    <row r="53" spans="1:9" ht="12.75">
      <c r="A53" s="46"/>
      <c r="B53" s="521" t="s">
        <v>397</v>
      </c>
      <c r="C53" s="521"/>
      <c r="D53" s="521"/>
      <c r="E53" s="56"/>
      <c r="F53" s="56"/>
      <c r="G53" s="56"/>
      <c r="H53" s="56"/>
      <c r="I53" s="55"/>
    </row>
    <row r="54" spans="1:9" ht="12.75">
      <c r="A54" s="46"/>
      <c r="B54" s="521"/>
      <c r="C54" s="521"/>
      <c r="D54" s="521"/>
      <c r="E54" s="56"/>
      <c r="F54" s="56"/>
      <c r="G54" s="56"/>
      <c r="H54" s="56"/>
      <c r="I54" s="55"/>
    </row>
    <row r="55" spans="1:9" ht="12.75">
      <c r="A55" s="46"/>
      <c r="B55" s="514"/>
      <c r="C55" s="514"/>
      <c r="D55" s="514"/>
      <c r="E55" s="56"/>
      <c r="F55" s="56"/>
      <c r="G55" s="56"/>
      <c r="H55" s="56"/>
      <c r="I55" s="55"/>
    </row>
    <row r="56" spans="1:9" ht="12.75">
      <c r="A56" s="46"/>
      <c r="B56" s="514" t="s">
        <v>343</v>
      </c>
      <c r="C56" s="514"/>
      <c r="D56" s="514"/>
      <c r="E56" s="95">
        <v>0</v>
      </c>
      <c r="F56" s="56"/>
      <c r="G56" s="56"/>
      <c r="H56" s="56"/>
      <c r="I56" s="55"/>
    </row>
    <row r="57" spans="1:9" ht="12.75">
      <c r="A57" s="46"/>
      <c r="B57" s="514"/>
      <c r="C57" s="514"/>
      <c r="D57" s="514"/>
      <c r="E57" s="56"/>
      <c r="F57" s="56"/>
      <c r="G57" s="56"/>
      <c r="H57" s="56"/>
      <c r="I57" s="55"/>
    </row>
    <row r="58" spans="1:9" ht="12.75">
      <c r="A58" s="46"/>
      <c r="B58" s="518" t="s">
        <v>344</v>
      </c>
      <c r="C58" s="518"/>
      <c r="D58" s="518" t="s">
        <v>344</v>
      </c>
      <c r="E58" s="95">
        <f>E56</f>
        <v>0</v>
      </c>
      <c r="F58" s="56" t="s">
        <v>345</v>
      </c>
      <c r="G58" s="56">
        <f>E58*0.75</f>
        <v>0</v>
      </c>
      <c r="H58" s="96">
        <f>H49+G58</f>
        <v>0</v>
      </c>
      <c r="I58" s="55"/>
    </row>
    <row r="59" spans="1:9" ht="12.75">
      <c r="A59" s="46"/>
      <c r="B59" s="514"/>
      <c r="C59" s="514"/>
      <c r="D59" s="514"/>
      <c r="E59" s="56"/>
      <c r="F59" s="56"/>
      <c r="G59" s="56"/>
      <c r="H59" s="56"/>
      <c r="I59" s="55"/>
    </row>
    <row r="60" spans="1:9" ht="12.75">
      <c r="A60" s="46"/>
      <c r="B60" s="514"/>
      <c r="C60" s="514"/>
      <c r="D60" s="514"/>
      <c r="E60" s="56"/>
      <c r="F60" s="56"/>
      <c r="G60" s="56"/>
      <c r="H60" s="56"/>
      <c r="I60" s="55"/>
    </row>
    <row r="61" spans="1:9" ht="12.75">
      <c r="A61" s="46"/>
      <c r="B61" s="514"/>
      <c r="C61" s="514"/>
      <c r="D61" s="514"/>
      <c r="E61" s="56"/>
      <c r="F61" s="56"/>
      <c r="G61" s="56"/>
      <c r="H61" s="56"/>
      <c r="I61" s="55"/>
    </row>
    <row r="62" spans="1:9" ht="12.75">
      <c r="A62" s="46"/>
      <c r="B62" s="514" t="s">
        <v>348</v>
      </c>
      <c r="C62" s="514"/>
      <c r="D62" s="514"/>
      <c r="E62" s="56"/>
      <c r="F62" s="56"/>
      <c r="G62" s="56"/>
      <c r="H62" s="64">
        <f>H58</f>
        <v>0</v>
      </c>
      <c r="I62" s="55"/>
    </row>
    <row r="63" spans="1:9" ht="12.75">
      <c r="A63" s="46"/>
      <c r="B63" s="514"/>
      <c r="C63" s="514"/>
      <c r="D63" s="514"/>
      <c r="E63" s="56"/>
      <c r="F63" s="56"/>
      <c r="G63" s="56"/>
      <c r="H63" s="56"/>
      <c r="I63" s="55"/>
    </row>
    <row r="64" spans="1:9" ht="12.75">
      <c r="A64" s="46"/>
      <c r="B64" s="514" t="s">
        <v>349</v>
      </c>
      <c r="C64" s="514"/>
      <c r="D64" s="514"/>
      <c r="E64" s="97">
        <v>0.07</v>
      </c>
      <c r="F64" s="56"/>
      <c r="G64" s="56"/>
      <c r="H64" s="64">
        <f>H62*E64</f>
        <v>0</v>
      </c>
      <c r="I64" s="55"/>
    </row>
    <row r="65" spans="1:9" ht="12.75">
      <c r="A65" s="46"/>
      <c r="B65" s="436"/>
      <c r="C65" s="436"/>
      <c r="D65" s="436"/>
      <c r="E65" s="56"/>
      <c r="F65" s="64"/>
      <c r="G65" s="56"/>
      <c r="H65" s="64"/>
      <c r="I65" s="55"/>
    </row>
    <row r="66" spans="1:9" ht="13.5" thickBot="1">
      <c r="A66" s="46"/>
      <c r="B66" s="514" t="s">
        <v>392</v>
      </c>
      <c r="C66" s="514"/>
      <c r="D66" s="514"/>
      <c r="E66" s="56"/>
      <c r="F66" s="56"/>
      <c r="G66" s="56"/>
      <c r="H66" s="170">
        <f>H62-H64</f>
        <v>0</v>
      </c>
      <c r="I66" s="55"/>
    </row>
    <row r="67" spans="1:9" ht="14.25" thickBot="1" thickTop="1">
      <c r="A67" s="519"/>
      <c r="B67" s="510"/>
      <c r="C67" s="510"/>
      <c r="D67" s="510"/>
      <c r="E67" s="510"/>
      <c r="F67" s="510"/>
      <c r="G67" s="510"/>
      <c r="H67" s="510"/>
      <c r="I67" s="520"/>
    </row>
  </sheetData>
  <mergeCells count="36">
    <mergeCell ref="A1:O1"/>
    <mergeCell ref="A2:O2"/>
    <mergeCell ref="B66:D66"/>
    <mergeCell ref="B33:H33"/>
    <mergeCell ref="B35:D35"/>
    <mergeCell ref="B53:D54"/>
    <mergeCell ref="B43:D44"/>
    <mergeCell ref="B65:D65"/>
    <mergeCell ref="B56:D56"/>
    <mergeCell ref="B57:D57"/>
    <mergeCell ref="A67:I67"/>
    <mergeCell ref="B45:D45"/>
    <mergeCell ref="B62:D62"/>
    <mergeCell ref="B63:D63"/>
    <mergeCell ref="B64:D64"/>
    <mergeCell ref="B58:D58"/>
    <mergeCell ref="B59:D59"/>
    <mergeCell ref="B60:D60"/>
    <mergeCell ref="B61:D61"/>
    <mergeCell ref="B55:D55"/>
    <mergeCell ref="B52:D52"/>
    <mergeCell ref="B47:D47"/>
    <mergeCell ref="B48:D48"/>
    <mergeCell ref="B49:D49"/>
    <mergeCell ref="B50:D50"/>
    <mergeCell ref="B51:D51"/>
    <mergeCell ref="B42:D42"/>
    <mergeCell ref="B38:D38"/>
    <mergeCell ref="B39:D39"/>
    <mergeCell ref="B40:D40"/>
    <mergeCell ref="B41:D41"/>
    <mergeCell ref="B4:O4"/>
    <mergeCell ref="B37:D37"/>
    <mergeCell ref="B34:D34"/>
    <mergeCell ref="B36:D36"/>
    <mergeCell ref="A32:I32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48" r:id="rId3"/>
  <headerFooter alignWithMargins="0">
    <oddFooter>&amp;L&amp;A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1.57421875" style="0" customWidth="1"/>
    <col min="2" max="2" width="6.421875" style="0" customWidth="1"/>
    <col min="3" max="3" width="48.421875" style="0" customWidth="1"/>
    <col min="4" max="4" width="17.421875" style="0" customWidth="1"/>
    <col min="5" max="5" width="21.140625" style="0" customWidth="1"/>
    <col min="6" max="6" width="20.421875" style="0" customWidth="1"/>
    <col min="7" max="7" width="19.28125" style="0" customWidth="1"/>
    <col min="8" max="8" width="13.00390625" style="0" customWidth="1"/>
    <col min="9" max="9" width="13.57421875" style="0" customWidth="1"/>
    <col min="10" max="10" width="18.57421875" style="0" customWidth="1"/>
    <col min="11" max="11" width="26.7109375" style="0" customWidth="1"/>
    <col min="12" max="12" width="13.140625" style="0" bestFit="1" customWidth="1"/>
    <col min="14" max="14" width="10.8515625" style="0" bestFit="1" customWidth="1"/>
    <col min="15" max="15" width="15.421875" style="0" customWidth="1"/>
  </cols>
  <sheetData>
    <row r="1" spans="1:15" ht="12.75">
      <c r="A1" s="441" t="str">
        <f>'Trial Balance'!A1:J1</f>
        <v>North Bay Hydro Distribution Ltd.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</row>
    <row r="2" spans="1:15" ht="12.75">
      <c r="A2" s="441" t="str">
        <f>'Trial Balance'!A2:J2</f>
        <v>License Number ED-2003-0024, File Number EB-2009-0270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ht="6.75" customHeight="1"/>
    <row r="4" spans="2:15" ht="36" customHeight="1">
      <c r="B4" s="458" t="s">
        <v>828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</row>
    <row r="5" spans="2:15" s="19" customFormat="1" ht="38.25">
      <c r="B5" s="86" t="s">
        <v>479</v>
      </c>
      <c r="C5" s="86" t="s">
        <v>480</v>
      </c>
      <c r="D5" s="86" t="s">
        <v>481</v>
      </c>
      <c r="E5" s="86" t="s">
        <v>482</v>
      </c>
      <c r="F5" s="86" t="s">
        <v>483</v>
      </c>
      <c r="G5" s="86" t="s">
        <v>484</v>
      </c>
      <c r="H5" s="86" t="s">
        <v>508</v>
      </c>
      <c r="I5" s="86" t="s">
        <v>509</v>
      </c>
      <c r="J5" s="86" t="s">
        <v>510</v>
      </c>
      <c r="K5" s="86" t="s">
        <v>511</v>
      </c>
      <c r="L5" s="86" t="s">
        <v>512</v>
      </c>
      <c r="M5" s="86" t="s">
        <v>513</v>
      </c>
      <c r="N5" s="86" t="s">
        <v>514</v>
      </c>
      <c r="O5" s="86" t="s">
        <v>515</v>
      </c>
    </row>
    <row r="6" spans="2:15" ht="12.75">
      <c r="B6" s="87">
        <v>1</v>
      </c>
      <c r="C6" s="88" t="s">
        <v>485</v>
      </c>
      <c r="D6" s="94">
        <f>'CCA Continuity 2009'!O6</f>
        <v>34378760.64</v>
      </c>
      <c r="E6" s="92">
        <v>0</v>
      </c>
      <c r="F6" s="92">
        <v>0</v>
      </c>
      <c r="G6" s="65">
        <f aca="true" t="shared" si="0" ref="G6:G24">D6-E6-F6</f>
        <v>34378760.64</v>
      </c>
      <c r="H6" s="92">
        <v>0</v>
      </c>
      <c r="I6" s="92">
        <v>0</v>
      </c>
      <c r="J6" s="65">
        <f aca="true" t="shared" si="1" ref="J6:J24">G6+H6-I6</f>
        <v>34378760.64</v>
      </c>
      <c r="K6" s="65">
        <f aca="true" t="shared" si="2" ref="K6:K24">H6*0.5</f>
        <v>0</v>
      </c>
      <c r="L6" s="65">
        <f aca="true" t="shared" si="3" ref="L6:L24">J6-K6</f>
        <v>34378760.64</v>
      </c>
      <c r="M6" s="90">
        <v>0.04</v>
      </c>
      <c r="N6" s="65">
        <f aca="true" t="shared" si="4" ref="N6:N13">L6*M6</f>
        <v>1375150.4256</v>
      </c>
      <c r="O6" s="65">
        <f aca="true" t="shared" si="5" ref="O6:O24">J6-N6</f>
        <v>33003610.2144</v>
      </c>
    </row>
    <row r="7" spans="2:15" ht="12.75">
      <c r="B7" s="87">
        <v>2</v>
      </c>
      <c r="C7" s="88" t="s">
        <v>486</v>
      </c>
      <c r="D7" s="94">
        <f>'CCA Continuity 2009'!O7</f>
        <v>0</v>
      </c>
      <c r="E7" s="92">
        <v>0</v>
      </c>
      <c r="F7" s="92">
        <v>0</v>
      </c>
      <c r="G7" s="65">
        <f t="shared" si="0"/>
        <v>0</v>
      </c>
      <c r="H7" s="92">
        <v>0</v>
      </c>
      <c r="I7" s="92">
        <v>0</v>
      </c>
      <c r="J7" s="65">
        <f t="shared" si="1"/>
        <v>0</v>
      </c>
      <c r="K7" s="65">
        <f t="shared" si="2"/>
        <v>0</v>
      </c>
      <c r="L7" s="65">
        <f t="shared" si="3"/>
        <v>0</v>
      </c>
      <c r="M7" s="90">
        <v>0.06</v>
      </c>
      <c r="N7" s="65">
        <f t="shared" si="4"/>
        <v>0</v>
      </c>
      <c r="O7" s="65">
        <f t="shared" si="5"/>
        <v>0</v>
      </c>
    </row>
    <row r="8" spans="2:15" ht="12.75">
      <c r="B8" s="87">
        <v>6</v>
      </c>
      <c r="C8" s="88" t="s">
        <v>297</v>
      </c>
      <c r="D8" s="94">
        <f>'CCA Continuity 2009'!O8</f>
        <v>0</v>
      </c>
      <c r="E8" s="92">
        <v>0</v>
      </c>
      <c r="F8" s="92">
        <v>0</v>
      </c>
      <c r="G8" s="65">
        <f t="shared" si="0"/>
        <v>0</v>
      </c>
      <c r="H8" s="92">
        <v>0</v>
      </c>
      <c r="I8" s="92">
        <v>0</v>
      </c>
      <c r="J8" s="65">
        <f>G8+H8-I8</f>
        <v>0</v>
      </c>
      <c r="K8" s="65">
        <f>H8*0.5</f>
        <v>0</v>
      </c>
      <c r="L8" s="65">
        <f>J8-K8</f>
        <v>0</v>
      </c>
      <c r="M8" s="90">
        <v>0.1</v>
      </c>
      <c r="N8" s="65">
        <f>L8*M8</f>
        <v>0</v>
      </c>
      <c r="O8" s="65">
        <f>J8-N8</f>
        <v>0</v>
      </c>
    </row>
    <row r="9" spans="2:15" ht="12.75">
      <c r="B9" s="87">
        <v>8</v>
      </c>
      <c r="C9" s="88" t="s">
        <v>487</v>
      </c>
      <c r="D9" s="94">
        <f>'CCA Continuity 2009'!O9</f>
        <v>355319.45822029246</v>
      </c>
      <c r="E9" s="92">
        <v>0</v>
      </c>
      <c r="F9" s="92">
        <v>0</v>
      </c>
      <c r="G9" s="65">
        <f t="shared" si="0"/>
        <v>355319.45822029246</v>
      </c>
      <c r="H9" s="94">
        <f>+'FA Continuity 2010'!E31+'FA Continuity 2010'!E35+'FA Continuity 2010'!E36+'FA Continuity 2010'!E37+'FA Continuity 2010'!E38+'FA Continuity 2010'!E39+'FA Continuity 2010'!E40</f>
        <v>85000.27736830991</v>
      </c>
      <c r="I9" s="92">
        <v>0</v>
      </c>
      <c r="J9" s="65">
        <f t="shared" si="1"/>
        <v>440319.7355886024</v>
      </c>
      <c r="K9" s="65">
        <f t="shared" si="2"/>
        <v>42500.138684154954</v>
      </c>
      <c r="L9" s="65">
        <f t="shared" si="3"/>
        <v>397819.5969044474</v>
      </c>
      <c r="M9" s="90">
        <v>0.2</v>
      </c>
      <c r="N9" s="65">
        <f t="shared" si="4"/>
        <v>79563.91938088949</v>
      </c>
      <c r="O9" s="65">
        <f t="shared" si="5"/>
        <v>360755.81620771287</v>
      </c>
    </row>
    <row r="10" spans="2:15" ht="12.75">
      <c r="B10" s="87">
        <v>10</v>
      </c>
      <c r="C10" s="88" t="s">
        <v>488</v>
      </c>
      <c r="D10" s="94">
        <f>'CCA Continuity 2009'!O10</f>
        <v>785060.2535</v>
      </c>
      <c r="E10" s="92">
        <v>0</v>
      </c>
      <c r="F10" s="92">
        <v>0</v>
      </c>
      <c r="G10" s="65">
        <f t="shared" si="0"/>
        <v>785060.2535</v>
      </c>
      <c r="H10" s="94">
        <f>'FA Continuity 2010'!E34</f>
        <v>51000</v>
      </c>
      <c r="I10" s="92">
        <v>0</v>
      </c>
      <c r="J10" s="65">
        <f t="shared" si="1"/>
        <v>836060.2535</v>
      </c>
      <c r="K10" s="65">
        <f t="shared" si="2"/>
        <v>25500</v>
      </c>
      <c r="L10" s="65">
        <f t="shared" si="3"/>
        <v>810560.2535</v>
      </c>
      <c r="M10" s="90">
        <v>0.3</v>
      </c>
      <c r="N10" s="65">
        <f t="shared" si="4"/>
        <v>243168.07604999997</v>
      </c>
      <c r="O10" s="65">
        <f t="shared" si="5"/>
        <v>592892.1774500001</v>
      </c>
    </row>
    <row r="11" spans="2:15" ht="12.75">
      <c r="B11" s="87">
        <v>10.1</v>
      </c>
      <c r="C11" s="88" t="s">
        <v>489</v>
      </c>
      <c r="D11" s="94">
        <f>'CCA Continuity 2009'!O11</f>
        <v>13479.2</v>
      </c>
      <c r="E11" s="92">
        <v>0</v>
      </c>
      <c r="F11" s="92">
        <v>0</v>
      </c>
      <c r="G11" s="65">
        <f t="shared" si="0"/>
        <v>13479.2</v>
      </c>
      <c r="H11" s="92">
        <v>0</v>
      </c>
      <c r="I11" s="92">
        <v>0</v>
      </c>
      <c r="J11" s="65">
        <f t="shared" si="1"/>
        <v>13479.2</v>
      </c>
      <c r="K11" s="65">
        <f t="shared" si="2"/>
        <v>0</v>
      </c>
      <c r="L11" s="65">
        <f t="shared" si="3"/>
        <v>13479.2</v>
      </c>
      <c r="M11" s="90">
        <v>0.3</v>
      </c>
      <c r="N11" s="65">
        <f t="shared" si="4"/>
        <v>4043.76</v>
      </c>
      <c r="O11" s="65">
        <f t="shared" si="5"/>
        <v>9435.44</v>
      </c>
    </row>
    <row r="12" spans="2:15" ht="12.75">
      <c r="B12" s="87">
        <v>12</v>
      </c>
      <c r="C12" s="88" t="s">
        <v>539</v>
      </c>
      <c r="D12" s="94">
        <f>'CCA Continuity 2009'!O12</f>
        <v>0</v>
      </c>
      <c r="E12" s="92">
        <v>0</v>
      </c>
      <c r="F12" s="92">
        <v>0</v>
      </c>
      <c r="G12" s="65">
        <f t="shared" si="0"/>
        <v>0</v>
      </c>
      <c r="H12" s="94">
        <v>0</v>
      </c>
      <c r="I12" s="92">
        <v>0</v>
      </c>
      <c r="J12" s="65">
        <f t="shared" si="1"/>
        <v>0</v>
      </c>
      <c r="K12" s="65">
        <f t="shared" si="2"/>
        <v>0</v>
      </c>
      <c r="L12" s="65">
        <f t="shared" si="3"/>
        <v>0</v>
      </c>
      <c r="M12" s="90">
        <v>1</v>
      </c>
      <c r="N12" s="65">
        <f t="shared" si="4"/>
        <v>0</v>
      </c>
      <c r="O12" s="65">
        <f t="shared" si="5"/>
        <v>0</v>
      </c>
    </row>
    <row r="13" spans="2:15" ht="12.75">
      <c r="B13" s="87" t="s">
        <v>490</v>
      </c>
      <c r="C13" s="88" t="s">
        <v>491</v>
      </c>
      <c r="D13" s="94">
        <f>'CCA Continuity 2009'!O13</f>
        <v>0</v>
      </c>
      <c r="E13" s="92">
        <v>0</v>
      </c>
      <c r="F13" s="92">
        <v>0</v>
      </c>
      <c r="G13" s="65">
        <f t="shared" si="0"/>
        <v>0</v>
      </c>
      <c r="H13" s="92">
        <v>0</v>
      </c>
      <c r="I13" s="92">
        <v>0</v>
      </c>
      <c r="J13" s="65">
        <f t="shared" si="1"/>
        <v>0</v>
      </c>
      <c r="K13" s="65">
        <f t="shared" si="2"/>
        <v>0</v>
      </c>
      <c r="L13" s="65">
        <f t="shared" si="3"/>
        <v>0</v>
      </c>
      <c r="M13" s="90">
        <v>0.2</v>
      </c>
      <c r="N13" s="65">
        <f t="shared" si="4"/>
        <v>0</v>
      </c>
      <c r="O13" s="65">
        <f t="shared" si="5"/>
        <v>0</v>
      </c>
    </row>
    <row r="14" spans="2:15" ht="12.75">
      <c r="B14" s="87" t="s">
        <v>492</v>
      </c>
      <c r="C14" s="88" t="s">
        <v>493</v>
      </c>
      <c r="D14" s="94">
        <f>'CCA Continuity 2009'!O14</f>
        <v>0</v>
      </c>
      <c r="E14" s="92">
        <v>0</v>
      </c>
      <c r="F14" s="92">
        <v>0</v>
      </c>
      <c r="G14" s="65">
        <f t="shared" si="0"/>
        <v>0</v>
      </c>
      <c r="H14" s="92">
        <v>0</v>
      </c>
      <c r="I14" s="92">
        <v>0</v>
      </c>
      <c r="J14" s="65">
        <f t="shared" si="1"/>
        <v>0</v>
      </c>
      <c r="K14" s="65">
        <f t="shared" si="2"/>
        <v>0</v>
      </c>
      <c r="L14" s="65">
        <f t="shared" si="3"/>
        <v>0</v>
      </c>
      <c r="M14" s="62"/>
      <c r="N14" s="94">
        <f aca="true" t="shared" si="6" ref="N14:N24">L14*M14</f>
        <v>0</v>
      </c>
      <c r="O14" s="65">
        <f t="shared" si="5"/>
        <v>0</v>
      </c>
    </row>
    <row r="15" spans="2:15" ht="12.75">
      <c r="B15" s="87" t="s">
        <v>494</v>
      </c>
      <c r="C15" s="88" t="s">
        <v>495</v>
      </c>
      <c r="D15" s="94">
        <f>'CCA Continuity 2009'!O15</f>
        <v>0</v>
      </c>
      <c r="E15" s="92">
        <v>0</v>
      </c>
      <c r="F15" s="92">
        <v>0</v>
      </c>
      <c r="G15" s="65">
        <f t="shared" si="0"/>
        <v>0</v>
      </c>
      <c r="H15" s="92">
        <v>0</v>
      </c>
      <c r="I15" s="92">
        <v>0</v>
      </c>
      <c r="J15" s="65">
        <f t="shared" si="1"/>
        <v>0</v>
      </c>
      <c r="K15" s="65">
        <f t="shared" si="2"/>
        <v>0</v>
      </c>
      <c r="L15" s="65">
        <f t="shared" si="3"/>
        <v>0</v>
      </c>
      <c r="M15" s="62"/>
      <c r="N15" s="94">
        <f t="shared" si="6"/>
        <v>0</v>
      </c>
      <c r="O15" s="65">
        <f t="shared" si="5"/>
        <v>0</v>
      </c>
    </row>
    <row r="16" spans="2:15" ht="12.75">
      <c r="B16" s="87" t="s">
        <v>496</v>
      </c>
      <c r="C16" s="88" t="s">
        <v>497</v>
      </c>
      <c r="D16" s="94">
        <f>'CCA Continuity 2009'!O16</f>
        <v>0</v>
      </c>
      <c r="E16" s="92">
        <v>0</v>
      </c>
      <c r="F16" s="92">
        <v>0</v>
      </c>
      <c r="G16" s="65">
        <f t="shared" si="0"/>
        <v>0</v>
      </c>
      <c r="H16" s="92">
        <v>0</v>
      </c>
      <c r="I16" s="92">
        <v>0</v>
      </c>
      <c r="J16" s="65">
        <f t="shared" si="1"/>
        <v>0</v>
      </c>
      <c r="K16" s="65">
        <f t="shared" si="2"/>
        <v>0</v>
      </c>
      <c r="L16" s="65">
        <f t="shared" si="3"/>
        <v>0</v>
      </c>
      <c r="M16" s="62"/>
      <c r="N16" s="94">
        <f t="shared" si="6"/>
        <v>0</v>
      </c>
      <c r="O16" s="65">
        <f t="shared" si="5"/>
        <v>0</v>
      </c>
    </row>
    <row r="17" spans="2:15" ht="12.75">
      <c r="B17" s="87">
        <v>14</v>
      </c>
      <c r="C17" s="88" t="s">
        <v>498</v>
      </c>
      <c r="D17" s="94">
        <f>'CCA Continuity 2009'!O17</f>
        <v>0</v>
      </c>
      <c r="E17" s="92">
        <v>0</v>
      </c>
      <c r="F17" s="92">
        <v>0</v>
      </c>
      <c r="G17" s="65">
        <f t="shared" si="0"/>
        <v>0</v>
      </c>
      <c r="H17" s="92">
        <v>0</v>
      </c>
      <c r="I17" s="92">
        <v>0</v>
      </c>
      <c r="J17" s="65">
        <f t="shared" si="1"/>
        <v>0</v>
      </c>
      <c r="K17" s="65">
        <f t="shared" si="2"/>
        <v>0</v>
      </c>
      <c r="L17" s="65">
        <f t="shared" si="3"/>
        <v>0</v>
      </c>
      <c r="M17" s="62"/>
      <c r="N17" s="94">
        <f t="shared" si="6"/>
        <v>0</v>
      </c>
      <c r="O17" s="65">
        <f t="shared" si="5"/>
        <v>0</v>
      </c>
    </row>
    <row r="18" spans="2:15" ht="25.5">
      <c r="B18" s="87">
        <v>17</v>
      </c>
      <c r="C18" s="88" t="s">
        <v>499</v>
      </c>
      <c r="D18" s="94">
        <f>'CCA Continuity 2009'!O18</f>
        <v>0</v>
      </c>
      <c r="E18" s="92">
        <v>0</v>
      </c>
      <c r="F18" s="92">
        <v>0</v>
      </c>
      <c r="G18" s="65">
        <f t="shared" si="0"/>
        <v>0</v>
      </c>
      <c r="H18" s="91">
        <v>0</v>
      </c>
      <c r="I18" s="92">
        <v>0</v>
      </c>
      <c r="J18" s="65">
        <f t="shared" si="1"/>
        <v>0</v>
      </c>
      <c r="K18" s="65">
        <f t="shared" si="2"/>
        <v>0</v>
      </c>
      <c r="L18" s="65">
        <f t="shared" si="3"/>
        <v>0</v>
      </c>
      <c r="M18" s="90">
        <v>0.08</v>
      </c>
      <c r="N18" s="65">
        <f t="shared" si="6"/>
        <v>0</v>
      </c>
      <c r="O18" s="65">
        <f t="shared" si="5"/>
        <v>0</v>
      </c>
    </row>
    <row r="19" spans="2:15" ht="25.5">
      <c r="B19" s="87">
        <v>43.1</v>
      </c>
      <c r="C19" s="88" t="s">
        <v>500</v>
      </c>
      <c r="D19" s="94">
        <f>'CCA Continuity 2009'!O19</f>
        <v>0</v>
      </c>
      <c r="E19" s="92">
        <v>0</v>
      </c>
      <c r="F19" s="92">
        <v>0</v>
      </c>
      <c r="G19" s="65">
        <f t="shared" si="0"/>
        <v>0</v>
      </c>
      <c r="H19" s="91">
        <v>0</v>
      </c>
      <c r="I19" s="92">
        <v>0</v>
      </c>
      <c r="J19" s="65">
        <f t="shared" si="1"/>
        <v>0</v>
      </c>
      <c r="K19" s="65">
        <f t="shared" si="2"/>
        <v>0</v>
      </c>
      <c r="L19" s="65">
        <f t="shared" si="3"/>
        <v>0</v>
      </c>
      <c r="M19" s="90">
        <v>0.3</v>
      </c>
      <c r="N19" s="65">
        <f t="shared" si="6"/>
        <v>0</v>
      </c>
      <c r="O19" s="65">
        <f t="shared" si="5"/>
        <v>0</v>
      </c>
    </row>
    <row r="20" spans="2:15" ht="25.5">
      <c r="B20" s="87">
        <v>45</v>
      </c>
      <c r="C20" s="88" t="s">
        <v>299</v>
      </c>
      <c r="D20" s="94">
        <f>'CCA Continuity 2009'!O20</f>
        <v>7309.8025</v>
      </c>
      <c r="E20" s="92">
        <v>0</v>
      </c>
      <c r="F20" s="92">
        <v>0</v>
      </c>
      <c r="G20" s="65">
        <f t="shared" si="0"/>
        <v>7309.8025</v>
      </c>
      <c r="H20" s="94">
        <f>'FA Continuity 2009'!E30</f>
        <v>0</v>
      </c>
      <c r="I20" s="92">
        <v>0</v>
      </c>
      <c r="J20" s="65">
        <f t="shared" si="1"/>
        <v>7309.8025</v>
      </c>
      <c r="K20" s="65">
        <f t="shared" si="2"/>
        <v>0</v>
      </c>
      <c r="L20" s="65">
        <f t="shared" si="3"/>
        <v>7309.8025</v>
      </c>
      <c r="M20" s="90">
        <v>0.45</v>
      </c>
      <c r="N20" s="65">
        <f t="shared" si="6"/>
        <v>3289.411125</v>
      </c>
      <c r="O20" s="65">
        <f t="shared" si="5"/>
        <v>4020.3913749999997</v>
      </c>
    </row>
    <row r="21" spans="2:15" ht="25.5">
      <c r="B21" s="87">
        <v>50</v>
      </c>
      <c r="C21" s="88" t="s">
        <v>298</v>
      </c>
      <c r="D21" s="94">
        <f>'CCA Continuity 2009'!O21</f>
        <v>60487.85249999999</v>
      </c>
      <c r="E21" s="92">
        <v>0</v>
      </c>
      <c r="F21" s="92">
        <v>0</v>
      </c>
      <c r="G21" s="65">
        <f t="shared" si="0"/>
        <v>60487.85249999999</v>
      </c>
      <c r="H21" s="94">
        <v>0</v>
      </c>
      <c r="I21" s="92">
        <v>0</v>
      </c>
      <c r="J21" s="65">
        <f>G21+H21-I21</f>
        <v>60487.85249999999</v>
      </c>
      <c r="K21" s="65">
        <f>H21*0.5</f>
        <v>0</v>
      </c>
      <c r="L21" s="65">
        <f>J21-K21</f>
        <v>60487.85249999999</v>
      </c>
      <c r="M21" s="90">
        <v>0.55</v>
      </c>
      <c r="N21" s="65">
        <f>L21*M21</f>
        <v>33268.318875</v>
      </c>
      <c r="O21" s="65">
        <f>J21-N21</f>
        <v>27219.533624999996</v>
      </c>
    </row>
    <row r="22" spans="2:15" ht="25.5">
      <c r="B22" s="87">
        <v>50</v>
      </c>
      <c r="C22" s="88" t="s">
        <v>890</v>
      </c>
      <c r="D22" s="94">
        <v>0</v>
      </c>
      <c r="E22" s="92">
        <v>0</v>
      </c>
      <c r="F22" s="92">
        <v>0</v>
      </c>
      <c r="G22" s="65">
        <f t="shared" si="0"/>
        <v>0</v>
      </c>
      <c r="H22" s="94">
        <f>+'FA Continuity 2010'!E32+'FA Continuity 2010'!E33</f>
        <v>188937.3253908256</v>
      </c>
      <c r="I22" s="92"/>
      <c r="J22" s="65">
        <f>G22+H22-I22</f>
        <v>188937.3253908256</v>
      </c>
      <c r="K22" s="65">
        <v>0</v>
      </c>
      <c r="L22" s="65">
        <f>J22-K22</f>
        <v>188937.3253908256</v>
      </c>
      <c r="M22" s="90">
        <v>1</v>
      </c>
      <c r="N22" s="65">
        <f>L22*M22</f>
        <v>188937.3253908256</v>
      </c>
      <c r="O22" s="65">
        <f>J22-N22</f>
        <v>0</v>
      </c>
    </row>
    <row r="23" spans="2:15" ht="25.5">
      <c r="B23" s="87">
        <v>46</v>
      </c>
      <c r="C23" s="88" t="s">
        <v>501</v>
      </c>
      <c r="D23" s="94">
        <f>'CCA Continuity 2009'!O23</f>
        <v>0</v>
      </c>
      <c r="E23" s="92">
        <v>0</v>
      </c>
      <c r="F23" s="92">
        <v>0</v>
      </c>
      <c r="G23" s="65">
        <f t="shared" si="0"/>
        <v>0</v>
      </c>
      <c r="H23" s="91">
        <v>0</v>
      </c>
      <c r="I23" s="92">
        <v>0</v>
      </c>
      <c r="J23" s="65">
        <f t="shared" si="1"/>
        <v>0</v>
      </c>
      <c r="K23" s="65">
        <f t="shared" si="2"/>
        <v>0</v>
      </c>
      <c r="L23" s="65">
        <f t="shared" si="3"/>
        <v>0</v>
      </c>
      <c r="M23" s="90">
        <v>0.3</v>
      </c>
      <c r="N23" s="65">
        <f t="shared" si="6"/>
        <v>0</v>
      </c>
      <c r="O23" s="65">
        <f t="shared" si="5"/>
        <v>0</v>
      </c>
    </row>
    <row r="24" spans="2:15" ht="12.75">
      <c r="B24" s="87">
        <v>47</v>
      </c>
      <c r="C24" s="88" t="s">
        <v>502</v>
      </c>
      <c r="D24" s="94">
        <f>'CCA Continuity 2009'!O24</f>
        <v>14879894.616691863</v>
      </c>
      <c r="E24" s="62"/>
      <c r="F24" s="62"/>
      <c r="G24" s="65">
        <f t="shared" si="0"/>
        <v>14879894.616691863</v>
      </c>
      <c r="H24" s="94">
        <f>+'FA Continuity 2010'!E12+'FA Continuity 2010'!E14+'FA Continuity 2010'!E15+'FA Continuity 2010'!E16+'FA Continuity 2010'!E17+'FA Continuity 2010'!E18+'FA Continuity 2010'!E19+'FA Continuity 2010'!E20+'FA Continuity 2010'!E21+'FA Continuity 2010'!E22+'FA Continuity 2010'!E23+'FA Continuity 2010'!E29+'FA Continuity 2010'!E41+'FA Continuity 2010'!E42+'FA Continuity 2010'!E43+'FA Continuity 2010'!E44+'FA Continuity 2010'!E45+'FA Continuity 2010'!E46</f>
        <v>7527337.382834632</v>
      </c>
      <c r="I24" s="92">
        <v>0</v>
      </c>
      <c r="J24" s="65">
        <f t="shared" si="1"/>
        <v>22407231.999526493</v>
      </c>
      <c r="K24" s="65">
        <f t="shared" si="2"/>
        <v>3763668.691417316</v>
      </c>
      <c r="L24" s="65">
        <f t="shared" si="3"/>
        <v>18643563.30810918</v>
      </c>
      <c r="M24" s="90">
        <v>0.08</v>
      </c>
      <c r="N24" s="94">
        <f t="shared" si="6"/>
        <v>1491485.0646487344</v>
      </c>
      <c r="O24" s="65">
        <f t="shared" si="5"/>
        <v>20915746.93487776</v>
      </c>
    </row>
    <row r="25" spans="2:15" ht="12.75">
      <c r="B25" s="87"/>
      <c r="C25" s="89" t="s">
        <v>503</v>
      </c>
      <c r="D25" s="299">
        <f aca="true" t="shared" si="7" ref="D25:L25">SUM(D6:D24)</f>
        <v>50480311.823412165</v>
      </c>
      <c r="E25" s="272">
        <f t="shared" si="7"/>
        <v>0</v>
      </c>
      <c r="F25" s="272">
        <f t="shared" si="7"/>
        <v>0</v>
      </c>
      <c r="G25" s="272">
        <f t="shared" si="7"/>
        <v>50480311.823412165</v>
      </c>
      <c r="H25" s="272">
        <f t="shared" si="7"/>
        <v>7852274.985593768</v>
      </c>
      <c r="I25" s="272">
        <f t="shared" si="7"/>
        <v>0</v>
      </c>
      <c r="J25" s="272">
        <f t="shared" si="7"/>
        <v>58332586.80900592</v>
      </c>
      <c r="K25" s="272">
        <f t="shared" si="7"/>
        <v>3831668.830101471</v>
      </c>
      <c r="L25" s="272">
        <f t="shared" si="7"/>
        <v>54500917.978904456</v>
      </c>
      <c r="M25" s="272"/>
      <c r="N25" s="272">
        <f>SUM(N6:N24)</f>
        <v>3418906.3010704494</v>
      </c>
      <c r="O25" s="272">
        <f>SUM(O6:O24)</f>
        <v>54913680.50793547</v>
      </c>
    </row>
    <row r="26" spans="2:8" ht="12.75">
      <c r="B26" s="30"/>
      <c r="C26" s="85"/>
      <c r="D26" s="300"/>
      <c r="E26" s="25"/>
      <c r="F26" s="25"/>
      <c r="G26" s="25"/>
      <c r="H26" s="381">
        <f>+H25-'FA Continuity 2010'!E50</f>
        <v>0</v>
      </c>
    </row>
    <row r="27" spans="2:7" ht="12.75">
      <c r="B27" s="87" t="s">
        <v>504</v>
      </c>
      <c r="C27" s="88" t="s">
        <v>505</v>
      </c>
      <c r="D27" s="94">
        <f>'CCA Continuity 2009'!H66</f>
        <v>0</v>
      </c>
      <c r="E27" s="92">
        <v>0</v>
      </c>
      <c r="F27" s="92">
        <v>0</v>
      </c>
      <c r="G27" s="65">
        <f>D27-E27-F27</f>
        <v>0</v>
      </c>
    </row>
    <row r="28" spans="2:7" ht="12.75">
      <c r="B28" s="87" t="s">
        <v>504</v>
      </c>
      <c r="C28" s="88" t="s">
        <v>549</v>
      </c>
      <c r="D28" s="301">
        <v>0</v>
      </c>
      <c r="E28" s="92">
        <v>0</v>
      </c>
      <c r="F28" s="92">
        <v>0</v>
      </c>
      <c r="G28" s="65">
        <f>D28-E28-F28</f>
        <v>0</v>
      </c>
    </row>
    <row r="29" spans="2:7" ht="12.75">
      <c r="B29" s="87" t="s">
        <v>504</v>
      </c>
      <c r="C29" s="88" t="s">
        <v>506</v>
      </c>
      <c r="D29" s="301">
        <v>0</v>
      </c>
      <c r="E29" s="92">
        <v>0</v>
      </c>
      <c r="F29" s="92">
        <v>0</v>
      </c>
      <c r="G29" s="65">
        <f>D29-E29-F29</f>
        <v>0</v>
      </c>
    </row>
    <row r="30" spans="2:7" ht="12.75">
      <c r="B30" s="87"/>
      <c r="C30" s="89" t="s">
        <v>507</v>
      </c>
      <c r="D30" s="272">
        <f>SUM(D27:D29)</f>
        <v>0</v>
      </c>
      <c r="E30" s="272">
        <f>SUM(E27:E29)</f>
        <v>0</v>
      </c>
      <c r="F30" s="272">
        <f>SUM(F27:F29)</f>
        <v>0</v>
      </c>
      <c r="G30" s="272">
        <f>SUM(G27:G29)</f>
        <v>0</v>
      </c>
    </row>
    <row r="31" ht="13.5" thickBot="1"/>
    <row r="32" spans="1:9" ht="12.75">
      <c r="A32" s="516"/>
      <c r="B32" s="495"/>
      <c r="C32" s="495"/>
      <c r="D32" s="495"/>
      <c r="E32" s="495"/>
      <c r="F32" s="495"/>
      <c r="G32" s="495"/>
      <c r="H32" s="495"/>
      <c r="I32" s="517"/>
    </row>
    <row r="33" spans="1:9" ht="24" customHeight="1">
      <c r="A33" s="46"/>
      <c r="B33" s="460" t="s">
        <v>396</v>
      </c>
      <c r="C33" s="460"/>
      <c r="D33" s="460"/>
      <c r="E33" s="460"/>
      <c r="F33" s="460"/>
      <c r="G33" s="460"/>
      <c r="H33" s="460"/>
      <c r="I33" s="55"/>
    </row>
    <row r="34" spans="1:9" ht="15.75">
      <c r="A34" s="46"/>
      <c r="B34" s="514" t="s">
        <v>342</v>
      </c>
      <c r="C34" s="514"/>
      <c r="D34" s="514"/>
      <c r="E34" s="57"/>
      <c r="F34" s="57"/>
      <c r="G34" s="57"/>
      <c r="H34" s="64">
        <f>G30</f>
        <v>0</v>
      </c>
      <c r="I34" s="55"/>
    </row>
    <row r="35" spans="1:9" ht="15.75">
      <c r="A35" s="46"/>
      <c r="B35" s="514"/>
      <c r="C35" s="514"/>
      <c r="D35" s="514"/>
      <c r="E35" s="57"/>
      <c r="F35" s="57"/>
      <c r="G35" s="57"/>
      <c r="H35" s="64"/>
      <c r="I35" s="55"/>
    </row>
    <row r="36" spans="1:9" ht="12.75">
      <c r="A36" s="46"/>
      <c r="B36" s="515" t="s">
        <v>520</v>
      </c>
      <c r="C36" s="515"/>
      <c r="D36" s="515"/>
      <c r="E36" s="56"/>
      <c r="F36" s="56"/>
      <c r="G36" s="56"/>
      <c r="I36" s="55"/>
    </row>
    <row r="37" spans="1:9" ht="12.75">
      <c r="A37" s="46"/>
      <c r="B37" s="514" t="s">
        <v>393</v>
      </c>
      <c r="C37" s="514"/>
      <c r="D37" s="514"/>
      <c r="E37" s="95">
        <v>0</v>
      </c>
      <c r="F37" s="56"/>
      <c r="G37" s="56"/>
      <c r="H37" s="56"/>
      <c r="I37" s="55"/>
    </row>
    <row r="38" spans="1:9" ht="12.75">
      <c r="A38" s="46"/>
      <c r="B38" s="514"/>
      <c r="C38" s="514"/>
      <c r="D38" s="514"/>
      <c r="E38" s="56"/>
      <c r="F38" s="56"/>
      <c r="G38" s="56"/>
      <c r="H38" s="56"/>
      <c r="I38" s="55"/>
    </row>
    <row r="39" spans="1:9" ht="12.75">
      <c r="A39" s="46"/>
      <c r="B39" s="514" t="s">
        <v>343</v>
      </c>
      <c r="C39" s="514"/>
      <c r="D39" s="514"/>
      <c r="E39" s="95">
        <v>0</v>
      </c>
      <c r="F39" s="56"/>
      <c r="G39" s="56"/>
      <c r="H39" s="56"/>
      <c r="I39" s="55"/>
    </row>
    <row r="40" spans="1:9" ht="12.75">
      <c r="A40" s="46"/>
      <c r="B40" s="514"/>
      <c r="C40" s="514"/>
      <c r="D40" s="514"/>
      <c r="E40" s="56"/>
      <c r="F40" s="56"/>
      <c r="G40" s="56"/>
      <c r="H40" s="56"/>
      <c r="I40" s="55"/>
    </row>
    <row r="41" spans="1:9" ht="12.75">
      <c r="A41" s="46"/>
      <c r="B41" s="514" t="s">
        <v>344</v>
      </c>
      <c r="C41" s="514"/>
      <c r="D41" s="514"/>
      <c r="E41" s="95">
        <f>E37+E39</f>
        <v>0</v>
      </c>
      <c r="F41" s="56" t="s">
        <v>345</v>
      </c>
      <c r="G41" s="56">
        <f>E41*0.75</f>
        <v>0</v>
      </c>
      <c r="H41" s="56"/>
      <c r="I41" s="55"/>
    </row>
    <row r="42" spans="1:9" ht="12.75">
      <c r="A42" s="46"/>
      <c r="B42" s="514"/>
      <c r="C42" s="514"/>
      <c r="D42" s="514"/>
      <c r="E42" s="56"/>
      <c r="F42" s="56"/>
      <c r="G42" s="56"/>
      <c r="H42" s="56"/>
      <c r="I42" s="55"/>
    </row>
    <row r="43" spans="1:9" ht="12.75" customHeight="1">
      <c r="A43" s="46"/>
      <c r="B43" s="521" t="s">
        <v>395</v>
      </c>
      <c r="C43" s="521"/>
      <c r="D43" s="521"/>
      <c r="H43" s="56"/>
      <c r="I43" s="55"/>
    </row>
    <row r="44" spans="1:9" ht="12.75">
      <c r="A44" s="46"/>
      <c r="B44" s="521"/>
      <c r="C44" s="521"/>
      <c r="D44" s="521"/>
      <c r="E44" s="95">
        <v>0</v>
      </c>
      <c r="F44" s="56" t="s">
        <v>346</v>
      </c>
      <c r="G44" s="56">
        <f>E44*0.5</f>
        <v>0</v>
      </c>
      <c r="H44" s="56"/>
      <c r="I44" s="55"/>
    </row>
    <row r="45" spans="1:9" ht="12.75">
      <c r="A45" s="46"/>
      <c r="B45" s="514"/>
      <c r="C45" s="514"/>
      <c r="D45" s="514"/>
      <c r="E45" s="56"/>
      <c r="F45" s="56"/>
      <c r="G45" s="66">
        <f>G41+G44</f>
        <v>0</v>
      </c>
      <c r="H45" s="96">
        <f>G45+H34</f>
        <v>0</v>
      </c>
      <c r="I45" s="55"/>
    </row>
    <row r="46" spans="1:9" ht="12.75">
      <c r="A46" s="46"/>
      <c r="B46" s="60"/>
      <c r="C46" s="60"/>
      <c r="D46" s="60"/>
      <c r="E46" s="56"/>
      <c r="F46" s="56"/>
      <c r="G46" s="56"/>
      <c r="H46" s="56"/>
      <c r="I46" s="55"/>
    </row>
    <row r="47" spans="1:9" ht="12.75">
      <c r="A47" s="46"/>
      <c r="B47" s="514" t="s">
        <v>347</v>
      </c>
      <c r="C47" s="514"/>
      <c r="D47" s="514"/>
      <c r="E47" s="95">
        <v>0</v>
      </c>
      <c r="F47" s="56"/>
      <c r="G47" s="56"/>
      <c r="H47" s="13">
        <f>E47</f>
        <v>0</v>
      </c>
      <c r="I47" s="55"/>
    </row>
    <row r="48" spans="1:9" ht="12.75">
      <c r="A48" s="46"/>
      <c r="B48" s="514"/>
      <c r="C48" s="514"/>
      <c r="D48" s="514"/>
      <c r="E48" s="56"/>
      <c r="F48" s="56"/>
      <c r="G48" s="56"/>
      <c r="H48" s="56"/>
      <c r="I48" s="55"/>
    </row>
    <row r="49" spans="1:9" ht="12.75">
      <c r="A49" s="46"/>
      <c r="B49" s="518" t="s">
        <v>344</v>
      </c>
      <c r="C49" s="518"/>
      <c r="D49" s="518" t="s">
        <v>344</v>
      </c>
      <c r="E49" s="56"/>
      <c r="F49" s="56"/>
      <c r="G49" s="56"/>
      <c r="H49" s="96">
        <f>H45+H47</f>
        <v>0</v>
      </c>
      <c r="I49" s="55"/>
    </row>
    <row r="50" spans="1:9" ht="12.75">
      <c r="A50" s="46"/>
      <c r="B50" s="514"/>
      <c r="C50" s="514"/>
      <c r="D50" s="514"/>
      <c r="E50" s="56"/>
      <c r="F50" s="56"/>
      <c r="G50" s="56"/>
      <c r="H50" s="56"/>
      <c r="I50" s="55"/>
    </row>
    <row r="51" spans="1:9" ht="12.75">
      <c r="A51" s="46"/>
      <c r="B51" s="515" t="s">
        <v>320</v>
      </c>
      <c r="C51" s="515"/>
      <c r="D51" s="515"/>
      <c r="E51" s="56"/>
      <c r="F51" s="56"/>
      <c r="G51" s="56"/>
      <c r="H51" s="56"/>
      <c r="I51" s="55"/>
    </row>
    <row r="52" spans="1:9" ht="12.75">
      <c r="A52" s="46"/>
      <c r="B52" s="514"/>
      <c r="C52" s="514"/>
      <c r="D52" s="514"/>
      <c r="E52" s="56"/>
      <c r="F52" s="56"/>
      <c r="G52" s="56"/>
      <c r="H52" s="56"/>
      <c r="I52" s="55"/>
    </row>
    <row r="53" spans="1:9" ht="12.75">
      <c r="A53" s="46"/>
      <c r="B53" s="521" t="s">
        <v>397</v>
      </c>
      <c r="C53" s="521"/>
      <c r="D53" s="521"/>
      <c r="E53" s="56"/>
      <c r="F53" s="56"/>
      <c r="G53" s="56"/>
      <c r="H53" s="56"/>
      <c r="I53" s="55"/>
    </row>
    <row r="54" spans="1:9" ht="12.75">
      <c r="A54" s="46"/>
      <c r="B54" s="521"/>
      <c r="C54" s="521"/>
      <c r="D54" s="521"/>
      <c r="E54" s="56"/>
      <c r="F54" s="56"/>
      <c r="G54" s="56"/>
      <c r="H54" s="56"/>
      <c r="I54" s="55"/>
    </row>
    <row r="55" spans="1:9" ht="12.75">
      <c r="A55" s="46"/>
      <c r="B55" s="514"/>
      <c r="C55" s="514"/>
      <c r="D55" s="514"/>
      <c r="E55" s="56"/>
      <c r="F55" s="56"/>
      <c r="G55" s="56"/>
      <c r="H55" s="56"/>
      <c r="I55" s="55"/>
    </row>
    <row r="56" spans="1:9" ht="12.75">
      <c r="A56" s="46"/>
      <c r="B56" s="514" t="s">
        <v>343</v>
      </c>
      <c r="C56" s="514"/>
      <c r="D56" s="514"/>
      <c r="E56" s="95">
        <v>0</v>
      </c>
      <c r="F56" s="56"/>
      <c r="G56" s="56"/>
      <c r="H56" s="56"/>
      <c r="I56" s="55"/>
    </row>
    <row r="57" spans="1:9" ht="12.75">
      <c r="A57" s="46"/>
      <c r="B57" s="514"/>
      <c r="C57" s="514"/>
      <c r="D57" s="514"/>
      <c r="E57" s="56"/>
      <c r="F57" s="56"/>
      <c r="G57" s="56"/>
      <c r="H57" s="56"/>
      <c r="I57" s="55"/>
    </row>
    <row r="58" spans="1:9" ht="12.75">
      <c r="A58" s="46"/>
      <c r="B58" s="518" t="s">
        <v>344</v>
      </c>
      <c r="C58" s="518"/>
      <c r="D58" s="518" t="s">
        <v>344</v>
      </c>
      <c r="E58" s="95">
        <f>E56</f>
        <v>0</v>
      </c>
      <c r="F58" s="56" t="s">
        <v>345</v>
      </c>
      <c r="G58" s="56">
        <f>E58*0.75</f>
        <v>0</v>
      </c>
      <c r="H58" s="96">
        <f>H49+G58</f>
        <v>0</v>
      </c>
      <c r="I58" s="55"/>
    </row>
    <row r="59" spans="1:9" ht="12.75">
      <c r="A59" s="46"/>
      <c r="B59" s="514"/>
      <c r="C59" s="514"/>
      <c r="D59" s="514"/>
      <c r="E59" s="56"/>
      <c r="F59" s="56"/>
      <c r="G59" s="56"/>
      <c r="H59" s="56"/>
      <c r="I59" s="55"/>
    </row>
    <row r="60" spans="1:9" ht="12.75">
      <c r="A60" s="46"/>
      <c r="B60" s="514"/>
      <c r="C60" s="514"/>
      <c r="D60" s="514"/>
      <c r="E60" s="56"/>
      <c r="F60" s="56"/>
      <c r="G60" s="56"/>
      <c r="H60" s="56"/>
      <c r="I60" s="55"/>
    </row>
    <row r="61" spans="1:9" ht="12.75">
      <c r="A61" s="46"/>
      <c r="B61" s="514"/>
      <c r="C61" s="514"/>
      <c r="D61" s="514"/>
      <c r="E61" s="56"/>
      <c r="F61" s="56"/>
      <c r="G61" s="56"/>
      <c r="H61" s="56"/>
      <c r="I61" s="55"/>
    </row>
    <row r="62" spans="1:9" ht="12.75">
      <c r="A62" s="46"/>
      <c r="B62" s="514" t="s">
        <v>348</v>
      </c>
      <c r="C62" s="514"/>
      <c r="D62" s="514"/>
      <c r="E62" s="56"/>
      <c r="F62" s="56"/>
      <c r="G62" s="56"/>
      <c r="H62" s="64">
        <f>H58</f>
        <v>0</v>
      </c>
      <c r="I62" s="55"/>
    </row>
    <row r="63" spans="1:9" ht="12.75">
      <c r="A63" s="46"/>
      <c r="B63" s="514"/>
      <c r="C63" s="514"/>
      <c r="D63" s="514"/>
      <c r="E63" s="56"/>
      <c r="F63" s="56"/>
      <c r="G63" s="56"/>
      <c r="H63" s="56"/>
      <c r="I63" s="55"/>
    </row>
    <row r="64" spans="1:9" ht="12.75">
      <c r="A64" s="46"/>
      <c r="B64" s="514" t="s">
        <v>349</v>
      </c>
      <c r="C64" s="514"/>
      <c r="D64" s="514"/>
      <c r="E64" s="97">
        <v>0.07</v>
      </c>
      <c r="F64" s="56"/>
      <c r="G64" s="56"/>
      <c r="H64" s="64">
        <f>H62*E64</f>
        <v>0</v>
      </c>
      <c r="I64" s="55"/>
    </row>
    <row r="65" spans="1:9" ht="12.75">
      <c r="A65" s="46"/>
      <c r="B65" s="436"/>
      <c r="C65" s="436"/>
      <c r="D65" s="436"/>
      <c r="E65" s="56"/>
      <c r="F65" s="64"/>
      <c r="G65" s="56"/>
      <c r="H65" s="64"/>
      <c r="I65" s="55"/>
    </row>
    <row r="66" spans="1:9" ht="13.5" thickBot="1">
      <c r="A66" s="46"/>
      <c r="B66" s="514" t="s">
        <v>392</v>
      </c>
      <c r="C66" s="514"/>
      <c r="D66" s="514"/>
      <c r="E66" s="56"/>
      <c r="F66" s="56"/>
      <c r="G66" s="56"/>
      <c r="H66" s="170">
        <f>H62-H64</f>
        <v>0</v>
      </c>
      <c r="I66" s="55"/>
    </row>
    <row r="67" spans="1:9" ht="14.25" thickBot="1" thickTop="1">
      <c r="A67" s="519"/>
      <c r="B67" s="510"/>
      <c r="C67" s="510"/>
      <c r="D67" s="510"/>
      <c r="E67" s="510"/>
      <c r="F67" s="510"/>
      <c r="G67" s="510"/>
      <c r="H67" s="510"/>
      <c r="I67" s="520"/>
    </row>
  </sheetData>
  <mergeCells count="36">
    <mergeCell ref="A1:O1"/>
    <mergeCell ref="A2:O2"/>
    <mergeCell ref="B4:O4"/>
    <mergeCell ref="B37:D37"/>
    <mergeCell ref="B34:D34"/>
    <mergeCell ref="B36:D36"/>
    <mergeCell ref="A32:I32"/>
    <mergeCell ref="B42:D42"/>
    <mergeCell ref="B38:D38"/>
    <mergeCell ref="B39:D39"/>
    <mergeCell ref="B40:D40"/>
    <mergeCell ref="B41:D41"/>
    <mergeCell ref="B52:D52"/>
    <mergeCell ref="B47:D47"/>
    <mergeCell ref="B48:D48"/>
    <mergeCell ref="B49:D49"/>
    <mergeCell ref="A67:I67"/>
    <mergeCell ref="B45:D45"/>
    <mergeCell ref="B62:D62"/>
    <mergeCell ref="B63:D63"/>
    <mergeCell ref="B64:D64"/>
    <mergeCell ref="B58:D58"/>
    <mergeCell ref="B59:D59"/>
    <mergeCell ref="B60:D60"/>
    <mergeCell ref="B61:D61"/>
    <mergeCell ref="B55:D55"/>
    <mergeCell ref="B66:D66"/>
    <mergeCell ref="B33:H33"/>
    <mergeCell ref="B35:D35"/>
    <mergeCell ref="B53:D54"/>
    <mergeCell ref="B43:D44"/>
    <mergeCell ref="B65:D65"/>
    <mergeCell ref="B56:D56"/>
    <mergeCell ref="B57:D57"/>
    <mergeCell ref="B50:D50"/>
    <mergeCell ref="B51:D51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48" r:id="rId3"/>
  <headerFooter alignWithMargins="0">
    <oddFooter>&amp;L&amp;A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A1" sqref="A1:M1"/>
    </sheetView>
  </sheetViews>
  <sheetFormatPr defaultColWidth="9.140625" defaultRowHeight="12.75"/>
  <cols>
    <col min="1" max="1" width="0.85546875" style="0" customWidth="1"/>
    <col min="2" max="2" width="36.8515625" style="0" customWidth="1"/>
    <col min="3" max="3" width="15.7109375" style="0" customWidth="1"/>
    <col min="4" max="4" width="13.7109375" style="0" customWidth="1"/>
    <col min="5" max="5" width="12.140625" style="0" customWidth="1"/>
    <col min="6" max="6" width="22.57421875" style="0" customWidth="1"/>
    <col min="7" max="7" width="12.28125" style="0" customWidth="1"/>
    <col min="8" max="8" width="9.7109375" style="0" customWidth="1"/>
    <col min="10" max="10" width="15.57421875" style="0" customWidth="1"/>
    <col min="11" max="11" width="12.8515625" style="0" bestFit="1" customWidth="1"/>
    <col min="12" max="12" width="9.8515625" style="0" bestFit="1" customWidth="1"/>
    <col min="13" max="13" width="0.85546875" style="0" customWidth="1"/>
  </cols>
  <sheetData>
    <row r="1" spans="1:13" ht="13.5" thickBot="1">
      <c r="A1" s="526" t="str">
        <f>'Trial Balance'!A1:J1</f>
        <v>North Bay Hydro Distribution Ltd.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</row>
    <row r="2" spans="1:13" ht="13.5" thickBot="1">
      <c r="A2" s="526" t="str">
        <f>'Trial Balance'!A2:J2</f>
        <v>License Number ED-2003-0024, File Number EB-2009-0270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</row>
    <row r="3" spans="1:13" ht="9" customHeight="1">
      <c r="A3" s="43"/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5"/>
    </row>
    <row r="4" spans="1:13" ht="18.75" thickBot="1">
      <c r="A4" s="46"/>
      <c r="B4" s="527" t="s">
        <v>173</v>
      </c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5"/>
    </row>
    <row r="5" spans="1:13" ht="57" customHeight="1" thickBot="1">
      <c r="A5" s="46"/>
      <c r="B5" s="98" t="s">
        <v>189</v>
      </c>
      <c r="C5" s="98" t="s">
        <v>877</v>
      </c>
      <c r="D5" s="98" t="s">
        <v>398</v>
      </c>
      <c r="E5" s="98" t="s">
        <v>90</v>
      </c>
      <c r="F5" s="98" t="s">
        <v>350</v>
      </c>
      <c r="G5" s="98" t="s">
        <v>399</v>
      </c>
      <c r="H5" s="98" t="s">
        <v>340</v>
      </c>
      <c r="I5" s="98" t="s">
        <v>341</v>
      </c>
      <c r="J5" s="98" t="s">
        <v>91</v>
      </c>
      <c r="K5" s="98" t="s">
        <v>400</v>
      </c>
      <c r="L5" s="98" t="s">
        <v>351</v>
      </c>
      <c r="M5" s="55"/>
    </row>
    <row r="6" spans="1:13" ht="12.75">
      <c r="A6" s="46"/>
      <c r="B6" s="99" t="s">
        <v>352</v>
      </c>
      <c r="C6" s="109"/>
      <c r="D6" s="109"/>
      <c r="E6" s="259">
        <f>C6-D6</f>
        <v>0</v>
      </c>
      <c r="F6" s="109"/>
      <c r="G6" s="259">
        <f>SUM(E6:F6)</f>
        <v>0</v>
      </c>
      <c r="H6" s="109"/>
      <c r="I6" s="109"/>
      <c r="J6" s="259">
        <f>G6+H6-I6</f>
        <v>0</v>
      </c>
      <c r="K6" s="259">
        <f>+J6-G6</f>
        <v>0</v>
      </c>
      <c r="L6" s="109"/>
      <c r="M6" s="55"/>
    </row>
    <row r="7" spans="1:13" ht="15">
      <c r="A7" s="46"/>
      <c r="B7" s="528" t="s">
        <v>353</v>
      </c>
      <c r="C7" s="529"/>
      <c r="D7" s="529"/>
      <c r="E7" s="529"/>
      <c r="F7" s="529"/>
      <c r="G7" s="529"/>
      <c r="H7" s="529"/>
      <c r="I7" s="529"/>
      <c r="J7" s="529"/>
      <c r="K7" s="529"/>
      <c r="L7" s="530"/>
      <c r="M7" s="55"/>
    </row>
    <row r="8" spans="1:13" ht="12.75">
      <c r="A8" s="46"/>
      <c r="B8" s="100" t="s">
        <v>354</v>
      </c>
      <c r="C8" s="109">
        <v>475807</v>
      </c>
      <c r="D8" s="109"/>
      <c r="E8" s="259">
        <f>C8-D8</f>
        <v>475807</v>
      </c>
      <c r="F8" s="110"/>
      <c r="G8" s="260">
        <f>SUM(E8:F8)</f>
        <v>475807</v>
      </c>
      <c r="H8" s="110">
        <v>0</v>
      </c>
      <c r="I8" s="110">
        <v>6005.809914276295</v>
      </c>
      <c r="J8" s="259">
        <f>G8+H8-I8</f>
        <v>469801.1900857237</v>
      </c>
      <c r="K8" s="259">
        <f>+J8-G8</f>
        <v>-6005.809914276295</v>
      </c>
      <c r="L8" s="109"/>
      <c r="M8" s="55"/>
    </row>
    <row r="9" spans="1:13" ht="24">
      <c r="A9" s="46"/>
      <c r="B9" s="99" t="s">
        <v>355</v>
      </c>
      <c r="C9" s="109">
        <v>766147</v>
      </c>
      <c r="D9" s="109"/>
      <c r="E9" s="259">
        <f>C9-D9</f>
        <v>766147</v>
      </c>
      <c r="F9" s="109"/>
      <c r="G9" s="259">
        <f>SUM(E9:F9)</f>
        <v>766147</v>
      </c>
      <c r="H9" s="110">
        <v>0</v>
      </c>
      <c r="I9" s="109">
        <v>34454</v>
      </c>
      <c r="J9" s="259">
        <f>G9+H9-I9</f>
        <v>731693</v>
      </c>
      <c r="K9" s="259">
        <f>+J9-G9</f>
        <v>-34454</v>
      </c>
      <c r="L9" s="109"/>
      <c r="M9" s="55"/>
    </row>
    <row r="10" spans="1:13" ht="12.75">
      <c r="A10" s="46"/>
      <c r="B10" s="99" t="s">
        <v>356</v>
      </c>
      <c r="C10" s="109"/>
      <c r="D10" s="109"/>
      <c r="E10" s="259">
        <f>C10-D10</f>
        <v>0</v>
      </c>
      <c r="F10" s="109"/>
      <c r="G10" s="259">
        <f>SUM(E10:F10)</f>
        <v>0</v>
      </c>
      <c r="H10" s="109"/>
      <c r="I10" s="109"/>
      <c r="J10" s="259">
        <f>G10+H10-I10</f>
        <v>0</v>
      </c>
      <c r="K10" s="259">
        <f>+J10-G10</f>
        <v>0</v>
      </c>
      <c r="L10" s="109"/>
      <c r="M10" s="55"/>
    </row>
    <row r="11" spans="1:13" ht="12.75">
      <c r="A11" s="46"/>
      <c r="B11" s="99" t="s">
        <v>357</v>
      </c>
      <c r="C11" s="109"/>
      <c r="D11" s="109"/>
      <c r="E11" s="259">
        <f>C11-D11</f>
        <v>0</v>
      </c>
      <c r="F11" s="109"/>
      <c r="G11" s="259">
        <f>SUM(E11:F11)</f>
        <v>0</v>
      </c>
      <c r="H11" s="109"/>
      <c r="I11" s="109"/>
      <c r="J11" s="259">
        <f>G11+H11-I11</f>
        <v>0</v>
      </c>
      <c r="K11" s="259">
        <f>+J11-G11</f>
        <v>0</v>
      </c>
      <c r="L11" s="109"/>
      <c r="M11" s="55"/>
    </row>
    <row r="12" spans="1:13" ht="12.75">
      <c r="A12" s="46"/>
      <c r="B12" s="99" t="s">
        <v>358</v>
      </c>
      <c r="C12" s="261"/>
      <c r="D12" s="109"/>
      <c r="E12" s="259">
        <f>C12-D12</f>
        <v>0</v>
      </c>
      <c r="F12" s="109"/>
      <c r="G12" s="259">
        <f>SUM(E12:F12)</f>
        <v>0</v>
      </c>
      <c r="H12" s="109"/>
      <c r="I12" s="109"/>
      <c r="J12" s="259">
        <f>G12+H12-I12</f>
        <v>0</v>
      </c>
      <c r="K12" s="259">
        <f>+J12-G12</f>
        <v>0</v>
      </c>
      <c r="L12" s="109"/>
      <c r="M12" s="55"/>
    </row>
    <row r="13" spans="1:13" ht="18.75">
      <c r="A13" s="46"/>
      <c r="B13" s="108" t="s">
        <v>153</v>
      </c>
      <c r="C13" s="262">
        <f>SUM(C8:C12)</f>
        <v>1241954</v>
      </c>
      <c r="D13" s="262">
        <f aca="true" t="shared" si="0" ref="D13:L13">SUM(D8:D12)</f>
        <v>0</v>
      </c>
      <c r="E13" s="262">
        <f t="shared" si="0"/>
        <v>1241954</v>
      </c>
      <c r="F13" s="262">
        <f t="shared" si="0"/>
        <v>0</v>
      </c>
      <c r="G13" s="262">
        <f t="shared" si="0"/>
        <v>1241954</v>
      </c>
      <c r="H13" s="262">
        <f t="shared" si="0"/>
        <v>0</v>
      </c>
      <c r="I13" s="262">
        <f t="shared" si="0"/>
        <v>40459.809914276295</v>
      </c>
      <c r="J13" s="262">
        <f t="shared" si="0"/>
        <v>1201494.1900857238</v>
      </c>
      <c r="K13" s="262">
        <f t="shared" si="0"/>
        <v>-40459.809914276295</v>
      </c>
      <c r="L13" s="262">
        <f t="shared" si="0"/>
        <v>0</v>
      </c>
      <c r="M13" s="55"/>
    </row>
    <row r="14" spans="1:13" ht="12.75">
      <c r="A14" s="46"/>
      <c r="B14" s="102"/>
      <c r="C14" s="103"/>
      <c r="D14" s="103"/>
      <c r="E14" s="103"/>
      <c r="F14" s="104"/>
      <c r="G14" s="104"/>
      <c r="H14" s="104"/>
      <c r="I14" s="105"/>
      <c r="J14" s="106"/>
      <c r="K14" s="106"/>
      <c r="L14" s="106"/>
      <c r="M14" s="55"/>
    </row>
    <row r="15" spans="1:13" ht="15">
      <c r="A15" s="46"/>
      <c r="B15" s="528" t="s">
        <v>401</v>
      </c>
      <c r="C15" s="529"/>
      <c r="D15" s="529"/>
      <c r="E15" s="529"/>
      <c r="F15" s="529"/>
      <c r="G15" s="529"/>
      <c r="H15" s="529"/>
      <c r="I15" s="529"/>
      <c r="J15" s="529"/>
      <c r="K15" s="529"/>
      <c r="L15" s="530"/>
      <c r="M15" s="55"/>
    </row>
    <row r="16" spans="1:13" ht="24">
      <c r="A16" s="46"/>
      <c r="B16" s="99" t="s">
        <v>359</v>
      </c>
      <c r="C16" s="109">
        <v>0</v>
      </c>
      <c r="D16" s="109"/>
      <c r="E16" s="259">
        <f aca="true" t="shared" si="1" ref="E16:E31">C16-D16</f>
        <v>0</v>
      </c>
      <c r="F16" s="109"/>
      <c r="G16" s="259">
        <f aca="true" t="shared" si="2" ref="G16:G31">SUM(E16:F16)</f>
        <v>0</v>
      </c>
      <c r="H16" s="109"/>
      <c r="I16" s="109"/>
      <c r="J16" s="259">
        <f aca="true" t="shared" si="3" ref="J16:J31">G16+H16-I16</f>
        <v>0</v>
      </c>
      <c r="K16" s="259">
        <f aca="true" t="shared" si="4" ref="K16:K31">+J16-G16</f>
        <v>0</v>
      </c>
      <c r="L16" s="109"/>
      <c r="M16" s="55"/>
    </row>
    <row r="17" spans="1:13" ht="12.75">
      <c r="A17" s="46"/>
      <c r="B17" s="99" t="s">
        <v>360</v>
      </c>
      <c r="C17" s="109">
        <v>475806.89</v>
      </c>
      <c r="D17" s="109"/>
      <c r="E17" s="259">
        <f t="shared" si="1"/>
        <v>475806.89</v>
      </c>
      <c r="F17" s="109"/>
      <c r="G17" s="259">
        <f t="shared" si="2"/>
        <v>475806.89</v>
      </c>
      <c r="H17" s="109">
        <v>0</v>
      </c>
      <c r="I17" s="109">
        <v>6005.809914276295</v>
      </c>
      <c r="J17" s="259">
        <f t="shared" si="3"/>
        <v>469801.0800857237</v>
      </c>
      <c r="K17" s="259">
        <f t="shared" si="4"/>
        <v>-6005.809914276295</v>
      </c>
      <c r="L17" s="109"/>
      <c r="M17" s="55"/>
    </row>
    <row r="18" spans="1:13" ht="12.75">
      <c r="A18" s="46"/>
      <c r="B18" s="99" t="s">
        <v>361</v>
      </c>
      <c r="C18" s="109">
        <v>4264214</v>
      </c>
      <c r="D18" s="109"/>
      <c r="E18" s="259">
        <f t="shared" si="1"/>
        <v>4264214</v>
      </c>
      <c r="F18" s="109"/>
      <c r="G18" s="259">
        <f t="shared" si="2"/>
        <v>4264214</v>
      </c>
      <c r="H18" s="109">
        <v>259091</v>
      </c>
      <c r="I18" s="109"/>
      <c r="J18" s="259">
        <f t="shared" si="3"/>
        <v>4523305</v>
      </c>
      <c r="K18" s="259">
        <f t="shared" si="4"/>
        <v>259091</v>
      </c>
      <c r="L18" s="109"/>
      <c r="M18" s="55"/>
    </row>
    <row r="19" spans="1:13" ht="12.75">
      <c r="A19" s="46"/>
      <c r="B19" s="107" t="s">
        <v>362</v>
      </c>
      <c r="C19" s="109"/>
      <c r="D19" s="109"/>
      <c r="E19" s="259">
        <f t="shared" si="1"/>
        <v>0</v>
      </c>
      <c r="F19" s="109"/>
      <c r="G19" s="259">
        <f t="shared" si="2"/>
        <v>0</v>
      </c>
      <c r="H19" s="109"/>
      <c r="I19" s="109"/>
      <c r="J19" s="259">
        <f t="shared" si="3"/>
        <v>0</v>
      </c>
      <c r="K19" s="259">
        <f t="shared" si="4"/>
        <v>0</v>
      </c>
      <c r="L19" s="109"/>
      <c r="M19" s="55"/>
    </row>
    <row r="20" spans="1:13" ht="12.75">
      <c r="A20" s="46"/>
      <c r="B20" s="107" t="s">
        <v>363</v>
      </c>
      <c r="C20" s="109"/>
      <c r="D20" s="109"/>
      <c r="E20" s="259">
        <f t="shared" si="1"/>
        <v>0</v>
      </c>
      <c r="F20" s="109"/>
      <c r="G20" s="259">
        <f t="shared" si="2"/>
        <v>0</v>
      </c>
      <c r="H20" s="109"/>
      <c r="I20" s="109"/>
      <c r="J20" s="259">
        <f t="shared" si="3"/>
        <v>0</v>
      </c>
      <c r="K20" s="259">
        <f t="shared" si="4"/>
        <v>0</v>
      </c>
      <c r="L20" s="109"/>
      <c r="M20" s="55"/>
    </row>
    <row r="21" spans="1:13" ht="12.75">
      <c r="A21" s="46"/>
      <c r="B21" s="107" t="s">
        <v>402</v>
      </c>
      <c r="C21" s="109"/>
      <c r="D21" s="109"/>
      <c r="E21" s="259">
        <f t="shared" si="1"/>
        <v>0</v>
      </c>
      <c r="F21" s="109"/>
      <c r="G21" s="259">
        <f t="shared" si="2"/>
        <v>0</v>
      </c>
      <c r="H21" s="109"/>
      <c r="I21" s="109"/>
      <c r="J21" s="259">
        <f t="shared" si="3"/>
        <v>0</v>
      </c>
      <c r="K21" s="259">
        <f t="shared" si="4"/>
        <v>0</v>
      </c>
      <c r="L21" s="109"/>
      <c r="M21" s="55"/>
    </row>
    <row r="22" spans="1:13" ht="12.75">
      <c r="A22" s="46"/>
      <c r="B22" s="107" t="s">
        <v>364</v>
      </c>
      <c r="C22" s="109"/>
      <c r="D22" s="109"/>
      <c r="E22" s="259">
        <f t="shared" si="1"/>
        <v>0</v>
      </c>
      <c r="F22" s="109"/>
      <c r="G22" s="259">
        <f t="shared" si="2"/>
        <v>0</v>
      </c>
      <c r="H22" s="109"/>
      <c r="I22" s="109"/>
      <c r="J22" s="259">
        <f t="shared" si="3"/>
        <v>0</v>
      </c>
      <c r="K22" s="259">
        <f t="shared" si="4"/>
        <v>0</v>
      </c>
      <c r="L22" s="109"/>
      <c r="M22" s="55"/>
    </row>
    <row r="23" spans="1:13" ht="12.75">
      <c r="A23" s="46"/>
      <c r="B23" s="107" t="s">
        <v>365</v>
      </c>
      <c r="C23" s="109"/>
      <c r="D23" s="109"/>
      <c r="E23" s="259">
        <f t="shared" si="1"/>
        <v>0</v>
      </c>
      <c r="F23" s="109"/>
      <c r="G23" s="259">
        <f t="shared" si="2"/>
        <v>0</v>
      </c>
      <c r="H23" s="109"/>
      <c r="I23" s="109"/>
      <c r="J23" s="259">
        <f t="shared" si="3"/>
        <v>0</v>
      </c>
      <c r="K23" s="259">
        <f t="shared" si="4"/>
        <v>0</v>
      </c>
      <c r="L23" s="109"/>
      <c r="M23" s="55"/>
    </row>
    <row r="24" spans="1:13" ht="12.75">
      <c r="A24" s="46"/>
      <c r="B24" s="99" t="s">
        <v>366</v>
      </c>
      <c r="C24" s="109"/>
      <c r="D24" s="109"/>
      <c r="E24" s="259">
        <f t="shared" si="1"/>
        <v>0</v>
      </c>
      <c r="F24" s="109"/>
      <c r="G24" s="259">
        <f t="shared" si="2"/>
        <v>0</v>
      </c>
      <c r="H24" s="109"/>
      <c r="I24" s="109"/>
      <c r="J24" s="259">
        <f t="shared" si="3"/>
        <v>0</v>
      </c>
      <c r="K24" s="259">
        <f t="shared" si="4"/>
        <v>0</v>
      </c>
      <c r="L24" s="109"/>
      <c r="M24" s="55"/>
    </row>
    <row r="25" spans="1:13" ht="12.75">
      <c r="A25" s="46"/>
      <c r="B25" s="99" t="s">
        <v>367</v>
      </c>
      <c r="C25" s="109"/>
      <c r="D25" s="109"/>
      <c r="E25" s="259">
        <f t="shared" si="1"/>
        <v>0</v>
      </c>
      <c r="F25" s="109"/>
      <c r="G25" s="259">
        <f t="shared" si="2"/>
        <v>0</v>
      </c>
      <c r="H25" s="109"/>
      <c r="I25" s="109"/>
      <c r="J25" s="259">
        <f t="shared" si="3"/>
        <v>0</v>
      </c>
      <c r="K25" s="259">
        <f t="shared" si="4"/>
        <v>0</v>
      </c>
      <c r="L25" s="109"/>
      <c r="M25" s="55"/>
    </row>
    <row r="26" spans="1:13" ht="12.75">
      <c r="A26" s="46"/>
      <c r="B26" s="99" t="s">
        <v>368</v>
      </c>
      <c r="C26" s="109"/>
      <c r="D26" s="109"/>
      <c r="E26" s="259">
        <f t="shared" si="1"/>
        <v>0</v>
      </c>
      <c r="F26" s="109"/>
      <c r="G26" s="259">
        <f t="shared" si="2"/>
        <v>0</v>
      </c>
      <c r="H26" s="109"/>
      <c r="I26" s="109"/>
      <c r="J26" s="259">
        <f t="shared" si="3"/>
        <v>0</v>
      </c>
      <c r="K26" s="259">
        <f t="shared" si="4"/>
        <v>0</v>
      </c>
      <c r="L26" s="109"/>
      <c r="M26" s="55"/>
    </row>
    <row r="27" spans="1:13" ht="12.75">
      <c r="A27" s="46"/>
      <c r="B27" s="99" t="s">
        <v>369</v>
      </c>
      <c r="C27" s="109"/>
      <c r="D27" s="109"/>
      <c r="E27" s="259">
        <f t="shared" si="1"/>
        <v>0</v>
      </c>
      <c r="F27" s="109"/>
      <c r="G27" s="259">
        <f t="shared" si="2"/>
        <v>0</v>
      </c>
      <c r="H27" s="109"/>
      <c r="I27" s="109"/>
      <c r="J27" s="259">
        <f t="shared" si="3"/>
        <v>0</v>
      </c>
      <c r="K27" s="259">
        <f t="shared" si="4"/>
        <v>0</v>
      </c>
      <c r="L27" s="109"/>
      <c r="M27" s="55"/>
    </row>
    <row r="28" spans="1:13" ht="12.75">
      <c r="A28" s="46"/>
      <c r="B28" s="99" t="s">
        <v>370</v>
      </c>
      <c r="C28" s="109"/>
      <c r="D28" s="109"/>
      <c r="E28" s="259">
        <f t="shared" si="1"/>
        <v>0</v>
      </c>
      <c r="F28" s="109"/>
      <c r="G28" s="259">
        <f t="shared" si="2"/>
        <v>0</v>
      </c>
      <c r="H28" s="109"/>
      <c r="I28" s="109"/>
      <c r="J28" s="259">
        <f t="shared" si="3"/>
        <v>0</v>
      </c>
      <c r="K28" s="259">
        <f t="shared" si="4"/>
        <v>0</v>
      </c>
      <c r="L28" s="109"/>
      <c r="M28" s="55"/>
    </row>
    <row r="29" spans="1:13" ht="24">
      <c r="A29" s="46"/>
      <c r="B29" s="99" t="s">
        <v>371</v>
      </c>
      <c r="C29" s="109"/>
      <c r="D29" s="109"/>
      <c r="E29" s="259">
        <f t="shared" si="1"/>
        <v>0</v>
      </c>
      <c r="F29" s="109"/>
      <c r="G29" s="259">
        <f t="shared" si="2"/>
        <v>0</v>
      </c>
      <c r="H29" s="109"/>
      <c r="I29" s="109"/>
      <c r="J29" s="259">
        <f t="shared" si="3"/>
        <v>0</v>
      </c>
      <c r="K29" s="259">
        <f t="shared" si="4"/>
        <v>0</v>
      </c>
      <c r="L29" s="109"/>
      <c r="M29" s="55"/>
    </row>
    <row r="30" spans="1:13" ht="24">
      <c r="A30" s="46"/>
      <c r="B30" s="99" t="s">
        <v>372</v>
      </c>
      <c r="C30" s="109"/>
      <c r="D30" s="109"/>
      <c r="E30" s="259">
        <f t="shared" si="1"/>
        <v>0</v>
      </c>
      <c r="F30" s="109"/>
      <c r="G30" s="259">
        <f t="shared" si="2"/>
        <v>0</v>
      </c>
      <c r="H30" s="109"/>
      <c r="I30" s="109"/>
      <c r="J30" s="259">
        <f t="shared" si="3"/>
        <v>0</v>
      </c>
      <c r="K30" s="259">
        <f t="shared" si="4"/>
        <v>0</v>
      </c>
      <c r="L30" s="109"/>
      <c r="M30" s="55"/>
    </row>
    <row r="31" spans="1:13" ht="13.5" thickBot="1">
      <c r="A31" s="46"/>
      <c r="B31" s="99" t="s">
        <v>72</v>
      </c>
      <c r="C31" s="109"/>
      <c r="D31" s="109"/>
      <c r="E31" s="259">
        <f t="shared" si="1"/>
        <v>0</v>
      </c>
      <c r="F31" s="109"/>
      <c r="G31" s="259">
        <f t="shared" si="2"/>
        <v>0</v>
      </c>
      <c r="H31" s="109"/>
      <c r="I31" s="109"/>
      <c r="J31" s="259">
        <f t="shared" si="3"/>
        <v>0</v>
      </c>
      <c r="K31" s="259">
        <f t="shared" si="4"/>
        <v>0</v>
      </c>
      <c r="L31" s="109"/>
      <c r="M31" s="55"/>
    </row>
    <row r="32" spans="1:13" ht="19.5" thickBot="1">
      <c r="A32" s="46"/>
      <c r="B32" s="101" t="s">
        <v>403</v>
      </c>
      <c r="C32" s="263">
        <f>SUM(C16:C31)</f>
        <v>4740020.89</v>
      </c>
      <c r="D32" s="263">
        <f aca="true" t="shared" si="5" ref="D32:L32">SUM(D16:D31)</f>
        <v>0</v>
      </c>
      <c r="E32" s="263">
        <f t="shared" si="5"/>
        <v>4740020.89</v>
      </c>
      <c r="F32" s="263">
        <f t="shared" si="5"/>
        <v>0</v>
      </c>
      <c r="G32" s="263">
        <f t="shared" si="5"/>
        <v>4740020.89</v>
      </c>
      <c r="H32" s="263">
        <f t="shared" si="5"/>
        <v>259091</v>
      </c>
      <c r="I32" s="263">
        <f t="shared" si="5"/>
        <v>6005.809914276295</v>
      </c>
      <c r="J32" s="263">
        <f t="shared" si="5"/>
        <v>4993106.080085724</v>
      </c>
      <c r="K32" s="263">
        <f t="shared" si="5"/>
        <v>253085.1900857237</v>
      </c>
      <c r="L32" s="263">
        <f t="shared" si="5"/>
        <v>0</v>
      </c>
      <c r="M32" s="55"/>
    </row>
    <row r="33" spans="1:13" ht="5.25" customHeight="1" thickBot="1">
      <c r="A33" s="49"/>
      <c r="B33" s="525"/>
      <c r="C33" s="525"/>
      <c r="D33" s="525"/>
      <c r="E33" s="525"/>
      <c r="F33" s="525"/>
      <c r="G33" s="525"/>
      <c r="H33" s="525"/>
      <c r="I33" s="525"/>
      <c r="J33" s="525"/>
      <c r="K33" s="525"/>
      <c r="L33" s="525"/>
      <c r="M33" s="51"/>
    </row>
    <row r="34" spans="1:13" ht="6" customHeight="1" thickBot="1">
      <c r="A34" s="495"/>
      <c r="B34" s="495"/>
      <c r="C34" s="495"/>
      <c r="D34" s="495"/>
      <c r="E34" s="495"/>
      <c r="F34" s="495"/>
      <c r="G34" s="495"/>
      <c r="H34" s="495"/>
      <c r="I34" s="495"/>
      <c r="J34" s="495"/>
      <c r="K34" s="495"/>
      <c r="L34" s="495"/>
      <c r="M34" s="495"/>
    </row>
    <row r="35" spans="1:13" ht="9" customHeight="1">
      <c r="A35" s="43"/>
      <c r="B35" s="44"/>
      <c r="C35" s="44"/>
      <c r="D35" s="44"/>
      <c r="E35" s="44"/>
      <c r="F35" s="44"/>
      <c r="G35" s="44"/>
      <c r="H35" s="44"/>
      <c r="I35" s="45"/>
      <c r="M35" s="56"/>
    </row>
    <row r="36" spans="1:13" ht="18.75" thickBot="1">
      <c r="A36" s="46"/>
      <c r="B36" s="523" t="s">
        <v>831</v>
      </c>
      <c r="C36" s="523"/>
      <c r="D36" s="523"/>
      <c r="E36" s="523"/>
      <c r="F36" s="523"/>
      <c r="G36" s="523"/>
      <c r="H36" s="523"/>
      <c r="I36" s="524"/>
      <c r="M36" s="56"/>
    </row>
    <row r="37" spans="1:13" ht="36.75" thickBot="1">
      <c r="A37" s="46"/>
      <c r="B37" s="98" t="s">
        <v>189</v>
      </c>
      <c r="C37" s="98" t="s">
        <v>399</v>
      </c>
      <c r="D37" s="98" t="s">
        <v>340</v>
      </c>
      <c r="E37" s="98" t="s">
        <v>341</v>
      </c>
      <c r="F37" s="98" t="s">
        <v>92</v>
      </c>
      <c r="G37" s="98" t="s">
        <v>400</v>
      </c>
      <c r="H37" s="98" t="s">
        <v>351</v>
      </c>
      <c r="I37" s="55"/>
      <c r="M37" s="56"/>
    </row>
    <row r="38" spans="1:13" ht="12.75">
      <c r="A38" s="46"/>
      <c r="B38" s="99" t="s">
        <v>352</v>
      </c>
      <c r="C38" s="259">
        <f>J6</f>
        <v>0</v>
      </c>
      <c r="D38" s="109"/>
      <c r="E38" s="109"/>
      <c r="F38" s="259">
        <f>C38+D38-E38</f>
        <v>0</v>
      </c>
      <c r="G38" s="259">
        <f>+F38-C38</f>
        <v>0</v>
      </c>
      <c r="H38" s="109"/>
      <c r="I38" s="55"/>
      <c r="M38" s="56"/>
    </row>
    <row r="39" spans="1:13" ht="15">
      <c r="A39" s="46"/>
      <c r="B39" s="522" t="s">
        <v>353</v>
      </c>
      <c r="C39" s="522"/>
      <c r="D39" s="522"/>
      <c r="E39" s="522"/>
      <c r="F39" s="522"/>
      <c r="G39" s="522"/>
      <c r="H39" s="522"/>
      <c r="I39" s="55"/>
      <c r="M39" s="56"/>
    </row>
    <row r="40" spans="1:9" ht="12.75">
      <c r="A40" s="46"/>
      <c r="B40" s="100" t="s">
        <v>354</v>
      </c>
      <c r="C40" s="259">
        <f>J8</f>
        <v>469801.1900857237</v>
      </c>
      <c r="D40" s="110">
        <v>1051.4414832872</v>
      </c>
      <c r="E40" s="110">
        <v>0</v>
      </c>
      <c r="F40" s="259">
        <f>C40+D40-E40</f>
        <v>470852.6315690109</v>
      </c>
      <c r="G40" s="259">
        <f>+F40-C40</f>
        <v>1051.441483287199</v>
      </c>
      <c r="H40" s="109"/>
      <c r="I40" s="55"/>
    </row>
    <row r="41" spans="1:9" ht="24">
      <c r="A41" s="46"/>
      <c r="B41" s="99" t="s">
        <v>355</v>
      </c>
      <c r="C41" s="259">
        <f>J9</f>
        <v>731693</v>
      </c>
      <c r="D41" s="109"/>
      <c r="E41" s="109"/>
      <c r="F41" s="259">
        <f>C41+D41-E41</f>
        <v>731693</v>
      </c>
      <c r="G41" s="259">
        <f>+F41-C41</f>
        <v>0</v>
      </c>
      <c r="H41" s="109"/>
      <c r="I41" s="55"/>
    </row>
    <row r="42" spans="1:9" ht="12.75">
      <c r="A42" s="46"/>
      <c r="B42" s="99" t="s">
        <v>356</v>
      </c>
      <c r="C42" s="259">
        <f>J10</f>
        <v>0</v>
      </c>
      <c r="D42" s="109"/>
      <c r="E42" s="109"/>
      <c r="F42" s="259">
        <f>C42+D42-E42</f>
        <v>0</v>
      </c>
      <c r="G42" s="259">
        <f>+F42-C42</f>
        <v>0</v>
      </c>
      <c r="H42" s="109"/>
      <c r="I42" s="55"/>
    </row>
    <row r="43" spans="1:9" ht="12.75">
      <c r="A43" s="46"/>
      <c r="B43" s="99" t="s">
        <v>357</v>
      </c>
      <c r="C43" s="259">
        <f>J11</f>
        <v>0</v>
      </c>
      <c r="D43" s="109"/>
      <c r="E43" s="109"/>
      <c r="F43" s="259">
        <f>C43+D43-E43</f>
        <v>0</v>
      </c>
      <c r="G43" s="259">
        <f>+F43-C43</f>
        <v>0</v>
      </c>
      <c r="H43" s="109"/>
      <c r="I43" s="55"/>
    </row>
    <row r="44" spans="1:9" ht="12.75">
      <c r="A44" s="46"/>
      <c r="B44" s="99" t="s">
        <v>358</v>
      </c>
      <c r="C44" s="259">
        <f>J12</f>
        <v>0</v>
      </c>
      <c r="D44" s="109"/>
      <c r="E44" s="109"/>
      <c r="F44" s="259">
        <f>C44+D44-E44</f>
        <v>0</v>
      </c>
      <c r="G44" s="259">
        <f>+F44-C44</f>
        <v>0</v>
      </c>
      <c r="H44" s="109"/>
      <c r="I44" s="55"/>
    </row>
    <row r="45" spans="1:9" ht="18.75">
      <c r="A45" s="46"/>
      <c r="B45" s="108" t="s">
        <v>153</v>
      </c>
      <c r="C45" s="262">
        <f aca="true" t="shared" si="6" ref="C45:H45">SUM(C40:C44)</f>
        <v>1201494.1900857238</v>
      </c>
      <c r="D45" s="262">
        <f t="shared" si="6"/>
        <v>1051.4414832872</v>
      </c>
      <c r="E45" s="262">
        <f t="shared" si="6"/>
        <v>0</v>
      </c>
      <c r="F45" s="262">
        <f t="shared" si="6"/>
        <v>1202545.631569011</v>
      </c>
      <c r="G45" s="262">
        <f t="shared" si="6"/>
        <v>1051.441483287199</v>
      </c>
      <c r="H45" s="262">
        <f t="shared" si="6"/>
        <v>0</v>
      </c>
      <c r="I45" s="55"/>
    </row>
    <row r="46" spans="1:9" ht="12.75">
      <c r="A46" s="46"/>
      <c r="B46" s="102"/>
      <c r="C46" s="104"/>
      <c r="D46" s="104"/>
      <c r="E46" s="105"/>
      <c r="F46" s="106"/>
      <c r="G46" s="106"/>
      <c r="H46" s="106"/>
      <c r="I46" s="55"/>
    </row>
    <row r="47" spans="1:13" ht="15">
      <c r="A47" s="46"/>
      <c r="B47" s="522" t="s">
        <v>401</v>
      </c>
      <c r="C47" s="522"/>
      <c r="D47" s="522"/>
      <c r="E47" s="522"/>
      <c r="F47" s="522"/>
      <c r="G47" s="522"/>
      <c r="H47" s="522"/>
      <c r="I47" s="55"/>
      <c r="M47" s="56"/>
    </row>
    <row r="48" spans="1:9" ht="24">
      <c r="A48" s="46"/>
      <c r="B48" s="99" t="s">
        <v>359</v>
      </c>
      <c r="C48" s="259">
        <f>J16</f>
        <v>0</v>
      </c>
      <c r="D48" s="109"/>
      <c r="E48" s="109"/>
      <c r="F48" s="259">
        <f aca="true" t="shared" si="7" ref="F48:F63">C48+D48-E48</f>
        <v>0</v>
      </c>
      <c r="G48" s="259">
        <f aca="true" t="shared" si="8" ref="G48:G63">+F48-C48</f>
        <v>0</v>
      </c>
      <c r="H48" s="109"/>
      <c r="I48" s="55"/>
    </row>
    <row r="49" spans="1:9" ht="12.75">
      <c r="A49" s="46"/>
      <c r="B49" s="99" t="s">
        <v>360</v>
      </c>
      <c r="C49" s="259">
        <f aca="true" t="shared" si="9" ref="C49:C63">J17</f>
        <v>469801.0800857237</v>
      </c>
      <c r="D49" s="109">
        <v>1051.4414832872</v>
      </c>
      <c r="E49" s="109"/>
      <c r="F49" s="259">
        <f t="shared" si="7"/>
        <v>470852.5215690109</v>
      </c>
      <c r="G49" s="259">
        <f t="shared" si="8"/>
        <v>1051.441483287199</v>
      </c>
      <c r="H49" s="109"/>
      <c r="I49" s="55"/>
    </row>
    <row r="50" spans="1:9" ht="12.75">
      <c r="A50" s="46"/>
      <c r="B50" s="99" t="s">
        <v>361</v>
      </c>
      <c r="C50" s="259">
        <f t="shared" si="9"/>
        <v>4523305</v>
      </c>
      <c r="D50" s="109">
        <v>290585</v>
      </c>
      <c r="E50" s="109"/>
      <c r="F50" s="259">
        <f t="shared" si="7"/>
        <v>4813890</v>
      </c>
      <c r="G50" s="259">
        <f t="shared" si="8"/>
        <v>290585</v>
      </c>
      <c r="H50" s="109"/>
      <c r="I50" s="55"/>
    </row>
    <row r="51" spans="1:9" ht="12.75">
      <c r="A51" s="46"/>
      <c r="B51" s="107" t="s">
        <v>362</v>
      </c>
      <c r="C51" s="259">
        <f t="shared" si="9"/>
        <v>0</v>
      </c>
      <c r="D51" s="109"/>
      <c r="E51" s="109"/>
      <c r="F51" s="259">
        <f t="shared" si="7"/>
        <v>0</v>
      </c>
      <c r="G51" s="259">
        <f t="shared" si="8"/>
        <v>0</v>
      </c>
      <c r="H51" s="109"/>
      <c r="I51" s="55"/>
    </row>
    <row r="52" spans="1:9" ht="12.75">
      <c r="A52" s="46"/>
      <c r="B52" s="107" t="s">
        <v>363</v>
      </c>
      <c r="C52" s="259">
        <f t="shared" si="9"/>
        <v>0</v>
      </c>
      <c r="D52" s="109"/>
      <c r="E52" s="109"/>
      <c r="F52" s="259">
        <f t="shared" si="7"/>
        <v>0</v>
      </c>
      <c r="G52" s="259">
        <f t="shared" si="8"/>
        <v>0</v>
      </c>
      <c r="H52" s="109"/>
      <c r="I52" s="55"/>
    </row>
    <row r="53" spans="1:9" ht="12.75">
      <c r="A53" s="46"/>
      <c r="B53" s="107" t="s">
        <v>402</v>
      </c>
      <c r="C53" s="259">
        <f t="shared" si="9"/>
        <v>0</v>
      </c>
      <c r="D53" s="109"/>
      <c r="E53" s="109"/>
      <c r="F53" s="259">
        <f t="shared" si="7"/>
        <v>0</v>
      </c>
      <c r="G53" s="259">
        <f t="shared" si="8"/>
        <v>0</v>
      </c>
      <c r="H53" s="109"/>
      <c r="I53" s="55"/>
    </row>
    <row r="54" spans="1:9" ht="12.75">
      <c r="A54" s="46"/>
      <c r="B54" s="107" t="s">
        <v>364</v>
      </c>
      <c r="C54" s="259">
        <f t="shared" si="9"/>
        <v>0</v>
      </c>
      <c r="D54" s="109"/>
      <c r="E54" s="109"/>
      <c r="F54" s="259">
        <f t="shared" si="7"/>
        <v>0</v>
      </c>
      <c r="G54" s="259">
        <f t="shared" si="8"/>
        <v>0</v>
      </c>
      <c r="H54" s="109"/>
      <c r="I54" s="55"/>
    </row>
    <row r="55" spans="1:9" ht="12.75">
      <c r="A55" s="46"/>
      <c r="B55" s="107" t="s">
        <v>365</v>
      </c>
      <c r="C55" s="259">
        <f t="shared" si="9"/>
        <v>0</v>
      </c>
      <c r="D55" s="109"/>
      <c r="E55" s="109"/>
      <c r="F55" s="259">
        <f t="shared" si="7"/>
        <v>0</v>
      </c>
      <c r="G55" s="259">
        <f t="shared" si="8"/>
        <v>0</v>
      </c>
      <c r="H55" s="109"/>
      <c r="I55" s="55"/>
    </row>
    <row r="56" spans="1:9" ht="12.75">
      <c r="A56" s="46"/>
      <c r="B56" s="99" t="s">
        <v>366</v>
      </c>
      <c r="C56" s="259">
        <f t="shared" si="9"/>
        <v>0</v>
      </c>
      <c r="D56" s="109"/>
      <c r="E56" s="109"/>
      <c r="F56" s="259">
        <f t="shared" si="7"/>
        <v>0</v>
      </c>
      <c r="G56" s="259">
        <f t="shared" si="8"/>
        <v>0</v>
      </c>
      <c r="H56" s="109"/>
      <c r="I56" s="55"/>
    </row>
    <row r="57" spans="1:9" ht="12.75">
      <c r="A57" s="46"/>
      <c r="B57" s="99" t="s">
        <v>367</v>
      </c>
      <c r="C57" s="259">
        <f t="shared" si="9"/>
        <v>0</v>
      </c>
      <c r="D57" s="109"/>
      <c r="E57" s="109"/>
      <c r="F57" s="259">
        <f t="shared" si="7"/>
        <v>0</v>
      </c>
      <c r="G57" s="259">
        <f t="shared" si="8"/>
        <v>0</v>
      </c>
      <c r="H57" s="109"/>
      <c r="I57" s="55"/>
    </row>
    <row r="58" spans="1:9" ht="12.75">
      <c r="A58" s="46"/>
      <c r="B58" s="99" t="s">
        <v>368</v>
      </c>
      <c r="C58" s="259">
        <f t="shared" si="9"/>
        <v>0</v>
      </c>
      <c r="D58" s="109"/>
      <c r="E58" s="109"/>
      <c r="F58" s="259">
        <f t="shared" si="7"/>
        <v>0</v>
      </c>
      <c r="G58" s="259">
        <f t="shared" si="8"/>
        <v>0</v>
      </c>
      <c r="H58" s="109"/>
      <c r="I58" s="55"/>
    </row>
    <row r="59" spans="1:9" ht="12.75">
      <c r="A59" s="46"/>
      <c r="B59" s="99" t="s">
        <v>369</v>
      </c>
      <c r="C59" s="259">
        <f t="shared" si="9"/>
        <v>0</v>
      </c>
      <c r="D59" s="109"/>
      <c r="E59" s="109"/>
      <c r="F59" s="259">
        <f t="shared" si="7"/>
        <v>0</v>
      </c>
      <c r="G59" s="259">
        <f t="shared" si="8"/>
        <v>0</v>
      </c>
      <c r="H59" s="109"/>
      <c r="I59" s="55"/>
    </row>
    <row r="60" spans="1:9" ht="12.75">
      <c r="A60" s="46"/>
      <c r="B60" s="99" t="s">
        <v>370</v>
      </c>
      <c r="C60" s="259">
        <f t="shared" si="9"/>
        <v>0</v>
      </c>
      <c r="D60" s="109"/>
      <c r="E60" s="109"/>
      <c r="F60" s="259">
        <f t="shared" si="7"/>
        <v>0</v>
      </c>
      <c r="G60" s="259">
        <f t="shared" si="8"/>
        <v>0</v>
      </c>
      <c r="H60" s="109"/>
      <c r="I60" s="55"/>
    </row>
    <row r="61" spans="1:9" ht="24">
      <c r="A61" s="46"/>
      <c r="B61" s="99" t="s">
        <v>371</v>
      </c>
      <c r="C61" s="259">
        <f t="shared" si="9"/>
        <v>0</v>
      </c>
      <c r="D61" s="109"/>
      <c r="E61" s="109"/>
      <c r="F61" s="259">
        <f t="shared" si="7"/>
        <v>0</v>
      </c>
      <c r="G61" s="259">
        <f t="shared" si="8"/>
        <v>0</v>
      </c>
      <c r="H61" s="109"/>
      <c r="I61" s="55"/>
    </row>
    <row r="62" spans="1:9" ht="24">
      <c r="A62" s="46"/>
      <c r="B62" s="99" t="s">
        <v>372</v>
      </c>
      <c r="C62" s="259">
        <f t="shared" si="9"/>
        <v>0</v>
      </c>
      <c r="D62" s="109"/>
      <c r="E62" s="109"/>
      <c r="F62" s="259">
        <f t="shared" si="7"/>
        <v>0</v>
      </c>
      <c r="G62" s="259">
        <f t="shared" si="8"/>
        <v>0</v>
      </c>
      <c r="H62" s="109"/>
      <c r="I62" s="55"/>
    </row>
    <row r="63" spans="1:9" ht="13.5" thickBot="1">
      <c r="A63" s="46"/>
      <c r="B63" s="99" t="s">
        <v>72</v>
      </c>
      <c r="C63" s="259">
        <f t="shared" si="9"/>
        <v>0</v>
      </c>
      <c r="D63" s="109"/>
      <c r="E63" s="109"/>
      <c r="F63" s="259">
        <f t="shared" si="7"/>
        <v>0</v>
      </c>
      <c r="G63" s="259">
        <f t="shared" si="8"/>
        <v>0</v>
      </c>
      <c r="H63" s="109"/>
      <c r="I63" s="55"/>
    </row>
    <row r="64" spans="1:9" ht="19.5" thickBot="1">
      <c r="A64" s="46"/>
      <c r="B64" s="101" t="s">
        <v>403</v>
      </c>
      <c r="C64" s="263">
        <f aca="true" t="shared" si="10" ref="C64:H64">SUM(C48:C63)</f>
        <v>4993106.080085724</v>
      </c>
      <c r="D64" s="263">
        <f t="shared" si="10"/>
        <v>291636.4414832872</v>
      </c>
      <c r="E64" s="263">
        <f t="shared" si="10"/>
        <v>0</v>
      </c>
      <c r="F64" s="263">
        <f t="shared" si="10"/>
        <v>5284742.521569011</v>
      </c>
      <c r="G64" s="263">
        <f t="shared" si="10"/>
        <v>291636.4414832872</v>
      </c>
      <c r="H64" s="306">
        <f t="shared" si="10"/>
        <v>0</v>
      </c>
      <c r="I64" s="55"/>
    </row>
    <row r="65" spans="1:13" ht="6.75" customHeight="1" thickBot="1">
      <c r="A65" s="49"/>
      <c r="B65" s="50"/>
      <c r="C65" s="50"/>
      <c r="D65" s="50"/>
      <c r="E65" s="50"/>
      <c r="F65" s="50"/>
      <c r="G65" s="50"/>
      <c r="H65" s="50"/>
      <c r="I65" s="51"/>
      <c r="M65" s="56"/>
    </row>
    <row r="66" spans="1:14" ht="12.75">
      <c r="A66" s="4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="56" customFormat="1" ht="12.75"/>
  </sheetData>
  <mergeCells count="11">
    <mergeCell ref="B3:L3"/>
    <mergeCell ref="B33:L33"/>
    <mergeCell ref="A1:M1"/>
    <mergeCell ref="A2:M2"/>
    <mergeCell ref="B4:L4"/>
    <mergeCell ref="B7:L7"/>
    <mergeCell ref="B15:L15"/>
    <mergeCell ref="A34:M34"/>
    <mergeCell ref="B39:H39"/>
    <mergeCell ref="B36:I36"/>
    <mergeCell ref="B47:H47"/>
  </mergeCells>
  <conditionalFormatting sqref="C32:L32 C64:H64">
    <cfRule type="cellIs" priority="1" dxfId="0" operator="notEqual" stopIfTrue="1">
      <formula>#REF!</formula>
    </cfRule>
  </conditionalFormatting>
  <conditionalFormatting sqref="C13:L13 C45:H45">
    <cfRule type="cellIs" priority="2" dxfId="0" operator="notEqual" stopIfTrue="1">
      <formula>#REF!</formula>
    </cfRule>
  </conditionalFormatting>
  <conditionalFormatting sqref="E16:E31 E6 C12 E8:E12">
    <cfRule type="cellIs" priority="3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2" horizontalDpi="355" verticalDpi="355" orientation="landscape" scale="72" r:id="rId3"/>
  <headerFooter alignWithMargins="0">
    <oddFooter>&amp;L&amp;A</oddFooter>
  </headerFooter>
  <rowBreaks count="1" manualBreakCount="1">
    <brk id="33" max="255" man="1"/>
  </rowBreak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workbookViewId="0" topLeftCell="A1">
      <selection activeCell="A1" sqref="A1:N1"/>
    </sheetView>
  </sheetViews>
  <sheetFormatPr defaultColWidth="9.140625" defaultRowHeight="12.75"/>
  <cols>
    <col min="1" max="1" width="0.9921875" style="0" customWidth="1"/>
    <col min="2" max="2" width="1.28515625" style="0" customWidth="1"/>
    <col min="3" max="3" width="33.140625" style="0" bestFit="1" customWidth="1"/>
    <col min="5" max="5" width="14.8515625" style="0" customWidth="1"/>
    <col min="6" max="6" width="0.71875" style="0" customWidth="1"/>
    <col min="8" max="8" width="16.140625" style="0" customWidth="1"/>
    <col min="10" max="10" width="0.71875" style="0" customWidth="1"/>
    <col min="12" max="12" width="13.8515625" style="0" customWidth="1"/>
    <col min="14" max="14" width="0.9921875" style="0" customWidth="1"/>
  </cols>
  <sheetData>
    <row r="1" spans="1:14" ht="12.75">
      <c r="A1" s="441" t="str">
        <f>'Trial Balance'!A1:J1</f>
        <v>North Bay Hydro Distribution Ltd.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ht="12.75">
      <c r="A2" s="441" t="str">
        <f>'Trial Balance'!A2:J2</f>
        <v>License Number ED-2003-0024, File Number EB-2009-0270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</row>
    <row r="3" ht="7.5" customHeight="1" thickBot="1"/>
    <row r="4" spans="2:14" ht="18">
      <c r="B4" s="43"/>
      <c r="C4" s="545" t="s">
        <v>408</v>
      </c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45"/>
    </row>
    <row r="5" spans="2:14" ht="12.75">
      <c r="B5" s="46"/>
      <c r="C5" s="56"/>
      <c r="D5" s="56"/>
      <c r="E5" s="56"/>
      <c r="F5" s="56"/>
      <c r="G5" s="546" t="s">
        <v>829</v>
      </c>
      <c r="H5" s="546"/>
      <c r="I5" s="546"/>
      <c r="J5" s="56"/>
      <c r="K5" s="546" t="s">
        <v>830</v>
      </c>
      <c r="L5" s="546"/>
      <c r="M5" s="546"/>
      <c r="N5" s="55"/>
    </row>
    <row r="6" spans="2:14" ht="31.5" customHeight="1">
      <c r="B6" s="46"/>
      <c r="C6" s="537" t="s">
        <v>375</v>
      </c>
      <c r="D6" s="538"/>
      <c r="E6" s="539"/>
      <c r="F6" s="56"/>
      <c r="G6" s="111" t="s">
        <v>153</v>
      </c>
      <c r="H6" s="111" t="s">
        <v>404</v>
      </c>
      <c r="I6" s="111" t="s">
        <v>405</v>
      </c>
      <c r="J6" s="56"/>
      <c r="K6" s="111" t="s">
        <v>153</v>
      </c>
      <c r="L6" s="111" t="s">
        <v>404</v>
      </c>
      <c r="M6" s="111" t="s">
        <v>405</v>
      </c>
      <c r="N6" s="55"/>
    </row>
    <row r="7" spans="2:14" ht="12.75">
      <c r="B7" s="46"/>
      <c r="C7" s="540" t="s">
        <v>406</v>
      </c>
      <c r="D7" s="541"/>
      <c r="E7" s="542"/>
      <c r="F7" s="56"/>
      <c r="G7" s="113"/>
      <c r="H7" s="114"/>
      <c r="I7" s="112">
        <f>G7-H7</f>
        <v>0</v>
      </c>
      <c r="J7" s="56"/>
      <c r="K7" s="113"/>
      <c r="L7" s="114"/>
      <c r="M7" s="112">
        <f>K7-L7</f>
        <v>0</v>
      </c>
      <c r="N7" s="55"/>
    </row>
    <row r="8" spans="2:14" ht="12.75">
      <c r="B8" s="46"/>
      <c r="C8" s="544" t="s">
        <v>95</v>
      </c>
      <c r="D8" s="544"/>
      <c r="E8" s="544"/>
      <c r="F8" s="56"/>
      <c r="G8" s="113"/>
      <c r="H8" s="113"/>
      <c r="I8" s="112">
        <f>G8-H8</f>
        <v>0</v>
      </c>
      <c r="J8" s="56"/>
      <c r="K8" s="113"/>
      <c r="L8" s="113"/>
      <c r="M8" s="112">
        <f>K8-L8</f>
        <v>0</v>
      </c>
      <c r="N8" s="55"/>
    </row>
    <row r="9" spans="2:14" ht="12.75">
      <c r="B9" s="46"/>
      <c r="C9" s="543" t="s">
        <v>407</v>
      </c>
      <c r="D9" s="543"/>
      <c r="E9" s="543"/>
      <c r="F9" s="56"/>
      <c r="G9" s="114"/>
      <c r="H9" s="114"/>
      <c r="I9" s="112">
        <f>G9-H9</f>
        <v>0</v>
      </c>
      <c r="J9" s="56"/>
      <c r="K9" s="114"/>
      <c r="L9" s="114"/>
      <c r="M9" s="112">
        <f>K9-L9</f>
        <v>0</v>
      </c>
      <c r="N9" s="55"/>
    </row>
    <row r="10" spans="2:14" ht="12.75">
      <c r="B10" s="46"/>
      <c r="C10" s="531" t="s">
        <v>96</v>
      </c>
      <c r="D10" s="532"/>
      <c r="E10" s="533"/>
      <c r="F10" s="56"/>
      <c r="G10" s="112">
        <f>G7-G8+G9</f>
        <v>0</v>
      </c>
      <c r="H10" s="112">
        <f>H7-H8+H9</f>
        <v>0</v>
      </c>
      <c r="I10" s="112">
        <f>I7-I8+I9</f>
        <v>0</v>
      </c>
      <c r="J10" s="56"/>
      <c r="K10" s="112">
        <f>K7-K8+K9</f>
        <v>0</v>
      </c>
      <c r="L10" s="112">
        <f>L7-L8+L9</f>
        <v>0</v>
      </c>
      <c r="M10" s="112">
        <f>M7-M8+M9</f>
        <v>0</v>
      </c>
      <c r="N10" s="55"/>
    </row>
    <row r="11" spans="2:14" ht="12.75">
      <c r="B11" s="46"/>
      <c r="C11" s="534" t="s">
        <v>94</v>
      </c>
      <c r="D11" s="535"/>
      <c r="E11" s="536"/>
      <c r="F11" s="56"/>
      <c r="G11" s="114"/>
      <c r="H11" s="114"/>
      <c r="I11" s="112">
        <f>G11-H11</f>
        <v>0</v>
      </c>
      <c r="J11" s="56"/>
      <c r="K11" s="114"/>
      <c r="L11" s="114"/>
      <c r="M11" s="112">
        <f>K11-L11</f>
        <v>0</v>
      </c>
      <c r="N11" s="55"/>
    </row>
    <row r="12" spans="2:14" ht="12.75">
      <c r="B12" s="46"/>
      <c r="C12" s="531" t="s">
        <v>97</v>
      </c>
      <c r="D12" s="532"/>
      <c r="E12" s="533"/>
      <c r="F12" s="56"/>
      <c r="G12" s="112">
        <f>G10-G11</f>
        <v>0</v>
      </c>
      <c r="H12" s="112">
        <f>H10-H11</f>
        <v>0</v>
      </c>
      <c r="I12" s="112">
        <f>I10-I11</f>
        <v>0</v>
      </c>
      <c r="J12" s="56"/>
      <c r="K12" s="112">
        <f>K10-K11</f>
        <v>0</v>
      </c>
      <c r="L12" s="112">
        <f>L10-L11</f>
        <v>0</v>
      </c>
      <c r="M12" s="112">
        <f>M10-M11</f>
        <v>0</v>
      </c>
      <c r="N12" s="55"/>
    </row>
    <row r="13" spans="2:14" ht="9" customHeight="1" thickBot="1">
      <c r="B13" s="49"/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"/>
    </row>
  </sheetData>
  <mergeCells count="13">
    <mergeCell ref="C9:E9"/>
    <mergeCell ref="C8:E8"/>
    <mergeCell ref="C4:M4"/>
    <mergeCell ref="G5:I5"/>
    <mergeCell ref="K5:M5"/>
    <mergeCell ref="A1:N1"/>
    <mergeCell ref="A2:N2"/>
    <mergeCell ref="C6:E6"/>
    <mergeCell ref="C7:E7"/>
    <mergeCell ref="C10:E10"/>
    <mergeCell ref="C11:E11"/>
    <mergeCell ref="C12:E12"/>
    <mergeCell ref="C13:M13"/>
  </mergeCells>
  <conditionalFormatting sqref="I7:I9 I11 M11 M7:M9">
    <cfRule type="cellIs" priority="1" dxfId="1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96" r:id="rId1"/>
  <headerFooter alignWithMargins="0">
    <oddFooter>&amp;L&amp;A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1" max="1" width="1.7109375" style="0" customWidth="1"/>
    <col min="2" max="2" width="43.28125" style="0" customWidth="1"/>
    <col min="3" max="3" width="11.7109375" style="0" bestFit="1" customWidth="1"/>
    <col min="4" max="4" width="14.57421875" style="0" bestFit="1" customWidth="1"/>
    <col min="5" max="5" width="15.7109375" style="0" bestFit="1" customWidth="1"/>
    <col min="6" max="6" width="14.140625" style="0" bestFit="1" customWidth="1"/>
    <col min="7" max="7" width="15.140625" style="0" customWidth="1"/>
    <col min="12" max="16384" width="20.00390625" style="0" customWidth="1"/>
  </cols>
  <sheetData>
    <row r="1" spans="1:6" ht="12.75">
      <c r="A1" s="441" t="str">
        <f>'Trial Balance'!A1:J1</f>
        <v>North Bay Hydro Distribution Ltd.</v>
      </c>
      <c r="B1" s="441"/>
      <c r="C1" s="441"/>
      <c r="D1" s="441"/>
      <c r="E1" s="441"/>
      <c r="F1" s="441"/>
    </row>
    <row r="2" spans="1:6" ht="12.75">
      <c r="A2" s="441" t="str">
        <f>'Trial Balance'!A2:J2</f>
        <v>License Number ED-2003-0024, File Number EB-2009-0270</v>
      </c>
      <c r="B2" s="441"/>
      <c r="C2" s="441"/>
      <c r="D2" s="441"/>
      <c r="E2" s="441"/>
      <c r="F2" s="441"/>
    </row>
    <row r="3" spans="2:6" ht="30.75" customHeight="1">
      <c r="B3" s="547" t="s">
        <v>174</v>
      </c>
      <c r="C3" s="547"/>
      <c r="D3" s="547"/>
      <c r="E3" s="547"/>
      <c r="F3" s="547"/>
    </row>
    <row r="4" spans="2:6" ht="38.25">
      <c r="B4" s="130" t="s">
        <v>339</v>
      </c>
      <c r="C4" s="139" t="s">
        <v>517</v>
      </c>
      <c r="D4" s="115" t="s">
        <v>518</v>
      </c>
      <c r="E4" s="115" t="s">
        <v>519</v>
      </c>
      <c r="F4" s="115" t="s">
        <v>394</v>
      </c>
    </row>
    <row r="5" spans="2:6" ht="12.75">
      <c r="B5" s="201" t="s">
        <v>520</v>
      </c>
      <c r="C5" s="117"/>
      <c r="D5" s="118"/>
      <c r="E5" s="119"/>
      <c r="F5" s="119"/>
    </row>
    <row r="6" spans="2:6" ht="12.75">
      <c r="B6" s="131" t="s">
        <v>521</v>
      </c>
      <c r="C6" s="125">
        <v>103</v>
      </c>
      <c r="D6" s="264">
        <v>0</v>
      </c>
      <c r="E6" s="265">
        <v>0</v>
      </c>
      <c r="F6" s="266">
        <f aca="true" t="shared" si="0" ref="F6:F46">D6-E6</f>
        <v>0</v>
      </c>
    </row>
    <row r="7" spans="2:6" ht="12.75">
      <c r="B7" s="131" t="s">
        <v>522</v>
      </c>
      <c r="C7" s="125">
        <v>104</v>
      </c>
      <c r="D7" s="302">
        <f>+'FA Continuity 2009'!J50</f>
        <v>2595248.0340690357</v>
      </c>
      <c r="E7" s="264">
        <v>0</v>
      </c>
      <c r="F7" s="266">
        <f t="shared" si="0"/>
        <v>2595248.0340690357</v>
      </c>
    </row>
    <row r="8" spans="2:6" ht="12.75">
      <c r="B8" s="131" t="s">
        <v>523</v>
      </c>
      <c r="C8" s="125">
        <v>106</v>
      </c>
      <c r="D8" s="264">
        <v>0</v>
      </c>
      <c r="E8" s="264">
        <v>0</v>
      </c>
      <c r="F8" s="266">
        <f t="shared" si="0"/>
        <v>0</v>
      </c>
    </row>
    <row r="9" spans="2:6" ht="25.5">
      <c r="B9" s="131" t="s">
        <v>524</v>
      </c>
      <c r="C9" s="125">
        <v>107</v>
      </c>
      <c r="D9" s="264">
        <v>0</v>
      </c>
      <c r="E9" s="265">
        <v>0</v>
      </c>
      <c r="F9" s="266">
        <f t="shared" si="0"/>
        <v>0</v>
      </c>
    </row>
    <row r="10" spans="2:6" ht="25.5">
      <c r="B10" s="131" t="s">
        <v>525</v>
      </c>
      <c r="C10" s="125">
        <v>108</v>
      </c>
      <c r="D10" s="264">
        <v>0</v>
      </c>
      <c r="E10" s="265">
        <v>0</v>
      </c>
      <c r="F10" s="266">
        <f t="shared" si="0"/>
        <v>0</v>
      </c>
    </row>
    <row r="11" spans="2:6" ht="25.5">
      <c r="B11" s="131" t="s">
        <v>526</v>
      </c>
      <c r="C11" s="125">
        <v>109</v>
      </c>
      <c r="D11" s="264"/>
      <c r="E11" s="264">
        <v>0</v>
      </c>
      <c r="F11" s="266">
        <f t="shared" si="0"/>
        <v>0</v>
      </c>
    </row>
    <row r="12" spans="2:6" ht="12.75">
      <c r="B12" s="131" t="s">
        <v>527</v>
      </c>
      <c r="C12" s="125">
        <v>110</v>
      </c>
      <c r="D12" s="264">
        <v>0</v>
      </c>
      <c r="E12" s="264">
        <v>0</v>
      </c>
      <c r="F12" s="266">
        <f t="shared" si="0"/>
        <v>0</v>
      </c>
    </row>
    <row r="13" spans="2:6" ht="12.75">
      <c r="B13" s="131" t="s">
        <v>528</v>
      </c>
      <c r="C13" s="125">
        <v>111</v>
      </c>
      <c r="D13" s="264">
        <v>0</v>
      </c>
      <c r="E13" s="265">
        <v>0</v>
      </c>
      <c r="F13" s="266">
        <f t="shared" si="0"/>
        <v>0</v>
      </c>
    </row>
    <row r="14" spans="2:6" ht="12.75">
      <c r="B14" s="131" t="s">
        <v>529</v>
      </c>
      <c r="C14" s="125">
        <v>112</v>
      </c>
      <c r="D14" s="264">
        <f>+'2009 Income Statement'!B208</f>
        <v>6000</v>
      </c>
      <c r="E14" s="264">
        <v>0</v>
      </c>
      <c r="F14" s="266">
        <f t="shared" si="0"/>
        <v>6000</v>
      </c>
    </row>
    <row r="15" spans="2:6" ht="12.75">
      <c r="B15" s="131" t="s">
        <v>530</v>
      </c>
      <c r="C15" s="125">
        <v>113</v>
      </c>
      <c r="D15" s="264">
        <v>0</v>
      </c>
      <c r="E15" s="265">
        <v>0</v>
      </c>
      <c r="F15" s="266">
        <f t="shared" si="0"/>
        <v>0</v>
      </c>
    </row>
    <row r="16" spans="2:6" ht="12.75">
      <c r="B16" s="131" t="s">
        <v>531</v>
      </c>
      <c r="C16" s="125">
        <v>114</v>
      </c>
      <c r="D16" s="264">
        <v>0</v>
      </c>
      <c r="E16" s="264">
        <v>0</v>
      </c>
      <c r="F16" s="266">
        <f t="shared" si="0"/>
        <v>0</v>
      </c>
    </row>
    <row r="17" spans="2:6" ht="12.75">
      <c r="B17" s="131" t="s">
        <v>532</v>
      </c>
      <c r="C17" s="125">
        <v>116</v>
      </c>
      <c r="D17" s="264">
        <v>0</v>
      </c>
      <c r="E17" s="264">
        <v>0</v>
      </c>
      <c r="F17" s="266">
        <f t="shared" si="0"/>
        <v>0</v>
      </c>
    </row>
    <row r="18" spans="2:6" ht="25.5">
      <c r="B18" s="131" t="s">
        <v>533</v>
      </c>
      <c r="C18" s="125">
        <v>118</v>
      </c>
      <c r="D18" s="264">
        <v>0</v>
      </c>
      <c r="E18" s="264">
        <v>0</v>
      </c>
      <c r="F18" s="266">
        <f t="shared" si="0"/>
        <v>0</v>
      </c>
    </row>
    <row r="19" spans="2:6" ht="12.75">
      <c r="B19" s="131" t="s">
        <v>534</v>
      </c>
      <c r="C19" s="125">
        <v>119</v>
      </c>
      <c r="D19" s="264">
        <v>0</v>
      </c>
      <c r="E19" s="264">
        <v>0</v>
      </c>
      <c r="F19" s="266">
        <f t="shared" si="0"/>
        <v>0</v>
      </c>
    </row>
    <row r="20" spans="2:6" ht="12.75">
      <c r="B20" s="131" t="s">
        <v>535</v>
      </c>
      <c r="C20" s="125">
        <v>120</v>
      </c>
      <c r="D20" s="264"/>
      <c r="E20" s="264">
        <v>0</v>
      </c>
      <c r="F20" s="266">
        <f t="shared" si="0"/>
        <v>0</v>
      </c>
    </row>
    <row r="21" spans="2:6" ht="25.5">
      <c r="B21" s="131" t="s">
        <v>536</v>
      </c>
      <c r="C21" s="125">
        <v>121</v>
      </c>
      <c r="D21" s="264">
        <v>24843.94</v>
      </c>
      <c r="E21" s="264">
        <v>0</v>
      </c>
      <c r="F21" s="266">
        <f t="shared" si="0"/>
        <v>24843.94</v>
      </c>
    </row>
    <row r="22" spans="2:6" ht="12.75">
      <c r="B22" s="131" t="s">
        <v>537</v>
      </c>
      <c r="C22" s="125">
        <v>122</v>
      </c>
      <c r="D22" s="264">
        <v>0</v>
      </c>
      <c r="E22" s="264">
        <v>0</v>
      </c>
      <c r="F22" s="266">
        <f t="shared" si="0"/>
        <v>0</v>
      </c>
    </row>
    <row r="23" spans="2:6" ht="12.75">
      <c r="B23" s="131" t="s">
        <v>293</v>
      </c>
      <c r="C23" s="125">
        <v>123</v>
      </c>
      <c r="D23" s="264">
        <v>0</v>
      </c>
      <c r="E23" s="264">
        <v>0</v>
      </c>
      <c r="F23" s="266">
        <f t="shared" si="0"/>
        <v>0</v>
      </c>
    </row>
    <row r="24" spans="2:7" ht="12.75">
      <c r="B24" s="131" t="s">
        <v>294</v>
      </c>
      <c r="C24" s="125">
        <v>124</v>
      </c>
      <c r="D24" s="264">
        <v>0</v>
      </c>
      <c r="E24" s="264">
        <v>0</v>
      </c>
      <c r="F24" s="266">
        <f t="shared" si="0"/>
        <v>0</v>
      </c>
      <c r="G24" s="21"/>
    </row>
    <row r="25" spans="2:7" ht="12.75">
      <c r="B25" s="131" t="s">
        <v>373</v>
      </c>
      <c r="C25" s="132">
        <v>125</v>
      </c>
      <c r="D25" s="302">
        <f>+'Reserves Continuity'!G13</f>
        <v>1241954</v>
      </c>
      <c r="E25" s="267">
        <v>0</v>
      </c>
      <c r="F25" s="266">
        <f t="shared" si="0"/>
        <v>1241954</v>
      </c>
      <c r="G25" s="21"/>
    </row>
    <row r="26" spans="2:7" ht="25.5">
      <c r="B26" s="131" t="s">
        <v>295</v>
      </c>
      <c r="C26" s="125">
        <v>126</v>
      </c>
      <c r="D26" s="268">
        <f>+'Reserves Continuity'!J32</f>
        <v>4993106.080085724</v>
      </c>
      <c r="E26" s="265">
        <v>0</v>
      </c>
      <c r="F26" s="266">
        <f t="shared" si="0"/>
        <v>4993106.080085724</v>
      </c>
      <c r="G26" s="21"/>
    </row>
    <row r="27" spans="2:7" ht="25.5">
      <c r="B27" s="131" t="s">
        <v>296</v>
      </c>
      <c r="C27" s="125">
        <v>127</v>
      </c>
      <c r="D27" s="264">
        <v>0</v>
      </c>
      <c r="E27" s="264">
        <v>0</v>
      </c>
      <c r="F27" s="266">
        <f t="shared" si="0"/>
        <v>0</v>
      </c>
      <c r="G27" s="21"/>
    </row>
    <row r="28" spans="2:7" ht="12.75">
      <c r="B28" s="131" t="s">
        <v>300</v>
      </c>
      <c r="C28" s="125">
        <v>205</v>
      </c>
      <c r="D28" s="264">
        <v>0</v>
      </c>
      <c r="E28" s="264">
        <v>0</v>
      </c>
      <c r="F28" s="266">
        <f t="shared" si="0"/>
        <v>0</v>
      </c>
      <c r="G28" s="21"/>
    </row>
    <row r="29" spans="2:6" ht="12.75">
      <c r="B29" s="131" t="s">
        <v>301</v>
      </c>
      <c r="C29" s="125">
        <v>206</v>
      </c>
      <c r="D29" s="264">
        <v>0</v>
      </c>
      <c r="E29" s="264">
        <v>0</v>
      </c>
      <c r="F29" s="266">
        <f t="shared" si="0"/>
        <v>0</v>
      </c>
    </row>
    <row r="30" spans="2:6" ht="12.75">
      <c r="B30" s="131" t="s">
        <v>302</v>
      </c>
      <c r="C30" s="125">
        <v>208</v>
      </c>
      <c r="D30" s="264">
        <v>0</v>
      </c>
      <c r="E30" s="264">
        <v>0</v>
      </c>
      <c r="F30" s="266">
        <f t="shared" si="0"/>
        <v>0</v>
      </c>
    </row>
    <row r="31" spans="2:6" ht="25.5">
      <c r="B31" s="131" t="s">
        <v>303</v>
      </c>
      <c r="C31" s="125">
        <v>212</v>
      </c>
      <c r="D31" s="264">
        <v>0</v>
      </c>
      <c r="E31" s="264">
        <v>0</v>
      </c>
      <c r="F31" s="266">
        <f t="shared" si="0"/>
        <v>0</v>
      </c>
    </row>
    <row r="32" spans="2:6" ht="12.75">
      <c r="B32" s="131" t="s">
        <v>304</v>
      </c>
      <c r="C32" s="125">
        <v>216</v>
      </c>
      <c r="D32" s="264">
        <v>0</v>
      </c>
      <c r="E32" s="264">
        <v>0</v>
      </c>
      <c r="F32" s="266">
        <f t="shared" si="0"/>
        <v>0</v>
      </c>
    </row>
    <row r="33" spans="2:6" ht="12.75">
      <c r="B33" s="131" t="s">
        <v>305</v>
      </c>
      <c r="C33" s="125">
        <v>220</v>
      </c>
      <c r="D33" s="264">
        <v>0</v>
      </c>
      <c r="E33" s="264">
        <v>0</v>
      </c>
      <c r="F33" s="266">
        <f t="shared" si="0"/>
        <v>0</v>
      </c>
    </row>
    <row r="34" spans="2:6" ht="12.75">
      <c r="B34" s="131" t="s">
        <v>306</v>
      </c>
      <c r="C34" s="125">
        <v>226</v>
      </c>
      <c r="D34" s="264">
        <v>0</v>
      </c>
      <c r="E34" s="264">
        <v>0</v>
      </c>
      <c r="F34" s="266">
        <f t="shared" si="0"/>
        <v>0</v>
      </c>
    </row>
    <row r="35" spans="2:6" ht="12.75">
      <c r="B35" s="131" t="s">
        <v>307</v>
      </c>
      <c r="C35" s="125">
        <v>227</v>
      </c>
      <c r="D35" s="264">
        <v>0</v>
      </c>
      <c r="E35" s="264">
        <v>0</v>
      </c>
      <c r="F35" s="266">
        <f t="shared" si="0"/>
        <v>0</v>
      </c>
    </row>
    <row r="36" spans="2:6" ht="12.75">
      <c r="B36" s="131" t="s">
        <v>308</v>
      </c>
      <c r="C36" s="125">
        <v>228</v>
      </c>
      <c r="D36" s="264">
        <v>0</v>
      </c>
      <c r="E36" s="264">
        <v>0</v>
      </c>
      <c r="F36" s="266">
        <f t="shared" si="0"/>
        <v>0</v>
      </c>
    </row>
    <row r="37" spans="2:6" ht="12.75">
      <c r="B37" s="131" t="s">
        <v>309</v>
      </c>
      <c r="C37" s="125">
        <v>231</v>
      </c>
      <c r="D37" s="264">
        <v>0</v>
      </c>
      <c r="E37" s="264">
        <v>0</v>
      </c>
      <c r="F37" s="266">
        <f t="shared" si="0"/>
        <v>0</v>
      </c>
    </row>
    <row r="38" spans="2:6" ht="12.75">
      <c r="B38" s="131" t="s">
        <v>310</v>
      </c>
      <c r="C38" s="125">
        <v>235</v>
      </c>
      <c r="D38" s="264">
        <v>0</v>
      </c>
      <c r="E38" s="264">
        <v>0</v>
      </c>
      <c r="F38" s="266">
        <f t="shared" si="0"/>
        <v>0</v>
      </c>
    </row>
    <row r="39" spans="2:6" ht="12.75">
      <c r="B39" s="131" t="s">
        <v>311</v>
      </c>
      <c r="C39" s="125">
        <v>236</v>
      </c>
      <c r="D39" s="264">
        <v>0</v>
      </c>
      <c r="E39" s="264">
        <v>0</v>
      </c>
      <c r="F39" s="266">
        <f t="shared" si="0"/>
        <v>0</v>
      </c>
    </row>
    <row r="40" spans="2:6" ht="38.25">
      <c r="B40" s="131" t="s">
        <v>312</v>
      </c>
      <c r="C40" s="125">
        <v>237</v>
      </c>
      <c r="D40" s="264">
        <v>0</v>
      </c>
      <c r="E40" s="264">
        <v>0</v>
      </c>
      <c r="F40" s="266">
        <f t="shared" si="0"/>
        <v>0</v>
      </c>
    </row>
    <row r="41" spans="2:6" ht="12.75">
      <c r="B41" s="131" t="s">
        <v>313</v>
      </c>
      <c r="C41" s="125">
        <v>290</v>
      </c>
      <c r="D41" s="264">
        <v>0</v>
      </c>
      <c r="E41" s="264">
        <v>0</v>
      </c>
      <c r="F41" s="266">
        <f t="shared" si="0"/>
        <v>0</v>
      </c>
    </row>
    <row r="42" spans="2:6" ht="25.5">
      <c r="B42" s="131" t="s">
        <v>315</v>
      </c>
      <c r="C42" s="125">
        <v>291</v>
      </c>
      <c r="D42" s="264">
        <v>0</v>
      </c>
      <c r="E42" s="264">
        <v>0</v>
      </c>
      <c r="F42" s="266">
        <f t="shared" si="0"/>
        <v>0</v>
      </c>
    </row>
    <row r="43" spans="2:6" ht="12.75">
      <c r="B43" s="131" t="s">
        <v>316</v>
      </c>
      <c r="C43" s="125">
        <v>292</v>
      </c>
      <c r="D43" s="264">
        <v>0</v>
      </c>
      <c r="E43" s="264">
        <v>0</v>
      </c>
      <c r="F43" s="266">
        <f t="shared" si="0"/>
        <v>0</v>
      </c>
    </row>
    <row r="44" spans="2:6" ht="12.75">
      <c r="B44" s="131" t="s">
        <v>317</v>
      </c>
      <c r="C44" s="125">
        <v>293</v>
      </c>
      <c r="D44" s="264">
        <v>0</v>
      </c>
      <c r="E44" s="264">
        <v>0</v>
      </c>
      <c r="F44" s="266">
        <f t="shared" si="0"/>
        <v>0</v>
      </c>
    </row>
    <row r="45" spans="2:6" ht="12.75">
      <c r="B45" s="133" t="s">
        <v>318</v>
      </c>
      <c r="C45" s="125">
        <v>294</v>
      </c>
      <c r="D45" s="264"/>
      <c r="E45" s="264">
        <v>0</v>
      </c>
      <c r="F45" s="266">
        <f t="shared" si="0"/>
        <v>0</v>
      </c>
    </row>
    <row r="46" spans="2:6" ht="13.5" thickBot="1">
      <c r="B46" s="133" t="s">
        <v>227</v>
      </c>
      <c r="C46" s="134">
        <v>295</v>
      </c>
      <c r="D46" s="264">
        <f>+'Capital Tax &amp; Expense Schedules'!H12</f>
        <v>6000</v>
      </c>
      <c r="E46" s="269">
        <v>0</v>
      </c>
      <c r="F46" s="266">
        <f t="shared" si="0"/>
        <v>6000</v>
      </c>
    </row>
    <row r="47" spans="2:6" ht="13.5" thickBot="1">
      <c r="B47" s="205" t="s">
        <v>319</v>
      </c>
      <c r="C47" s="136"/>
      <c r="D47" s="270">
        <f>SUM(D6:D46)</f>
        <v>8867152.05415476</v>
      </c>
      <c r="E47" s="270">
        <f>SUM(E6:E46)</f>
        <v>0</v>
      </c>
      <c r="F47" s="270">
        <f>SUM(F6:F46)</f>
        <v>8867152.05415476</v>
      </c>
    </row>
    <row r="48" spans="2:6" ht="9" customHeight="1">
      <c r="B48" s="120"/>
      <c r="C48" s="121"/>
      <c r="D48" s="121"/>
      <c r="E48" s="121"/>
      <c r="F48" s="121"/>
    </row>
    <row r="49" spans="2:6" ht="12.75">
      <c r="B49" s="202" t="s">
        <v>320</v>
      </c>
      <c r="C49" s="123"/>
      <c r="D49" s="123"/>
      <c r="E49" s="123"/>
      <c r="F49" s="123"/>
    </row>
    <row r="50" spans="2:6" ht="25.5">
      <c r="B50" s="131" t="s">
        <v>321</v>
      </c>
      <c r="C50" s="125">
        <v>401</v>
      </c>
      <c r="D50" s="264">
        <v>219</v>
      </c>
      <c r="E50" s="264">
        <v>0</v>
      </c>
      <c r="F50" s="266">
        <f aca="true" t="shared" si="1" ref="F50:F67">D50-E50</f>
        <v>219</v>
      </c>
    </row>
    <row r="51" spans="2:6" ht="12.75">
      <c r="B51" s="131" t="s">
        <v>322</v>
      </c>
      <c r="C51" s="125">
        <v>402</v>
      </c>
      <c r="D51" s="264">
        <v>0</v>
      </c>
      <c r="E51" s="264">
        <v>0</v>
      </c>
      <c r="F51" s="266">
        <f t="shared" si="1"/>
        <v>0</v>
      </c>
    </row>
    <row r="52" spans="2:6" ht="12.75">
      <c r="B52" s="131" t="s">
        <v>323</v>
      </c>
      <c r="C52" s="125">
        <v>403</v>
      </c>
      <c r="D52" s="302">
        <f>'CCA Continuity 2009'!N25</f>
        <v>2845467.8857561755</v>
      </c>
      <c r="E52" s="264">
        <v>0</v>
      </c>
      <c r="F52" s="266">
        <f t="shared" si="1"/>
        <v>2845467.8857561755</v>
      </c>
    </row>
    <row r="53" spans="2:6" ht="12.75">
      <c r="B53" s="131" t="s">
        <v>324</v>
      </c>
      <c r="C53" s="125">
        <v>404</v>
      </c>
      <c r="D53" s="264">
        <v>0</v>
      </c>
      <c r="E53" s="264">
        <v>0</v>
      </c>
      <c r="F53" s="266">
        <f t="shared" si="1"/>
        <v>0</v>
      </c>
    </row>
    <row r="54" spans="2:6" ht="25.5">
      <c r="B54" s="131" t="s">
        <v>325</v>
      </c>
      <c r="C54" s="125">
        <v>405</v>
      </c>
      <c r="D54" s="302">
        <f>'CCA Continuity 2009'!H64</f>
        <v>0</v>
      </c>
      <c r="E54" s="264">
        <v>0</v>
      </c>
      <c r="F54" s="266">
        <f t="shared" si="1"/>
        <v>0</v>
      </c>
    </row>
    <row r="55" spans="2:6" ht="12.75">
      <c r="B55" s="131" t="s">
        <v>326</v>
      </c>
      <c r="C55" s="125">
        <v>406</v>
      </c>
      <c r="D55" s="264">
        <v>0</v>
      </c>
      <c r="E55" s="264">
        <v>0</v>
      </c>
      <c r="F55" s="266">
        <f t="shared" si="1"/>
        <v>0</v>
      </c>
    </row>
    <row r="56" spans="2:6" ht="12.75">
      <c r="B56" s="131" t="s">
        <v>532</v>
      </c>
      <c r="C56" s="125">
        <v>409</v>
      </c>
      <c r="D56" s="264">
        <v>0</v>
      </c>
      <c r="E56" s="264">
        <v>0</v>
      </c>
      <c r="F56" s="266">
        <f t="shared" si="1"/>
        <v>0</v>
      </c>
    </row>
    <row r="57" spans="2:6" ht="25.5">
      <c r="B57" s="131" t="s">
        <v>327</v>
      </c>
      <c r="C57" s="125">
        <v>411</v>
      </c>
      <c r="D57" s="264">
        <v>0</v>
      </c>
      <c r="E57" s="264">
        <v>0</v>
      </c>
      <c r="F57" s="266">
        <f t="shared" si="1"/>
        <v>0</v>
      </c>
    </row>
    <row r="58" spans="2:6" ht="12.75">
      <c r="B58" s="131" t="s">
        <v>374</v>
      </c>
      <c r="C58" s="132">
        <v>413</v>
      </c>
      <c r="D58" s="302">
        <f>+'Reserves Continuity'!J13</f>
        <v>1201494.1900857238</v>
      </c>
      <c r="E58" s="267">
        <v>0</v>
      </c>
      <c r="F58" s="266">
        <f t="shared" si="1"/>
        <v>1201494.1900857238</v>
      </c>
    </row>
    <row r="59" spans="2:6" ht="25.5">
      <c r="B59" s="131" t="s">
        <v>328</v>
      </c>
      <c r="C59" s="125">
        <v>414</v>
      </c>
      <c r="D59" s="303">
        <f>+'Reserves Continuity'!C32</f>
        <v>4740020.89</v>
      </c>
      <c r="E59" s="265">
        <v>0</v>
      </c>
      <c r="F59" s="266">
        <f t="shared" si="1"/>
        <v>4740020.89</v>
      </c>
    </row>
    <row r="60" spans="2:6" ht="12.75">
      <c r="B60" s="131" t="s">
        <v>329</v>
      </c>
      <c r="C60" s="125">
        <v>416</v>
      </c>
      <c r="D60" s="264">
        <v>0</v>
      </c>
      <c r="E60" s="264">
        <v>0</v>
      </c>
      <c r="F60" s="266">
        <f t="shared" si="1"/>
        <v>0</v>
      </c>
    </row>
    <row r="61" spans="2:6" ht="25.5">
      <c r="B61" s="131" t="s">
        <v>330</v>
      </c>
      <c r="C61" s="125">
        <v>305</v>
      </c>
      <c r="D61" s="264">
        <v>0</v>
      </c>
      <c r="E61" s="264">
        <v>0</v>
      </c>
      <c r="F61" s="266">
        <f t="shared" si="1"/>
        <v>0</v>
      </c>
    </row>
    <row r="62" spans="2:6" ht="25.5">
      <c r="B62" s="131" t="s">
        <v>331</v>
      </c>
      <c r="C62" s="125">
        <v>306</v>
      </c>
      <c r="D62" s="264">
        <v>0</v>
      </c>
      <c r="E62" s="264">
        <v>0</v>
      </c>
      <c r="F62" s="266">
        <f t="shared" si="1"/>
        <v>0</v>
      </c>
    </row>
    <row r="63" spans="2:6" ht="25.5">
      <c r="B63" s="131" t="s">
        <v>332</v>
      </c>
      <c r="C63" s="125">
        <v>390</v>
      </c>
      <c r="D63" s="264">
        <v>0</v>
      </c>
      <c r="E63" s="264">
        <v>0</v>
      </c>
      <c r="F63" s="266">
        <f t="shared" si="1"/>
        <v>0</v>
      </c>
    </row>
    <row r="64" spans="2:6" ht="12.75">
      <c r="B64" s="131" t="s">
        <v>333</v>
      </c>
      <c r="C64" s="125">
        <v>391</v>
      </c>
      <c r="D64" s="264">
        <v>0</v>
      </c>
      <c r="E64" s="264">
        <v>0</v>
      </c>
      <c r="F64" s="266">
        <f t="shared" si="1"/>
        <v>0</v>
      </c>
    </row>
    <row r="65" spans="2:6" ht="25.5">
      <c r="B65" s="131" t="s">
        <v>334</v>
      </c>
      <c r="C65" s="125">
        <v>392</v>
      </c>
      <c r="D65" s="264">
        <v>0</v>
      </c>
      <c r="E65" s="264">
        <v>0</v>
      </c>
      <c r="F65" s="266">
        <f t="shared" si="1"/>
        <v>0</v>
      </c>
    </row>
    <row r="66" spans="2:6" ht="12.75">
      <c r="B66" s="137" t="s">
        <v>335</v>
      </c>
      <c r="C66" s="125">
        <v>393</v>
      </c>
      <c r="D66" s="264">
        <v>0</v>
      </c>
      <c r="E66" s="264">
        <v>0</v>
      </c>
      <c r="F66" s="266">
        <f t="shared" si="1"/>
        <v>0</v>
      </c>
    </row>
    <row r="67" spans="2:6" ht="12.75">
      <c r="B67" s="133" t="s">
        <v>228</v>
      </c>
      <c r="C67" s="125">
        <v>394</v>
      </c>
      <c r="D67" s="264">
        <v>0</v>
      </c>
      <c r="E67" s="264">
        <v>0</v>
      </c>
      <c r="F67" s="266">
        <f t="shared" si="1"/>
        <v>0</v>
      </c>
    </row>
    <row r="68" spans="2:6" ht="12.75">
      <c r="B68" s="204" t="s">
        <v>336</v>
      </c>
      <c r="C68" s="125"/>
      <c r="D68" s="271">
        <f>SUM(D50:D67)</f>
        <v>8787201.965841899</v>
      </c>
      <c r="E68" s="271">
        <f>SUM(E50:E67)</f>
        <v>0</v>
      </c>
      <c r="F68" s="271">
        <f>SUM(F50:F67)</f>
        <v>8787201.965841899</v>
      </c>
    </row>
    <row r="69" spans="2:6" ht="12.75">
      <c r="B69" s="126"/>
      <c r="C69" s="127"/>
      <c r="D69" s="127"/>
      <c r="E69" s="127"/>
      <c r="F69" s="127"/>
    </row>
    <row r="70" spans="2:6" ht="12.75">
      <c r="B70" s="203" t="s">
        <v>446</v>
      </c>
      <c r="C70" s="129"/>
      <c r="D70" s="129"/>
      <c r="E70" s="129"/>
      <c r="F70" s="129"/>
    </row>
    <row r="71" spans="2:6" ht="12.75">
      <c r="B71" s="124" t="s">
        <v>337</v>
      </c>
      <c r="C71" s="125">
        <v>311</v>
      </c>
      <c r="D71" s="264">
        <v>0</v>
      </c>
      <c r="E71" s="264">
        <v>0</v>
      </c>
      <c r="F71" s="266">
        <f>D71-E71</f>
        <v>0</v>
      </c>
    </row>
    <row r="72" spans="2:6" ht="25.5">
      <c r="B72" s="124" t="s">
        <v>411</v>
      </c>
      <c r="C72" s="125">
        <v>320</v>
      </c>
      <c r="D72" s="264">
        <v>0</v>
      </c>
      <c r="E72" s="264">
        <v>0</v>
      </c>
      <c r="F72" s="266">
        <f>D72-E72</f>
        <v>0</v>
      </c>
    </row>
    <row r="73" spans="2:6" ht="25.5">
      <c r="B73" s="124" t="s">
        <v>376</v>
      </c>
      <c r="C73" s="125">
        <v>331</v>
      </c>
      <c r="D73" s="302">
        <f>'Corporation Loss Continuity'!I11</f>
        <v>0</v>
      </c>
      <c r="E73" s="264">
        <v>0</v>
      </c>
      <c r="F73" s="266">
        <f>D73-E73</f>
        <v>0</v>
      </c>
    </row>
    <row r="74" spans="2:6" ht="25.5">
      <c r="B74" s="124" t="s">
        <v>377</v>
      </c>
      <c r="C74" s="125">
        <v>332</v>
      </c>
      <c r="D74" s="264">
        <v>0</v>
      </c>
      <c r="E74" s="264">
        <v>0</v>
      </c>
      <c r="F74" s="266">
        <f>D74-E74</f>
        <v>0</v>
      </c>
    </row>
    <row r="75" spans="2:6" ht="25.5">
      <c r="B75" s="124" t="s">
        <v>338</v>
      </c>
      <c r="C75" s="125">
        <v>335</v>
      </c>
      <c r="D75" s="264">
        <v>0</v>
      </c>
      <c r="E75" s="264">
        <v>0</v>
      </c>
      <c r="F75" s="266">
        <f>D75-E75</f>
        <v>0</v>
      </c>
    </row>
    <row r="76" spans="2:6" ht="12.75">
      <c r="B76" s="204" t="s">
        <v>458</v>
      </c>
      <c r="C76" s="40"/>
      <c r="D76" s="272">
        <f>SUM(D71:D75)</f>
        <v>0</v>
      </c>
      <c r="E76" s="272">
        <f>SUM(E71:E75)</f>
        <v>0</v>
      </c>
      <c r="F76" s="272">
        <f>SUM(F71:F75)</f>
        <v>0</v>
      </c>
    </row>
    <row r="77" spans="4:6" ht="12.75">
      <c r="D77" s="25"/>
      <c r="E77" s="25"/>
      <c r="F77" s="25"/>
    </row>
    <row r="78" spans="2:6" ht="34.5" customHeight="1">
      <c r="B78" s="206" t="s">
        <v>435</v>
      </c>
      <c r="C78" s="207"/>
      <c r="D78" s="296">
        <f>D47-D68+D76</f>
        <v>79950.08831286058</v>
      </c>
      <c r="E78" s="296">
        <f>E47-E68+E76</f>
        <v>0</v>
      </c>
      <c r="F78" s="296">
        <f>F47-F68+F76</f>
        <v>79950.08831286058</v>
      </c>
    </row>
  </sheetData>
  <mergeCells count="3">
    <mergeCell ref="B3:F3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portrait" scale="85" r:id="rId3"/>
  <headerFooter alignWithMargins="0">
    <oddFooter>&amp;L&amp;A</oddFooter>
  </headerFooter>
  <rowBreaks count="1" manualBreakCount="1">
    <brk id="47" max="5" man="1"/>
  </rowBreaks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8"/>
  <sheetViews>
    <sheetView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43.8515625" style="0" customWidth="1"/>
    <col min="3" max="3" width="11.7109375" style="0" bestFit="1" customWidth="1"/>
    <col min="4" max="4" width="14.57421875" style="0" bestFit="1" customWidth="1"/>
    <col min="5" max="5" width="15.7109375" style="0" bestFit="1" customWidth="1"/>
    <col min="6" max="6" width="15.28125" style="0" customWidth="1"/>
  </cols>
  <sheetData>
    <row r="1" spans="2:6" ht="12.75">
      <c r="B1" s="441">
        <f>'Trial Balance'!A1:J1</f>
        <v>0</v>
      </c>
      <c r="C1" s="441"/>
      <c r="D1" s="441"/>
      <c r="E1" s="441"/>
      <c r="F1" s="441"/>
    </row>
    <row r="2" spans="2:6" ht="12.75">
      <c r="B2" s="441">
        <f>'Trial Balance'!A2:J2</f>
        <v>0</v>
      </c>
      <c r="C2" s="441"/>
      <c r="D2" s="441"/>
      <c r="E2" s="441"/>
      <c r="F2" s="441"/>
    </row>
    <row r="3" spans="2:6" ht="20.25">
      <c r="B3" s="547" t="s">
        <v>832</v>
      </c>
      <c r="C3" s="547"/>
      <c r="D3" s="547"/>
      <c r="E3" s="547"/>
      <c r="F3" s="547"/>
    </row>
    <row r="4" spans="2:6" ht="38.25">
      <c r="B4" s="130" t="s">
        <v>339</v>
      </c>
      <c r="C4" s="139" t="s">
        <v>517</v>
      </c>
      <c r="D4" s="115" t="s">
        <v>518</v>
      </c>
      <c r="E4" s="115" t="s">
        <v>519</v>
      </c>
      <c r="F4" s="115" t="s">
        <v>394</v>
      </c>
    </row>
    <row r="5" spans="2:6" ht="12.75">
      <c r="B5" s="116" t="s">
        <v>520</v>
      </c>
      <c r="C5" s="117"/>
      <c r="D5" s="118"/>
      <c r="E5" s="119"/>
      <c r="F5" s="119"/>
    </row>
    <row r="6" spans="2:6" ht="12.75">
      <c r="B6" s="131" t="s">
        <v>521</v>
      </c>
      <c r="C6" s="125">
        <v>103</v>
      </c>
      <c r="D6" s="264">
        <v>0</v>
      </c>
      <c r="E6" s="265">
        <v>0</v>
      </c>
      <c r="F6" s="266">
        <f aca="true" t="shared" si="0" ref="F6:F46">D6-E6</f>
        <v>0</v>
      </c>
    </row>
    <row r="7" spans="2:6" ht="12.75">
      <c r="B7" s="131" t="s">
        <v>522</v>
      </c>
      <c r="C7" s="125">
        <v>104</v>
      </c>
      <c r="D7" s="302">
        <f>+'FA Continuity 2010'!J50</f>
        <v>2901108.0797554553</v>
      </c>
      <c r="E7" s="264">
        <v>0</v>
      </c>
      <c r="F7" s="266">
        <f t="shared" si="0"/>
        <v>2901108.0797554553</v>
      </c>
    </row>
    <row r="8" spans="2:6" ht="12.75">
      <c r="B8" s="131" t="s">
        <v>523</v>
      </c>
      <c r="C8" s="125">
        <v>106</v>
      </c>
      <c r="D8" s="264">
        <v>0</v>
      </c>
      <c r="E8" s="264">
        <v>0</v>
      </c>
      <c r="F8" s="266">
        <f t="shared" si="0"/>
        <v>0</v>
      </c>
    </row>
    <row r="9" spans="2:6" ht="25.5">
      <c r="B9" s="131" t="s">
        <v>524</v>
      </c>
      <c r="C9" s="125">
        <v>107</v>
      </c>
      <c r="D9" s="264">
        <v>0</v>
      </c>
      <c r="E9" s="265">
        <v>0</v>
      </c>
      <c r="F9" s="266">
        <f t="shared" si="0"/>
        <v>0</v>
      </c>
    </row>
    <row r="10" spans="2:6" ht="25.5">
      <c r="B10" s="131" t="s">
        <v>525</v>
      </c>
      <c r="C10" s="125">
        <v>108</v>
      </c>
      <c r="D10" s="264">
        <v>0</v>
      </c>
      <c r="E10" s="265">
        <v>0</v>
      </c>
      <c r="F10" s="266">
        <f t="shared" si="0"/>
        <v>0</v>
      </c>
    </row>
    <row r="11" spans="2:6" ht="25.5">
      <c r="B11" s="131" t="s">
        <v>526</v>
      </c>
      <c r="C11" s="125">
        <v>109</v>
      </c>
      <c r="D11" s="264"/>
      <c r="E11" s="264">
        <v>0</v>
      </c>
      <c r="F11" s="266">
        <f t="shared" si="0"/>
        <v>0</v>
      </c>
    </row>
    <row r="12" spans="2:6" ht="12.75">
      <c r="B12" s="131" t="s">
        <v>527</v>
      </c>
      <c r="C12" s="125">
        <v>110</v>
      </c>
      <c r="D12" s="264">
        <v>0</v>
      </c>
      <c r="E12" s="264">
        <v>0</v>
      </c>
      <c r="F12" s="266">
        <f t="shared" si="0"/>
        <v>0</v>
      </c>
    </row>
    <row r="13" spans="2:6" ht="12.75">
      <c r="B13" s="131" t="s">
        <v>528</v>
      </c>
      <c r="C13" s="125">
        <v>111</v>
      </c>
      <c r="D13" s="264">
        <v>0</v>
      </c>
      <c r="E13" s="265">
        <v>0</v>
      </c>
      <c r="F13" s="266">
        <f t="shared" si="0"/>
        <v>0</v>
      </c>
    </row>
    <row r="14" spans="2:6" ht="12.75">
      <c r="B14" s="131" t="s">
        <v>529</v>
      </c>
      <c r="C14" s="125">
        <v>112</v>
      </c>
      <c r="D14" s="264">
        <f>+'2010 Income Statement'!B208</f>
        <v>6000</v>
      </c>
      <c r="E14" s="264">
        <v>0</v>
      </c>
      <c r="F14" s="266">
        <f t="shared" si="0"/>
        <v>6000</v>
      </c>
    </row>
    <row r="15" spans="2:6" ht="12.75">
      <c r="B15" s="131" t="s">
        <v>530</v>
      </c>
      <c r="C15" s="125">
        <v>113</v>
      </c>
      <c r="D15" s="264">
        <v>0</v>
      </c>
      <c r="E15" s="265">
        <v>0</v>
      </c>
      <c r="F15" s="266">
        <f t="shared" si="0"/>
        <v>0</v>
      </c>
    </row>
    <row r="16" spans="2:6" ht="12.75">
      <c r="B16" s="131" t="s">
        <v>531</v>
      </c>
      <c r="C16" s="125">
        <v>114</v>
      </c>
      <c r="D16" s="264">
        <v>0</v>
      </c>
      <c r="E16" s="264">
        <v>0</v>
      </c>
      <c r="F16" s="266">
        <f t="shared" si="0"/>
        <v>0</v>
      </c>
    </row>
    <row r="17" spans="2:6" ht="12.75">
      <c r="B17" s="131" t="s">
        <v>532</v>
      </c>
      <c r="C17" s="125">
        <v>116</v>
      </c>
      <c r="D17" s="264">
        <v>0</v>
      </c>
      <c r="E17" s="264">
        <v>0</v>
      </c>
      <c r="F17" s="266">
        <f t="shared" si="0"/>
        <v>0</v>
      </c>
    </row>
    <row r="18" spans="2:6" ht="25.5">
      <c r="B18" s="131" t="s">
        <v>533</v>
      </c>
      <c r="C18" s="125">
        <v>118</v>
      </c>
      <c r="D18" s="264">
        <v>0</v>
      </c>
      <c r="E18" s="264">
        <v>0</v>
      </c>
      <c r="F18" s="266">
        <f t="shared" si="0"/>
        <v>0</v>
      </c>
    </row>
    <row r="19" spans="2:6" ht="12.75">
      <c r="B19" s="131" t="s">
        <v>534</v>
      </c>
      <c r="C19" s="125">
        <v>119</v>
      </c>
      <c r="D19" s="264">
        <v>0</v>
      </c>
      <c r="E19" s="264">
        <v>0</v>
      </c>
      <c r="F19" s="266">
        <f t="shared" si="0"/>
        <v>0</v>
      </c>
    </row>
    <row r="20" spans="2:6" ht="12.75">
      <c r="B20" s="131" t="s">
        <v>535</v>
      </c>
      <c r="C20" s="125">
        <v>120</v>
      </c>
      <c r="D20" s="264"/>
      <c r="E20" s="264">
        <v>0</v>
      </c>
      <c r="F20" s="266">
        <f t="shared" si="0"/>
        <v>0</v>
      </c>
    </row>
    <row r="21" spans="2:6" ht="25.5">
      <c r="B21" s="131" t="s">
        <v>536</v>
      </c>
      <c r="C21" s="125">
        <v>121</v>
      </c>
      <c r="D21" s="264">
        <v>28275.06</v>
      </c>
      <c r="E21" s="264">
        <v>0</v>
      </c>
      <c r="F21" s="266">
        <f t="shared" si="0"/>
        <v>28275.06</v>
      </c>
    </row>
    <row r="22" spans="2:6" ht="12.75">
      <c r="B22" s="131" t="s">
        <v>537</v>
      </c>
      <c r="C22" s="125">
        <v>122</v>
      </c>
      <c r="D22" s="264">
        <v>0</v>
      </c>
      <c r="E22" s="264">
        <v>0</v>
      </c>
      <c r="F22" s="266">
        <f t="shared" si="0"/>
        <v>0</v>
      </c>
    </row>
    <row r="23" spans="2:6" ht="12.75">
      <c r="B23" s="131" t="s">
        <v>293</v>
      </c>
      <c r="C23" s="125">
        <v>123</v>
      </c>
      <c r="D23" s="264">
        <v>0</v>
      </c>
      <c r="E23" s="264">
        <v>0</v>
      </c>
      <c r="F23" s="266">
        <f t="shared" si="0"/>
        <v>0</v>
      </c>
    </row>
    <row r="24" spans="2:6" ht="12.75">
      <c r="B24" s="131" t="s">
        <v>294</v>
      </c>
      <c r="C24" s="125">
        <v>124</v>
      </c>
      <c r="D24" s="264">
        <v>0</v>
      </c>
      <c r="E24" s="264">
        <v>0</v>
      </c>
      <c r="F24" s="266">
        <f t="shared" si="0"/>
        <v>0</v>
      </c>
    </row>
    <row r="25" spans="2:7" ht="12.75">
      <c r="B25" s="131" t="s">
        <v>373</v>
      </c>
      <c r="C25" s="132">
        <v>125</v>
      </c>
      <c r="D25" s="264">
        <f>'Reserves Continuity'!C45</f>
        <v>1201494.1900857238</v>
      </c>
      <c r="E25" s="267">
        <v>0</v>
      </c>
      <c r="F25" s="266">
        <f t="shared" si="0"/>
        <v>1201494.1900857238</v>
      </c>
      <c r="G25" s="21"/>
    </row>
    <row r="26" spans="2:7" ht="25.5">
      <c r="B26" s="131" t="s">
        <v>295</v>
      </c>
      <c r="C26" s="125">
        <v>126</v>
      </c>
      <c r="D26" s="268">
        <f>'Reserves Continuity'!F64</f>
        <v>5284742.521569011</v>
      </c>
      <c r="E26" s="265">
        <v>0</v>
      </c>
      <c r="F26" s="266">
        <f t="shared" si="0"/>
        <v>5284742.521569011</v>
      </c>
      <c r="G26" s="21"/>
    </row>
    <row r="27" spans="2:7" ht="25.5">
      <c r="B27" s="131" t="s">
        <v>296</v>
      </c>
      <c r="C27" s="125">
        <v>127</v>
      </c>
      <c r="D27" s="264">
        <v>0</v>
      </c>
      <c r="E27" s="264">
        <v>0</v>
      </c>
      <c r="F27" s="266">
        <f t="shared" si="0"/>
        <v>0</v>
      </c>
      <c r="G27" s="21"/>
    </row>
    <row r="28" spans="2:6" ht="12.75">
      <c r="B28" s="131" t="s">
        <v>300</v>
      </c>
      <c r="C28" s="125">
        <v>205</v>
      </c>
      <c r="D28" s="264">
        <v>0</v>
      </c>
      <c r="E28" s="264">
        <v>0</v>
      </c>
      <c r="F28" s="266">
        <f t="shared" si="0"/>
        <v>0</v>
      </c>
    </row>
    <row r="29" spans="2:6" ht="12.75">
      <c r="B29" s="131" t="s">
        <v>301</v>
      </c>
      <c r="C29" s="125">
        <v>206</v>
      </c>
      <c r="D29" s="264">
        <v>0</v>
      </c>
      <c r="E29" s="264">
        <v>0</v>
      </c>
      <c r="F29" s="266">
        <f t="shared" si="0"/>
        <v>0</v>
      </c>
    </row>
    <row r="30" spans="2:6" ht="12.75">
      <c r="B30" s="131" t="s">
        <v>302</v>
      </c>
      <c r="C30" s="125">
        <v>208</v>
      </c>
      <c r="D30" s="264">
        <v>0</v>
      </c>
      <c r="E30" s="264">
        <v>0</v>
      </c>
      <c r="F30" s="266">
        <f t="shared" si="0"/>
        <v>0</v>
      </c>
    </row>
    <row r="31" spans="2:6" ht="25.5">
      <c r="B31" s="131" t="s">
        <v>303</v>
      </c>
      <c r="C31" s="125">
        <v>212</v>
      </c>
      <c r="D31" s="264">
        <v>0</v>
      </c>
      <c r="E31" s="264">
        <v>0</v>
      </c>
      <c r="F31" s="266">
        <f t="shared" si="0"/>
        <v>0</v>
      </c>
    </row>
    <row r="32" spans="2:6" ht="12.75">
      <c r="B32" s="131" t="s">
        <v>304</v>
      </c>
      <c r="C32" s="125">
        <v>216</v>
      </c>
      <c r="D32" s="264">
        <v>0</v>
      </c>
      <c r="E32" s="264">
        <v>0</v>
      </c>
      <c r="F32" s="266">
        <f t="shared" si="0"/>
        <v>0</v>
      </c>
    </row>
    <row r="33" spans="2:6" ht="12.75">
      <c r="B33" s="131" t="s">
        <v>305</v>
      </c>
      <c r="C33" s="125">
        <v>220</v>
      </c>
      <c r="D33" s="264">
        <v>0</v>
      </c>
      <c r="E33" s="264">
        <v>0</v>
      </c>
      <c r="F33" s="266">
        <f t="shared" si="0"/>
        <v>0</v>
      </c>
    </row>
    <row r="34" spans="2:6" ht="12.75">
      <c r="B34" s="131" t="s">
        <v>306</v>
      </c>
      <c r="C34" s="125">
        <v>226</v>
      </c>
      <c r="D34" s="264">
        <v>0</v>
      </c>
      <c r="E34" s="264">
        <v>0</v>
      </c>
      <c r="F34" s="266">
        <f t="shared" si="0"/>
        <v>0</v>
      </c>
    </row>
    <row r="35" spans="2:6" ht="12.75">
      <c r="B35" s="131" t="s">
        <v>307</v>
      </c>
      <c r="C35" s="125">
        <v>227</v>
      </c>
      <c r="D35" s="264">
        <v>0</v>
      </c>
      <c r="E35" s="264">
        <v>0</v>
      </c>
      <c r="F35" s="266">
        <f t="shared" si="0"/>
        <v>0</v>
      </c>
    </row>
    <row r="36" spans="2:6" ht="12.75">
      <c r="B36" s="131" t="s">
        <v>308</v>
      </c>
      <c r="C36" s="125">
        <v>228</v>
      </c>
      <c r="D36" s="264">
        <v>0</v>
      </c>
      <c r="E36" s="264">
        <v>0</v>
      </c>
      <c r="F36" s="266">
        <f t="shared" si="0"/>
        <v>0</v>
      </c>
    </row>
    <row r="37" spans="2:6" ht="12.75">
      <c r="B37" s="131" t="s">
        <v>309</v>
      </c>
      <c r="C37" s="125">
        <v>231</v>
      </c>
      <c r="D37" s="264">
        <v>0</v>
      </c>
      <c r="E37" s="264">
        <v>0</v>
      </c>
      <c r="F37" s="266">
        <f t="shared" si="0"/>
        <v>0</v>
      </c>
    </row>
    <row r="38" spans="2:6" ht="12.75">
      <c r="B38" s="131" t="s">
        <v>310</v>
      </c>
      <c r="C38" s="125">
        <v>235</v>
      </c>
      <c r="D38" s="264">
        <v>0</v>
      </c>
      <c r="E38" s="264">
        <v>0</v>
      </c>
      <c r="F38" s="266">
        <f t="shared" si="0"/>
        <v>0</v>
      </c>
    </row>
    <row r="39" spans="2:6" ht="12.75">
      <c r="B39" s="131" t="s">
        <v>311</v>
      </c>
      <c r="C39" s="125">
        <v>236</v>
      </c>
      <c r="D39" s="264">
        <v>0</v>
      </c>
      <c r="E39" s="264">
        <v>0</v>
      </c>
      <c r="F39" s="266">
        <f t="shared" si="0"/>
        <v>0</v>
      </c>
    </row>
    <row r="40" spans="2:6" ht="38.25">
      <c r="B40" s="131" t="s">
        <v>312</v>
      </c>
      <c r="C40" s="125">
        <v>237</v>
      </c>
      <c r="D40" s="264">
        <v>0</v>
      </c>
      <c r="E40" s="264">
        <v>0</v>
      </c>
      <c r="F40" s="266">
        <f t="shared" si="0"/>
        <v>0</v>
      </c>
    </row>
    <row r="41" spans="2:6" ht="12.75">
      <c r="B41" s="131" t="s">
        <v>313</v>
      </c>
      <c r="C41" s="125">
        <v>290</v>
      </c>
      <c r="D41" s="264">
        <v>0</v>
      </c>
      <c r="E41" s="264">
        <v>0</v>
      </c>
      <c r="F41" s="266">
        <f t="shared" si="0"/>
        <v>0</v>
      </c>
    </row>
    <row r="42" spans="2:6" ht="25.5">
      <c r="B42" s="131" t="s">
        <v>315</v>
      </c>
      <c r="C42" s="125">
        <v>291</v>
      </c>
      <c r="D42" s="264">
        <v>0</v>
      </c>
      <c r="E42" s="264">
        <v>0</v>
      </c>
      <c r="F42" s="266">
        <f t="shared" si="0"/>
        <v>0</v>
      </c>
    </row>
    <row r="43" spans="2:6" ht="12.75">
      <c r="B43" s="131" t="s">
        <v>316</v>
      </c>
      <c r="C43" s="125">
        <v>292</v>
      </c>
      <c r="D43" s="264">
        <v>0</v>
      </c>
      <c r="E43" s="264">
        <v>0</v>
      </c>
      <c r="F43" s="266">
        <f t="shared" si="0"/>
        <v>0</v>
      </c>
    </row>
    <row r="44" spans="2:6" ht="12.75">
      <c r="B44" s="131" t="s">
        <v>317</v>
      </c>
      <c r="C44" s="125">
        <v>293</v>
      </c>
      <c r="D44" s="264">
        <v>0</v>
      </c>
      <c r="E44" s="264">
        <v>0</v>
      </c>
      <c r="F44" s="266">
        <f t="shared" si="0"/>
        <v>0</v>
      </c>
    </row>
    <row r="45" spans="2:6" ht="12.75">
      <c r="B45" s="133" t="s">
        <v>318</v>
      </c>
      <c r="C45" s="125">
        <v>294</v>
      </c>
      <c r="D45" s="264"/>
      <c r="E45" s="264">
        <v>0</v>
      </c>
      <c r="F45" s="266">
        <f t="shared" si="0"/>
        <v>0</v>
      </c>
    </row>
    <row r="46" spans="2:6" ht="13.5" thickBot="1">
      <c r="B46" s="133" t="s">
        <v>227</v>
      </c>
      <c r="C46" s="134">
        <v>295</v>
      </c>
      <c r="D46" s="264">
        <f>+'Capital Tax &amp; Expense Schedules'!H25</f>
        <v>6000</v>
      </c>
      <c r="E46" s="269">
        <v>0</v>
      </c>
      <c r="F46" s="266">
        <f t="shared" si="0"/>
        <v>6000</v>
      </c>
    </row>
    <row r="47" spans="2:6" ht="13.5" thickBot="1">
      <c r="B47" s="135" t="s">
        <v>319</v>
      </c>
      <c r="C47" s="136"/>
      <c r="D47" s="270">
        <f>SUM(D6:D46)</f>
        <v>9427619.85141019</v>
      </c>
      <c r="E47" s="270">
        <f>SUM(E6:E46)</f>
        <v>0</v>
      </c>
      <c r="F47" s="270">
        <f>SUM(F6:F46)</f>
        <v>9427619.85141019</v>
      </c>
    </row>
    <row r="48" spans="2:6" ht="24.75" customHeight="1">
      <c r="B48" s="120"/>
      <c r="C48" s="121"/>
      <c r="D48" s="121"/>
      <c r="E48" s="121"/>
      <c r="F48" s="121"/>
    </row>
    <row r="49" spans="2:6" ht="12.75">
      <c r="B49" s="122" t="s">
        <v>320</v>
      </c>
      <c r="C49" s="123"/>
      <c r="D49" s="123"/>
      <c r="E49" s="123"/>
      <c r="F49" s="123"/>
    </row>
    <row r="50" spans="2:6" ht="25.5">
      <c r="B50" s="131" t="s">
        <v>321</v>
      </c>
      <c r="C50" s="125">
        <v>401</v>
      </c>
      <c r="D50" s="264"/>
      <c r="E50" s="264">
        <v>0</v>
      </c>
      <c r="F50" s="266">
        <f aca="true" t="shared" si="1" ref="F50:F67">D50-E50</f>
        <v>0</v>
      </c>
    </row>
    <row r="51" spans="2:6" ht="12.75">
      <c r="B51" s="131" t="s">
        <v>322</v>
      </c>
      <c r="C51" s="125">
        <v>402</v>
      </c>
      <c r="D51" s="264">
        <v>0</v>
      </c>
      <c r="E51" s="264">
        <v>0</v>
      </c>
      <c r="F51" s="266">
        <f t="shared" si="1"/>
        <v>0</v>
      </c>
    </row>
    <row r="52" spans="2:6" ht="12.75">
      <c r="B52" s="131" t="s">
        <v>323</v>
      </c>
      <c r="C52" s="125">
        <v>403</v>
      </c>
      <c r="D52" s="302">
        <f>'CCA Continuity 2010'!N25</f>
        <v>3418906.3010704494</v>
      </c>
      <c r="E52" s="264">
        <v>0</v>
      </c>
      <c r="F52" s="266">
        <f t="shared" si="1"/>
        <v>3418906.3010704494</v>
      </c>
    </row>
    <row r="53" spans="2:6" ht="12.75">
      <c r="B53" s="131" t="s">
        <v>324</v>
      </c>
      <c r="C53" s="125">
        <v>404</v>
      </c>
      <c r="D53" s="264">
        <v>0</v>
      </c>
      <c r="E53" s="264">
        <v>0</v>
      </c>
      <c r="F53" s="266">
        <f t="shared" si="1"/>
        <v>0</v>
      </c>
    </row>
    <row r="54" spans="2:6" ht="25.5">
      <c r="B54" s="131" t="s">
        <v>325</v>
      </c>
      <c r="C54" s="125">
        <v>405</v>
      </c>
      <c r="D54" s="302">
        <f>'CCA Continuity 2010'!H64</f>
        <v>0</v>
      </c>
      <c r="E54" s="264">
        <v>0</v>
      </c>
      <c r="F54" s="266">
        <f t="shared" si="1"/>
        <v>0</v>
      </c>
    </row>
    <row r="55" spans="2:6" ht="12.75">
      <c r="B55" s="131" t="s">
        <v>326</v>
      </c>
      <c r="C55" s="125">
        <v>406</v>
      </c>
      <c r="D55" s="264">
        <v>0</v>
      </c>
      <c r="E55" s="264">
        <v>0</v>
      </c>
      <c r="F55" s="266">
        <f t="shared" si="1"/>
        <v>0</v>
      </c>
    </row>
    <row r="56" spans="2:7" ht="12.75">
      <c r="B56" s="131" t="s">
        <v>532</v>
      </c>
      <c r="C56" s="125">
        <v>409</v>
      </c>
      <c r="D56" s="264">
        <v>0</v>
      </c>
      <c r="E56" s="264">
        <v>0</v>
      </c>
      <c r="F56" s="266">
        <f t="shared" si="1"/>
        <v>0</v>
      </c>
      <c r="G56" s="21"/>
    </row>
    <row r="57" spans="2:7" ht="25.5">
      <c r="B57" s="131" t="s">
        <v>327</v>
      </c>
      <c r="C57" s="125">
        <v>411</v>
      </c>
      <c r="D57" s="264">
        <v>0</v>
      </c>
      <c r="E57" s="264">
        <v>0</v>
      </c>
      <c r="F57" s="266">
        <f t="shared" si="1"/>
        <v>0</v>
      </c>
      <c r="G57" s="21"/>
    </row>
    <row r="58" spans="2:7" ht="12.75">
      <c r="B58" s="131" t="s">
        <v>374</v>
      </c>
      <c r="C58" s="132">
        <v>413</v>
      </c>
      <c r="D58" s="302">
        <f>+'Reserves Continuity'!F45</f>
        <v>1202545.631569011</v>
      </c>
      <c r="E58" s="267">
        <v>0</v>
      </c>
      <c r="F58" s="266">
        <f t="shared" si="1"/>
        <v>1202545.631569011</v>
      </c>
      <c r="G58" s="21"/>
    </row>
    <row r="59" spans="2:7" ht="25.5">
      <c r="B59" s="131" t="s">
        <v>328</v>
      </c>
      <c r="C59" s="125">
        <v>414</v>
      </c>
      <c r="D59" s="303">
        <f>'Reserves Continuity'!C64</f>
        <v>4993106.080085724</v>
      </c>
      <c r="E59" s="265">
        <v>0</v>
      </c>
      <c r="F59" s="266">
        <f t="shared" si="1"/>
        <v>4993106.080085724</v>
      </c>
      <c r="G59" s="21"/>
    </row>
    <row r="60" spans="2:7" ht="12.75">
      <c r="B60" s="131" t="s">
        <v>329</v>
      </c>
      <c r="C60" s="125">
        <v>416</v>
      </c>
      <c r="D60" s="264">
        <v>0</v>
      </c>
      <c r="E60" s="264">
        <v>0</v>
      </c>
      <c r="F60" s="266">
        <f t="shared" si="1"/>
        <v>0</v>
      </c>
      <c r="G60" s="21"/>
    </row>
    <row r="61" spans="2:6" ht="12.75">
      <c r="B61" s="131" t="s">
        <v>330</v>
      </c>
      <c r="C61" s="125">
        <v>305</v>
      </c>
      <c r="D61" s="264">
        <v>0</v>
      </c>
      <c r="E61" s="264">
        <v>0</v>
      </c>
      <c r="F61" s="266">
        <f t="shared" si="1"/>
        <v>0</v>
      </c>
    </row>
    <row r="62" spans="2:6" ht="25.5">
      <c r="B62" s="131" t="s">
        <v>331</v>
      </c>
      <c r="C62" s="125">
        <v>306</v>
      </c>
      <c r="D62" s="264">
        <v>0</v>
      </c>
      <c r="E62" s="264">
        <v>0</v>
      </c>
      <c r="F62" s="266">
        <f t="shared" si="1"/>
        <v>0</v>
      </c>
    </row>
    <row r="63" spans="2:6" ht="25.5">
      <c r="B63" s="131" t="s">
        <v>332</v>
      </c>
      <c r="C63" s="125">
        <v>390</v>
      </c>
      <c r="D63" s="264">
        <v>0</v>
      </c>
      <c r="E63" s="264">
        <v>0</v>
      </c>
      <c r="F63" s="266">
        <f t="shared" si="1"/>
        <v>0</v>
      </c>
    </row>
    <row r="64" spans="2:6" ht="12.75">
      <c r="B64" s="131" t="s">
        <v>333</v>
      </c>
      <c r="C64" s="125">
        <v>391</v>
      </c>
      <c r="D64" s="264">
        <v>0</v>
      </c>
      <c r="E64" s="264">
        <v>0</v>
      </c>
      <c r="F64" s="266">
        <f t="shared" si="1"/>
        <v>0</v>
      </c>
    </row>
    <row r="65" spans="2:6" ht="25.5">
      <c r="B65" s="131" t="s">
        <v>334</v>
      </c>
      <c r="C65" s="125">
        <v>392</v>
      </c>
      <c r="D65" s="264">
        <v>0</v>
      </c>
      <c r="E65" s="264">
        <v>0</v>
      </c>
      <c r="F65" s="266">
        <f t="shared" si="1"/>
        <v>0</v>
      </c>
    </row>
    <row r="66" spans="2:6" ht="12.75">
      <c r="B66" s="137" t="s">
        <v>335</v>
      </c>
      <c r="C66" s="125">
        <v>393</v>
      </c>
      <c r="D66" s="264">
        <v>0</v>
      </c>
      <c r="E66" s="264">
        <v>0</v>
      </c>
      <c r="F66" s="266">
        <f t="shared" si="1"/>
        <v>0</v>
      </c>
    </row>
    <row r="67" spans="2:6" ht="12.75">
      <c r="B67" s="133" t="s">
        <v>228</v>
      </c>
      <c r="C67" s="125">
        <v>394</v>
      </c>
      <c r="D67" s="264">
        <v>0</v>
      </c>
      <c r="E67" s="264">
        <v>0</v>
      </c>
      <c r="F67" s="266">
        <f t="shared" si="1"/>
        <v>0</v>
      </c>
    </row>
    <row r="68" spans="2:6" ht="12.75">
      <c r="B68" s="138" t="s">
        <v>336</v>
      </c>
      <c r="C68" s="125"/>
      <c r="D68" s="271">
        <f>SUM(D50:D67)</f>
        <v>9614558.012725184</v>
      </c>
      <c r="E68" s="271">
        <f>SUM(E50:E67)</f>
        <v>0</v>
      </c>
      <c r="F68" s="271">
        <f>SUM(F50:F67)</f>
        <v>9614558.012725184</v>
      </c>
    </row>
    <row r="69" spans="2:6" ht="12.75">
      <c r="B69" s="126"/>
      <c r="C69" s="127"/>
      <c r="D69" s="127"/>
      <c r="E69" s="127"/>
      <c r="F69" s="127"/>
    </row>
    <row r="70" spans="2:6" ht="12.75">
      <c r="B70" s="128"/>
      <c r="C70" s="129"/>
      <c r="D70" s="129"/>
      <c r="E70" s="129"/>
      <c r="F70" s="129"/>
    </row>
    <row r="71" spans="2:6" ht="12.75">
      <c r="B71" s="124" t="s">
        <v>337</v>
      </c>
      <c r="C71" s="125">
        <v>311</v>
      </c>
      <c r="D71" s="264">
        <v>0</v>
      </c>
      <c r="E71" s="264">
        <v>0</v>
      </c>
      <c r="F71" s="266">
        <f>D71-E71</f>
        <v>0</v>
      </c>
    </row>
    <row r="72" spans="2:6" ht="25.5">
      <c r="B72" s="124" t="s">
        <v>411</v>
      </c>
      <c r="C72" s="125">
        <v>320</v>
      </c>
      <c r="D72" s="264">
        <v>0</v>
      </c>
      <c r="E72" s="264">
        <v>0</v>
      </c>
      <c r="F72" s="266">
        <f>D72-E72</f>
        <v>0</v>
      </c>
    </row>
    <row r="73" spans="2:6" ht="25.5">
      <c r="B73" s="124" t="s">
        <v>376</v>
      </c>
      <c r="C73" s="125">
        <v>331</v>
      </c>
      <c r="D73" s="302">
        <f>'Corporation Loss Continuity'!M11</f>
        <v>0</v>
      </c>
      <c r="E73" s="264">
        <v>0</v>
      </c>
      <c r="F73" s="266">
        <f>D73-E73</f>
        <v>0</v>
      </c>
    </row>
    <row r="74" spans="2:6" ht="25.5">
      <c r="B74" s="124" t="s">
        <v>377</v>
      </c>
      <c r="C74" s="125">
        <v>332</v>
      </c>
      <c r="D74" s="264">
        <v>0</v>
      </c>
      <c r="E74" s="264">
        <v>0</v>
      </c>
      <c r="F74" s="266">
        <f>D74-E74</f>
        <v>0</v>
      </c>
    </row>
    <row r="75" spans="2:6" ht="25.5">
      <c r="B75" s="124" t="s">
        <v>338</v>
      </c>
      <c r="C75" s="125">
        <v>335</v>
      </c>
      <c r="D75" s="264">
        <v>0</v>
      </c>
      <c r="E75" s="264">
        <v>0</v>
      </c>
      <c r="F75" s="266">
        <f>D75-E75</f>
        <v>0</v>
      </c>
    </row>
    <row r="76" spans="2:6" ht="12.75">
      <c r="B76" s="204" t="s">
        <v>458</v>
      </c>
      <c r="C76" s="40"/>
      <c r="D76" s="65">
        <f>SUM(D71:D75)</f>
        <v>0</v>
      </c>
      <c r="E76" s="65">
        <f>SUM(E71:E75)</f>
        <v>0</v>
      </c>
      <c r="F76" s="65">
        <f>SUM(F71:F75)</f>
        <v>0</v>
      </c>
    </row>
    <row r="77" spans="4:6" ht="12.75">
      <c r="D77" s="25"/>
      <c r="E77" s="25"/>
      <c r="F77" s="25"/>
    </row>
    <row r="78" spans="2:6" ht="12.75">
      <c r="B78" s="206" t="s">
        <v>435</v>
      </c>
      <c r="C78" s="207"/>
      <c r="D78" s="296">
        <f>D47-D68+D76</f>
        <v>-186938.1613149941</v>
      </c>
      <c r="E78" s="296">
        <f>E47-E68+E76</f>
        <v>0</v>
      </c>
      <c r="F78" s="296">
        <f>F47-F68+F76</f>
        <v>-186938.1613149941</v>
      </c>
    </row>
  </sheetData>
  <mergeCells count="3">
    <mergeCell ref="B3:F3"/>
    <mergeCell ref="B1:F1"/>
    <mergeCell ref="B2:F2"/>
  </mergeCells>
  <printOptions/>
  <pageMargins left="0.7480314960629921" right="0.7480314960629921" top="0.984251968503937" bottom="0.984251968503937" header="0.5118110236220472" footer="0.5118110236220472"/>
  <pageSetup fitToHeight="5" fitToWidth="1" horizontalDpi="355" verticalDpi="355" orientation="portrait" scale="90" r:id="rId3"/>
  <headerFooter alignWithMargins="0">
    <oddFooter>&amp;L&amp;A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46.7109375" style="0" customWidth="1"/>
    <col min="2" max="2" width="14.8515625" style="0" customWidth="1"/>
    <col min="3" max="3" width="16.421875" style="0" customWidth="1"/>
    <col min="4" max="4" width="20.8515625" style="0" customWidth="1"/>
    <col min="5" max="5" width="1.57421875" style="0" customWidth="1"/>
    <col min="6" max="6" width="15.7109375" style="310" customWidth="1"/>
    <col min="7" max="7" width="14.00390625" style="310" bestFit="1" customWidth="1"/>
    <col min="8" max="8" width="17.140625" style="310" customWidth="1"/>
    <col min="9" max="10" width="12.8515625" style="310" bestFit="1" customWidth="1"/>
    <col min="11" max="11" width="13.57421875" style="310" customWidth="1"/>
    <col min="12" max="12" width="12.8515625" style="0" bestFit="1" customWidth="1"/>
  </cols>
  <sheetData>
    <row r="1" spans="1:7" ht="12.75">
      <c r="A1" s="441" t="str">
        <f>'Trial Balance'!A1:J1</f>
        <v>North Bay Hydro Distribution Ltd.</v>
      </c>
      <c r="B1" s="441"/>
      <c r="C1" s="441"/>
      <c r="D1" s="441"/>
      <c r="F1" s="369"/>
      <c r="G1" s="369"/>
    </row>
    <row r="2" spans="1:6" ht="12.75">
      <c r="A2" s="441" t="str">
        <f>'Trial Balance'!A2:J2</f>
        <v>License Number ED-2003-0024, File Number EB-2009-0270</v>
      </c>
      <c r="B2" s="441"/>
      <c r="C2" s="441"/>
      <c r="D2" s="441"/>
      <c r="F2" s="359"/>
    </row>
    <row r="3" spans="1:4" ht="15.75">
      <c r="A3" s="511" t="str">
        <f>Notes!B4</f>
        <v>North Bay Hydro Distribution Ltd.</v>
      </c>
      <c r="B3" s="511"/>
      <c r="C3" s="511"/>
      <c r="D3" s="511"/>
    </row>
    <row r="4" spans="1:10" ht="15.75">
      <c r="A4" s="511" t="s">
        <v>423</v>
      </c>
      <c r="B4" s="511"/>
      <c r="C4" s="511"/>
      <c r="D4" s="511"/>
      <c r="F4" s="548"/>
      <c r="G4" s="548"/>
      <c r="H4" s="548"/>
      <c r="I4" s="548"/>
      <c r="J4" s="548"/>
    </row>
    <row r="5" spans="1:15" s="19" customFormat="1" ht="45">
      <c r="A5" s="274" t="s">
        <v>189</v>
      </c>
      <c r="B5" s="274" t="s">
        <v>833</v>
      </c>
      <c r="C5" s="274" t="s">
        <v>834</v>
      </c>
      <c r="D5" s="274" t="s">
        <v>835</v>
      </c>
      <c r="F5" s="553"/>
      <c r="G5" s="553"/>
      <c r="H5" s="553"/>
      <c r="I5" s="553"/>
      <c r="J5" s="553"/>
      <c r="K5" s="553"/>
      <c r="L5" s="554"/>
      <c r="M5" s="554"/>
      <c r="N5" s="554"/>
      <c r="O5" s="554"/>
    </row>
    <row r="6" spans="1:15" ht="12.75">
      <c r="A6" s="279" t="s">
        <v>424</v>
      </c>
      <c r="B6" s="195"/>
      <c r="C6" s="396"/>
      <c r="D6" s="382"/>
      <c r="F6" s="555"/>
      <c r="G6" s="556"/>
      <c r="H6" s="556"/>
      <c r="I6" s="556"/>
      <c r="J6" s="556"/>
      <c r="K6" s="556"/>
      <c r="L6" s="56"/>
      <c r="M6" s="56"/>
      <c r="N6" s="56"/>
      <c r="O6" s="56"/>
    </row>
    <row r="7" spans="1:15" ht="12.75">
      <c r="A7" s="196" t="s">
        <v>246</v>
      </c>
      <c r="B7" s="275"/>
      <c r="C7" s="232"/>
      <c r="D7" s="282">
        <f>+C69</f>
        <v>1839071.3335597431</v>
      </c>
      <c r="F7" s="368"/>
      <c r="G7" s="368"/>
      <c r="H7" s="368"/>
      <c r="I7" s="368"/>
      <c r="J7" s="368"/>
      <c r="K7" s="556"/>
      <c r="L7" s="56"/>
      <c r="M7" s="56"/>
      <c r="N7" s="56"/>
      <c r="O7" s="56"/>
    </row>
    <row r="8" spans="1:15" ht="12.75">
      <c r="A8" s="196" t="s">
        <v>247</v>
      </c>
      <c r="B8" s="276">
        <f>-'2009 Income Statement'!B31</f>
        <v>10030666.8368508</v>
      </c>
      <c r="C8" s="276">
        <v>9978566.380886521</v>
      </c>
      <c r="D8" s="276">
        <f>+C8</f>
        <v>9978566.380886521</v>
      </c>
      <c r="F8" s="276"/>
      <c r="G8" s="556"/>
      <c r="H8" s="556"/>
      <c r="I8" s="556"/>
      <c r="J8" s="557"/>
      <c r="K8" s="556"/>
      <c r="L8" s="56"/>
      <c r="M8" s="56"/>
      <c r="N8" s="56"/>
      <c r="O8" s="56"/>
    </row>
    <row r="9" spans="1:15" ht="12.75">
      <c r="A9" s="196" t="s">
        <v>248</v>
      </c>
      <c r="B9" s="276">
        <f>-'2009 Income Statement'!B43-'2009 Income Statement'!B66-'2009 Income Statement'!B71</f>
        <v>914726.0044630796</v>
      </c>
      <c r="C9" s="276">
        <f>'Revenue Requirement'!F49</f>
        <v>825116.4414101248</v>
      </c>
      <c r="D9" s="276">
        <f>C9</f>
        <v>825116.4414101248</v>
      </c>
      <c r="F9" s="555"/>
      <c r="G9" s="556"/>
      <c r="H9" s="556"/>
      <c r="I9" s="556"/>
      <c r="J9" s="556"/>
      <c r="K9" s="556"/>
      <c r="L9" s="56"/>
      <c r="M9" s="56"/>
      <c r="N9" s="56"/>
      <c r="O9" s="56"/>
    </row>
    <row r="10" spans="1:15" ht="12.75">
      <c r="A10" s="196" t="s">
        <v>573</v>
      </c>
      <c r="B10" s="276">
        <v>0</v>
      </c>
      <c r="C10" s="276">
        <v>0</v>
      </c>
      <c r="D10" s="276">
        <f>C10</f>
        <v>0</v>
      </c>
      <c r="F10" s="368"/>
      <c r="G10" s="368"/>
      <c r="H10" s="368"/>
      <c r="I10" s="368"/>
      <c r="J10" s="556"/>
      <c r="K10" s="556"/>
      <c r="L10" s="56"/>
      <c r="M10" s="56"/>
      <c r="N10" s="56"/>
      <c r="O10" s="56"/>
    </row>
    <row r="11" spans="1:15" ht="12.75">
      <c r="A11" s="273" t="s">
        <v>425</v>
      </c>
      <c r="B11" s="281">
        <f>+B8+B9+B10</f>
        <v>10945392.84131388</v>
      </c>
      <c r="C11" s="281">
        <f>+C8+C9+C10</f>
        <v>10803682.822296645</v>
      </c>
      <c r="D11" s="281">
        <f>+D7+D8+D9+D10</f>
        <v>12642754.15585639</v>
      </c>
      <c r="F11" s="556"/>
      <c r="G11" s="558"/>
      <c r="H11" s="558"/>
      <c r="I11" s="556"/>
      <c r="J11" s="556"/>
      <c r="K11" s="556"/>
      <c r="L11" s="56"/>
      <c r="M11" s="56"/>
      <c r="N11" s="56"/>
      <c r="O11" s="56"/>
    </row>
    <row r="12" spans="1:15" ht="6" customHeight="1">
      <c r="A12" s="196"/>
      <c r="B12" s="197"/>
      <c r="C12" s="197"/>
      <c r="D12" s="197"/>
      <c r="F12" s="556"/>
      <c r="G12" s="558"/>
      <c r="H12" s="558"/>
      <c r="I12" s="556"/>
      <c r="J12" s="556"/>
      <c r="K12" s="556"/>
      <c r="L12" s="56"/>
      <c r="M12" s="56"/>
      <c r="N12" s="56"/>
      <c r="O12" s="56"/>
    </row>
    <row r="13" spans="1:15" ht="12.75">
      <c r="A13" s="279" t="s">
        <v>426</v>
      </c>
      <c r="B13" s="197"/>
      <c r="C13" s="197"/>
      <c r="D13" s="197"/>
      <c r="F13" s="555"/>
      <c r="G13" s="556"/>
      <c r="H13" s="556"/>
      <c r="I13" s="556"/>
      <c r="J13" s="556"/>
      <c r="K13" s="556"/>
      <c r="L13" s="56"/>
      <c r="M13" s="56"/>
      <c r="N13" s="56"/>
      <c r="O13" s="56"/>
    </row>
    <row r="14" spans="1:15" ht="12.75">
      <c r="A14" s="196" t="s">
        <v>475</v>
      </c>
      <c r="B14" s="276">
        <f>+'2009 Income Statement'!B143+'2009 Income Statement'!B172+'2009 Income Statement'!B151</f>
        <v>3365867.64</v>
      </c>
      <c r="C14" s="276">
        <f>'2010 Income Statement'!B143+'2010 Income Statement'!B151+'2010 Income Statement'!B172</f>
        <v>3911371.1255037477</v>
      </c>
      <c r="D14" s="276">
        <f aca="true" t="shared" si="0" ref="D14:D19">C14</f>
        <v>3911371.1255037477</v>
      </c>
      <c r="F14" s="559"/>
      <c r="G14" s="559"/>
      <c r="H14" s="559"/>
      <c r="I14" s="556"/>
      <c r="J14" s="556"/>
      <c r="K14" s="556"/>
      <c r="L14" s="56"/>
      <c r="M14" s="56"/>
      <c r="N14" s="56"/>
      <c r="O14" s="56"/>
    </row>
    <row r="15" spans="1:15" ht="12.75">
      <c r="A15" s="196" t="s">
        <v>249</v>
      </c>
      <c r="B15" s="276">
        <f>'2009 Income Statement'!B111+'2009 Income Statement'!B132</f>
        <v>1616294.6800000002</v>
      </c>
      <c r="C15" s="276">
        <f>'2010 Income Statement'!B111+'2010 Income Statement'!B132</f>
        <v>1867682.85</v>
      </c>
      <c r="D15" s="276">
        <f t="shared" si="0"/>
        <v>1867682.85</v>
      </c>
      <c r="F15" s="556"/>
      <c r="G15" s="558"/>
      <c r="H15" s="558"/>
      <c r="I15" s="556"/>
      <c r="J15" s="556"/>
      <c r="K15" s="556"/>
      <c r="L15" s="56"/>
      <c r="M15" s="56"/>
      <c r="N15" s="56"/>
      <c r="O15" s="56"/>
    </row>
    <row r="16" spans="1:15" ht="12.75">
      <c r="A16" s="196" t="s">
        <v>250</v>
      </c>
      <c r="B16" s="276">
        <f>'2009 Income Statement'!B183</f>
        <v>2595248.0340690357</v>
      </c>
      <c r="C16" s="276">
        <f>'2010 Income Statement'!B183</f>
        <v>2901108.0797554553</v>
      </c>
      <c r="D16" s="276">
        <f t="shared" si="0"/>
        <v>2901108.0797554553</v>
      </c>
      <c r="F16" s="556"/>
      <c r="G16" s="558"/>
      <c r="H16" s="558"/>
      <c r="I16" s="556"/>
      <c r="J16" s="556"/>
      <c r="K16" s="556"/>
      <c r="L16" s="56"/>
      <c r="M16" s="56"/>
      <c r="N16" s="56"/>
      <c r="O16" s="56"/>
    </row>
    <row r="17" spans="1:15" ht="12.75">
      <c r="A17" s="196" t="s">
        <v>251</v>
      </c>
      <c r="B17" s="276">
        <f>'2009 Income Statement'!B200</f>
        <v>62428.78</v>
      </c>
      <c r="C17" s="276">
        <f>'2010 Income Statement'!B200</f>
        <v>64292</v>
      </c>
      <c r="D17" s="276">
        <f t="shared" si="0"/>
        <v>64292</v>
      </c>
      <c r="F17" s="556"/>
      <c r="G17" s="558"/>
      <c r="H17" s="558"/>
      <c r="I17" s="556"/>
      <c r="J17" s="556"/>
      <c r="K17" s="556"/>
      <c r="L17" s="56"/>
      <c r="M17" s="56"/>
      <c r="N17" s="56"/>
      <c r="O17" s="56"/>
    </row>
    <row r="18" spans="1:15" ht="12.75">
      <c r="A18" s="196" t="s">
        <v>252</v>
      </c>
      <c r="B18" s="276">
        <f>'Trial Balance'!N378</f>
        <v>0</v>
      </c>
      <c r="C18" s="276">
        <f>'Capital Tax &amp; Expense Schedules'!K20</f>
        <v>23414.791821245537</v>
      </c>
      <c r="D18" s="276">
        <f t="shared" si="0"/>
        <v>23414.791821245537</v>
      </c>
      <c r="F18" s="556"/>
      <c r="G18" s="558"/>
      <c r="H18" s="558"/>
      <c r="I18" s="556"/>
      <c r="J18" s="556"/>
      <c r="K18" s="556"/>
      <c r="L18" s="56"/>
      <c r="M18" s="56"/>
      <c r="N18" s="56"/>
      <c r="O18" s="56"/>
    </row>
    <row r="19" spans="1:15" ht="12.75">
      <c r="A19" s="196" t="s">
        <v>253</v>
      </c>
      <c r="B19" s="276">
        <f>'Return on Capital'!W41</f>
        <v>1123420.1998657342</v>
      </c>
      <c r="C19" s="276">
        <f>'Return on Capital'!AC41</f>
        <v>1821364.9079122285</v>
      </c>
      <c r="D19" s="276">
        <f t="shared" si="0"/>
        <v>1821364.9079122285</v>
      </c>
      <c r="F19" s="555"/>
      <c r="G19" s="558"/>
      <c r="H19" s="558"/>
      <c r="I19" s="556"/>
      <c r="J19" s="556"/>
      <c r="K19" s="556"/>
      <c r="L19" s="56"/>
      <c r="M19" s="56"/>
      <c r="N19" s="56"/>
      <c r="O19" s="56"/>
    </row>
    <row r="20" spans="1:15" ht="12.75">
      <c r="A20" s="61" t="s">
        <v>427</v>
      </c>
      <c r="B20" s="281">
        <f>SUM(B14:B19)</f>
        <v>8763259.333934769</v>
      </c>
      <c r="C20" s="281">
        <f>SUM(C14:C19)</f>
        <v>10589233.754992677</v>
      </c>
      <c r="D20" s="281">
        <f>SUM(D14:D19)</f>
        <v>10589233.754992677</v>
      </c>
      <c r="F20" s="556"/>
      <c r="G20" s="558"/>
      <c r="H20" s="556"/>
      <c r="I20" s="556"/>
      <c r="J20" s="556"/>
      <c r="K20" s="556"/>
      <c r="L20" s="556"/>
      <c r="M20" s="56"/>
      <c r="N20" s="56"/>
      <c r="O20" s="56"/>
    </row>
    <row r="21" spans="1:15" ht="12.75">
      <c r="A21" s="196" t="s">
        <v>268</v>
      </c>
      <c r="B21" s="199"/>
      <c r="C21" s="199"/>
      <c r="D21" s="199"/>
      <c r="F21" s="556"/>
      <c r="G21" s="558"/>
      <c r="H21" s="558"/>
      <c r="I21" s="558"/>
      <c r="J21" s="556"/>
      <c r="K21" s="556"/>
      <c r="L21" s="556"/>
      <c r="M21" s="56"/>
      <c r="N21" s="56"/>
      <c r="O21" s="56"/>
    </row>
    <row r="22" spans="1:15" ht="12.75">
      <c r="A22" s="61" t="s">
        <v>428</v>
      </c>
      <c r="B22" s="281">
        <f>+B20+B21</f>
        <v>8763259.333934769</v>
      </c>
      <c r="C22" s="281">
        <f>+C20+C21</f>
        <v>10589233.754992677</v>
      </c>
      <c r="D22" s="281">
        <f>+D20+D21</f>
        <v>10589233.754992677</v>
      </c>
      <c r="F22" s="560"/>
      <c r="G22" s="560"/>
      <c r="H22" s="560"/>
      <c r="I22" s="560"/>
      <c r="J22" s="560"/>
      <c r="K22" s="560"/>
      <c r="L22" s="556"/>
      <c r="M22" s="56"/>
      <c r="N22" s="56"/>
      <c r="O22" s="56"/>
    </row>
    <row r="23" spans="1:15" ht="12.75">
      <c r="A23" s="196"/>
      <c r="B23" s="197"/>
      <c r="C23" s="197"/>
      <c r="D23" s="197"/>
      <c r="F23" s="556"/>
      <c r="G23" s="558"/>
      <c r="H23" s="558"/>
      <c r="I23" s="556"/>
      <c r="J23" s="556"/>
      <c r="K23" s="556"/>
      <c r="L23" s="56"/>
      <c r="M23" s="56"/>
      <c r="N23" s="56"/>
      <c r="O23" s="56"/>
    </row>
    <row r="24" spans="1:15" ht="12.75">
      <c r="A24" s="61" t="s">
        <v>429</v>
      </c>
      <c r="B24" s="281">
        <f>+B11-B22</f>
        <v>2182133.507379111</v>
      </c>
      <c r="C24" s="281">
        <f>+C11-C22</f>
        <v>214449.0673039686</v>
      </c>
      <c r="D24" s="281">
        <f>+D11-D22</f>
        <v>2053520.4008637127</v>
      </c>
      <c r="F24" s="556"/>
      <c r="G24" s="558"/>
      <c r="H24" s="561"/>
      <c r="I24" s="556"/>
      <c r="J24" s="556"/>
      <c r="K24" s="556"/>
      <c r="L24" s="56"/>
      <c r="M24" s="56"/>
      <c r="N24" s="56"/>
      <c r="O24" s="56"/>
    </row>
    <row r="25" spans="1:15" ht="12.75">
      <c r="A25" s="196"/>
      <c r="B25" s="197"/>
      <c r="C25" s="197"/>
      <c r="D25" s="197"/>
      <c r="F25" s="556"/>
      <c r="G25" s="556"/>
      <c r="H25" s="556"/>
      <c r="I25" s="556"/>
      <c r="J25" s="556"/>
      <c r="K25" s="556"/>
      <c r="L25" s="56"/>
      <c r="M25" s="56"/>
      <c r="N25" s="56"/>
      <c r="O25" s="56"/>
    </row>
    <row r="26" spans="1:15" ht="12.75">
      <c r="A26" s="279" t="s">
        <v>430</v>
      </c>
      <c r="B26" s="197"/>
      <c r="C26" s="197"/>
      <c r="D26" s="197"/>
      <c r="F26" s="556"/>
      <c r="G26" s="556"/>
      <c r="H26" s="368"/>
      <c r="I26" s="556"/>
      <c r="J26" s="556"/>
      <c r="K26" s="556"/>
      <c r="L26" s="56"/>
      <c r="M26" s="56"/>
      <c r="N26" s="56"/>
      <c r="O26" s="56"/>
    </row>
    <row r="27" spans="1:15" ht="12.75">
      <c r="A27" s="196" t="s">
        <v>254</v>
      </c>
      <c r="B27" s="276">
        <f>+B45</f>
        <v>740487.5865783506</v>
      </c>
      <c r="C27" s="276">
        <f>+C45</f>
        <v>2528.3808565820946</v>
      </c>
      <c r="D27" s="276">
        <f>+D45</f>
        <v>572640.4942601027</v>
      </c>
      <c r="F27" s="556"/>
      <c r="G27" s="556"/>
      <c r="H27" s="368"/>
      <c r="I27" s="556"/>
      <c r="J27" s="556"/>
      <c r="K27" s="556"/>
      <c r="L27" s="56"/>
      <c r="M27" s="56"/>
      <c r="N27" s="56"/>
      <c r="O27" s="56"/>
    </row>
    <row r="28" spans="1:15" ht="12.75">
      <c r="A28" s="61" t="s">
        <v>384</v>
      </c>
      <c r="B28" s="281">
        <f>+B27</f>
        <v>740487.5865783506</v>
      </c>
      <c r="C28" s="281">
        <f>+C27</f>
        <v>2528.3808565820946</v>
      </c>
      <c r="D28" s="287">
        <f>+D27</f>
        <v>572640.4942601027</v>
      </c>
      <c r="F28" s="556"/>
      <c r="G28" s="556"/>
      <c r="H28" s="556"/>
      <c r="I28" s="556"/>
      <c r="J28" s="556"/>
      <c r="K28" s="556"/>
      <c r="L28" s="56"/>
      <c r="M28" s="56"/>
      <c r="N28" s="56"/>
      <c r="O28" s="56"/>
    </row>
    <row r="29" spans="1:15" ht="12.75">
      <c r="A29" s="61"/>
      <c r="B29" s="197"/>
      <c r="C29" s="197"/>
      <c r="D29" s="197"/>
      <c r="F29" s="556"/>
      <c r="G29" s="556"/>
      <c r="H29" s="556"/>
      <c r="I29" s="556"/>
      <c r="J29" s="556"/>
      <c r="K29" s="556"/>
      <c r="L29" s="56"/>
      <c r="M29" s="56"/>
      <c r="N29" s="56"/>
      <c r="O29" s="56"/>
    </row>
    <row r="30" spans="1:15" ht="13.5" thickBot="1">
      <c r="A30" s="61" t="s">
        <v>431</v>
      </c>
      <c r="B30" s="283">
        <f>+B24-B28</f>
        <v>1441645.9208007604</v>
      </c>
      <c r="C30" s="283">
        <f>+C24-C28</f>
        <v>211920.6864473865</v>
      </c>
      <c r="D30" s="283">
        <f>+D24-D28</f>
        <v>1480879.90660361</v>
      </c>
      <c r="E30" s="198"/>
      <c r="F30" s="556"/>
      <c r="G30" s="556"/>
      <c r="H30" s="556"/>
      <c r="I30" s="556"/>
      <c r="J30" s="556"/>
      <c r="K30" s="556"/>
      <c r="L30" s="56"/>
      <c r="M30" s="56"/>
      <c r="N30" s="56"/>
      <c r="O30" s="56"/>
    </row>
    <row r="31" spans="1:15" ht="13.5" thickTop="1">
      <c r="A31" s="196"/>
      <c r="B31" s="197"/>
      <c r="C31" s="197"/>
      <c r="D31" s="197"/>
      <c r="F31" s="556"/>
      <c r="G31" s="556"/>
      <c r="H31" s="556"/>
      <c r="I31" s="556"/>
      <c r="J31" s="556"/>
      <c r="K31" s="556"/>
      <c r="L31" s="56"/>
      <c r="M31" s="56"/>
      <c r="N31" s="56"/>
      <c r="O31" s="56"/>
    </row>
    <row r="32" spans="1:15" ht="12.75">
      <c r="A32" s="279" t="s">
        <v>432</v>
      </c>
      <c r="B32" s="197"/>
      <c r="C32" s="197"/>
      <c r="D32" s="197"/>
      <c r="F32" s="556"/>
      <c r="G32" s="556"/>
      <c r="H32" s="556"/>
      <c r="I32" s="556"/>
      <c r="J32" s="556"/>
      <c r="K32" s="556"/>
      <c r="L32" s="56"/>
      <c r="M32" s="56"/>
      <c r="N32" s="56"/>
      <c r="O32" s="56"/>
    </row>
    <row r="33" spans="1:15" ht="12.75">
      <c r="A33" s="196" t="s">
        <v>255</v>
      </c>
      <c r="B33" s="276">
        <f>'Return on Capital'!W38</f>
        <v>40494698.14447234</v>
      </c>
      <c r="C33" s="276">
        <f>'Return on Capital'!AC38</f>
        <v>46219722.42832738</v>
      </c>
      <c r="D33" s="276">
        <f>C33</f>
        <v>46219722.42832738</v>
      </c>
      <c r="F33" s="556"/>
      <c r="G33" s="556"/>
      <c r="H33" s="556"/>
      <c r="I33" s="556"/>
      <c r="J33" s="556"/>
      <c r="K33" s="556"/>
      <c r="L33" s="56"/>
      <c r="M33" s="56"/>
      <c r="N33" s="56"/>
      <c r="O33" s="56"/>
    </row>
    <row r="34" spans="1:4" ht="12.75">
      <c r="A34" s="196" t="s">
        <v>256</v>
      </c>
      <c r="B34" s="276">
        <f>'Tax rates'!B7</f>
        <v>15000000</v>
      </c>
      <c r="C34" s="276">
        <f>'Tax rates'!C7</f>
        <v>15000000</v>
      </c>
      <c r="D34" s="276">
        <f>C34</f>
        <v>15000000</v>
      </c>
    </row>
    <row r="35" spans="1:4" ht="12.75">
      <c r="A35" s="196" t="s">
        <v>257</v>
      </c>
      <c r="B35" s="281">
        <f>+B33-B34</f>
        <v>25494698.14447234</v>
      </c>
      <c r="C35" s="281">
        <f>+C33-C34</f>
        <v>31219722.42832738</v>
      </c>
      <c r="D35" s="281">
        <f>+D33-D34</f>
        <v>31219722.42832738</v>
      </c>
    </row>
    <row r="36" spans="1:4" ht="12.75">
      <c r="A36" s="196" t="s">
        <v>258</v>
      </c>
      <c r="B36" s="277">
        <f>+B35*'Tax rates'!B15</f>
        <v>57363.07082506276</v>
      </c>
      <c r="C36" s="277">
        <f>+C35*'Tax rates'!C15</f>
        <v>23414.791821245537</v>
      </c>
      <c r="D36" s="277">
        <f>+D35*'Tax rates'!C15</f>
        <v>23414.791821245537</v>
      </c>
    </row>
    <row r="37" spans="1:4" ht="12.75">
      <c r="A37" s="196"/>
      <c r="B37" s="197"/>
      <c r="C37" s="197"/>
      <c r="D37" s="197"/>
    </row>
    <row r="38" spans="1:4" ht="12.75">
      <c r="A38" s="279" t="s">
        <v>433</v>
      </c>
      <c r="B38" s="197"/>
      <c r="C38" s="197"/>
      <c r="D38" s="197"/>
    </row>
    <row r="39" spans="1:4" ht="12.75">
      <c r="A39" s="196" t="s">
        <v>259</v>
      </c>
      <c r="B39" s="276">
        <f>+B24</f>
        <v>2182133.507379111</v>
      </c>
      <c r="C39" s="276">
        <f>+C24</f>
        <v>214449.0673039686</v>
      </c>
      <c r="D39" s="276">
        <f>+D24</f>
        <v>2053520.4008637127</v>
      </c>
    </row>
    <row r="40" spans="1:4" ht="12.75">
      <c r="A40" s="196" t="s">
        <v>260</v>
      </c>
      <c r="B40" s="297">
        <f>'Tax Adjustments 2009'!F78</f>
        <v>79950.08831286058</v>
      </c>
      <c r="C40" s="297">
        <f>'Tax Adjustments 2010'!F78</f>
        <v>-186938.1613149941</v>
      </c>
      <c r="D40" s="297">
        <f>C40</f>
        <v>-186938.1613149941</v>
      </c>
    </row>
    <row r="41" spans="1:4" ht="12.75">
      <c r="A41" s="61" t="s">
        <v>412</v>
      </c>
      <c r="B41" s="281">
        <f>+B39+B40</f>
        <v>2262083.5956919715</v>
      </c>
      <c r="C41" s="281">
        <f>+C39+C40</f>
        <v>27510.905988974497</v>
      </c>
      <c r="D41" s="281">
        <f>+D39+D40</f>
        <v>1866582.2395487186</v>
      </c>
    </row>
    <row r="42" spans="1:4" ht="12.75">
      <c r="A42" s="61" t="s">
        <v>879</v>
      </c>
      <c r="B42" s="277">
        <f>+B41*B43</f>
        <v>746487.5865783506</v>
      </c>
      <c r="C42" s="277">
        <f>+C41*C43</f>
        <v>8528.380856582095</v>
      </c>
      <c r="D42" s="277">
        <f>D41*D43</f>
        <v>578640.4942601027</v>
      </c>
    </row>
    <row r="43" spans="1:6" ht="12.75">
      <c r="A43" s="196"/>
      <c r="B43" s="278">
        <f>'Tax rates'!B13</f>
        <v>0.33</v>
      </c>
      <c r="C43" s="278">
        <f>'Tax rates'!C13</f>
        <v>0.31</v>
      </c>
      <c r="D43" s="278">
        <f>C43</f>
        <v>0.31</v>
      </c>
      <c r="F43" s="358"/>
    </row>
    <row r="44" spans="1:6" ht="12.75">
      <c r="A44" s="196" t="s">
        <v>880</v>
      </c>
      <c r="B44" s="276">
        <f>'Capital Tax &amp; Expense Schedules'!H12</f>
        <v>6000</v>
      </c>
      <c r="C44" s="276">
        <f>'Capital Tax &amp; Expense Schedules'!H25</f>
        <v>6000</v>
      </c>
      <c r="D44" s="276">
        <f>C44</f>
        <v>6000</v>
      </c>
      <c r="F44" s="358"/>
    </row>
    <row r="45" spans="1:6" ht="12.75">
      <c r="A45" s="61" t="s">
        <v>881</v>
      </c>
      <c r="B45" s="362">
        <f>B42-B44</f>
        <v>740487.5865783506</v>
      </c>
      <c r="C45" s="362">
        <f>C42-C44</f>
        <v>2528.3808565820946</v>
      </c>
      <c r="D45" s="362">
        <f>D42-D44</f>
        <v>572640.4942601027</v>
      </c>
      <c r="F45" s="358"/>
    </row>
    <row r="46" spans="1:4" ht="12.75">
      <c r="A46" s="279" t="s">
        <v>436</v>
      </c>
      <c r="B46" s="197"/>
      <c r="C46" s="197"/>
      <c r="D46" s="197"/>
    </row>
    <row r="47" spans="1:4" ht="12.75">
      <c r="A47" s="196" t="s">
        <v>261</v>
      </c>
      <c r="B47" s="276">
        <f>+B33</f>
        <v>40494698.14447234</v>
      </c>
      <c r="C47" s="276">
        <f>+C33</f>
        <v>46219722.42832738</v>
      </c>
      <c r="D47" s="276">
        <f>+D33</f>
        <v>46219722.42832738</v>
      </c>
    </row>
    <row r="48" spans="1:4" ht="12.75">
      <c r="A48" s="196"/>
      <c r="B48" s="276"/>
      <c r="C48" s="276"/>
      <c r="D48" s="276"/>
    </row>
    <row r="49" spans="1:4" ht="12.75">
      <c r="A49" s="196" t="s">
        <v>262</v>
      </c>
      <c r="B49" s="276">
        <f>+B19</f>
        <v>1123420.1998657342</v>
      </c>
      <c r="C49" s="276">
        <f>+C19</f>
        <v>1821364.9079122285</v>
      </c>
      <c r="D49" s="276">
        <f>+D19</f>
        <v>1821364.9079122285</v>
      </c>
    </row>
    <row r="50" spans="1:4" ht="12.75">
      <c r="A50" s="196" t="s">
        <v>263</v>
      </c>
      <c r="B50" s="276">
        <f>+B30</f>
        <v>1441645.9208007604</v>
      </c>
      <c r="C50" s="276">
        <f>+C30</f>
        <v>211920.6864473865</v>
      </c>
      <c r="D50" s="276">
        <f>+D30</f>
        <v>1480879.90660361</v>
      </c>
    </row>
    <row r="51" spans="1:4" ht="13.5" thickBot="1">
      <c r="A51" s="61" t="s">
        <v>437</v>
      </c>
      <c r="B51" s="283">
        <f>+B49+B50</f>
        <v>2565066.1206664946</v>
      </c>
      <c r="C51" s="283">
        <f>+C49+C50</f>
        <v>2033285.594359615</v>
      </c>
      <c r="D51" s="283">
        <f>+D49+D50</f>
        <v>3302244.8145158384</v>
      </c>
    </row>
    <row r="52" spans="1:4" ht="13.5" thickTop="1">
      <c r="A52" s="196"/>
      <c r="B52" s="197"/>
      <c r="C52" s="197"/>
      <c r="D52" s="197"/>
    </row>
    <row r="53" spans="1:4" ht="12.75">
      <c r="A53" s="279" t="s">
        <v>438</v>
      </c>
      <c r="B53" s="278">
        <f>+B51/B47</f>
        <v>0.06334325820914002</v>
      </c>
      <c r="C53" s="278">
        <f>+C51/C47</f>
        <v>0.04399173096533882</v>
      </c>
      <c r="D53" s="278">
        <f>+D51/D47</f>
        <v>0.07144666045185813</v>
      </c>
    </row>
    <row r="54" spans="1:4" ht="12.75">
      <c r="A54" s="196"/>
      <c r="B54" s="197"/>
      <c r="C54" s="197"/>
      <c r="D54" s="197"/>
    </row>
    <row r="55" spans="1:4" ht="12.75">
      <c r="A55" s="279" t="s">
        <v>439</v>
      </c>
      <c r="B55" s="197"/>
      <c r="C55" s="197"/>
      <c r="D55" s="197"/>
    </row>
    <row r="56" spans="1:4" ht="12.75">
      <c r="A56" s="196" t="s">
        <v>261</v>
      </c>
      <c r="B56" s="276">
        <f>+B47</f>
        <v>40494698.14447234</v>
      </c>
      <c r="C56" s="276">
        <f>+C33</f>
        <v>46219722.42832738</v>
      </c>
      <c r="D56" s="276">
        <f>+D33</f>
        <v>46219722.42832738</v>
      </c>
    </row>
    <row r="57" spans="1:4" ht="12.75">
      <c r="A57" s="196"/>
      <c r="B57" s="197"/>
      <c r="C57" s="197"/>
      <c r="D57" s="197"/>
    </row>
    <row r="58" spans="1:4" ht="12.75">
      <c r="A58" s="279" t="s">
        <v>440</v>
      </c>
      <c r="B58" s="197"/>
      <c r="C58" s="197"/>
      <c r="D58" s="197"/>
    </row>
    <row r="59" spans="1:4" ht="12.75">
      <c r="A59" s="196" t="s">
        <v>264</v>
      </c>
      <c r="B59" s="278">
        <f>'Return on Capital'!Q11</f>
        <v>0.05</v>
      </c>
      <c r="C59" s="278">
        <f>'Return on Capital'!AC11</f>
        <v>0.06567776741976351</v>
      </c>
      <c r="D59" s="278">
        <f>C59</f>
        <v>0.06567776741976351</v>
      </c>
    </row>
    <row r="60" spans="1:4" ht="12.75">
      <c r="A60" s="196" t="s">
        <v>265</v>
      </c>
      <c r="B60" s="278">
        <f>'Return on Capital'!Q10</f>
        <v>0.09</v>
      </c>
      <c r="C60" s="278">
        <f>'Return on Capital'!AC10</f>
        <v>0.0801</v>
      </c>
      <c r="D60" s="278">
        <f>C60</f>
        <v>0.0801</v>
      </c>
    </row>
    <row r="61" spans="1:4" ht="12.75">
      <c r="A61" s="196"/>
      <c r="B61" s="197"/>
      <c r="C61" s="197"/>
      <c r="D61" s="197"/>
    </row>
    <row r="62" spans="1:4" ht="12.75">
      <c r="A62" s="196" t="s">
        <v>266</v>
      </c>
      <c r="B62" s="276">
        <f>+B59*B56*('Return on Capital'!V8+'Return on Capital'!V9)</f>
        <v>1148024.6923957907</v>
      </c>
      <c r="C62" s="276">
        <f>+C59*C56*('Return on Capital'!$AB$8+'Return on Capital'!$AB$9)</f>
        <v>1821364.9079122283</v>
      </c>
      <c r="D62" s="276">
        <f>+D59*D56*('Return on Capital'!$AB$8+'Return on Capital'!$AB$9)</f>
        <v>1821364.9079122283</v>
      </c>
    </row>
    <row r="63" spans="1:4" ht="12.75">
      <c r="A63" s="196" t="s">
        <v>267</v>
      </c>
      <c r="B63" s="276">
        <f>+B60*B56*'Return on Capital'!V10</f>
        <v>1578078.386690087</v>
      </c>
      <c r="C63" s="276">
        <f>+C60*C56*'Return on Capital'!$AB$10</f>
        <v>1480879.9066036094</v>
      </c>
      <c r="D63" s="276">
        <f>+D60*D56*'Return on Capital'!$AB$10</f>
        <v>1480879.9066036094</v>
      </c>
    </row>
    <row r="64" spans="1:4" ht="13.5" thickBot="1">
      <c r="A64" s="61" t="s">
        <v>441</v>
      </c>
      <c r="B64" s="283">
        <f>+B62+B63</f>
        <v>2726103.0790858776</v>
      </c>
      <c r="C64" s="283">
        <f>+C62+C63</f>
        <v>3302244.8145158375</v>
      </c>
      <c r="D64" s="283">
        <f>+D62+D63</f>
        <v>3302244.8145158375</v>
      </c>
    </row>
    <row r="65" spans="1:4" ht="13.5" thickTop="1">
      <c r="A65" s="196"/>
      <c r="B65" s="197"/>
      <c r="C65" s="197"/>
      <c r="D65" s="197"/>
    </row>
    <row r="66" spans="1:4" ht="12.75">
      <c r="A66" s="279" t="s">
        <v>442</v>
      </c>
      <c r="B66" s="278">
        <f>+B64/B56</f>
        <v>0.06731999999999999</v>
      </c>
      <c r="C66" s="278">
        <f>+C64/C56</f>
        <v>0.07144666045185812</v>
      </c>
      <c r="D66" s="278">
        <f>+D64/D56</f>
        <v>0.07144666045185812</v>
      </c>
    </row>
    <row r="67" spans="1:4" ht="12.75">
      <c r="A67" s="196"/>
      <c r="B67" s="197"/>
      <c r="C67" s="197"/>
      <c r="D67" s="197"/>
    </row>
    <row r="68" spans="1:4" ht="12.75">
      <c r="A68" s="280" t="s">
        <v>443</v>
      </c>
      <c r="B68" s="281">
        <f>(+B66-B53)*B56</f>
        <v>161036.9584193827</v>
      </c>
      <c r="C68" s="281">
        <f>+C64-C51</f>
        <v>1268959.2201562226</v>
      </c>
      <c r="D68" s="281">
        <f>(+D66-D53)*D56</f>
        <v>-6.414275003964101E-10</v>
      </c>
    </row>
    <row r="69" spans="1:4" ht="13.5" thickBot="1">
      <c r="A69" s="280" t="s">
        <v>444</v>
      </c>
      <c r="B69" s="283">
        <f>+B68/(1-B43)</f>
        <v>240353.66928266076</v>
      </c>
      <c r="C69" s="284">
        <f>+C68/(1-C43)</f>
        <v>1839071.3335597431</v>
      </c>
      <c r="D69" s="283">
        <f>+D68/(1-D43)</f>
        <v>-9.296050730382757E-10</v>
      </c>
    </row>
    <row r="70" ht="14.25" thickBot="1" thickTop="1">
      <c r="B70" s="200"/>
    </row>
    <row r="71" spans="1:5" ht="6" customHeight="1">
      <c r="A71" s="43"/>
      <c r="B71" s="44"/>
      <c r="C71" s="44"/>
      <c r="D71" s="44"/>
      <c r="E71" s="45"/>
    </row>
    <row r="72" spans="1:5" ht="20.25">
      <c r="A72" s="233" t="s">
        <v>286</v>
      </c>
      <c r="B72" s="56"/>
      <c r="C72" s="56"/>
      <c r="D72" s="234">
        <v>2010</v>
      </c>
      <c r="E72" s="55"/>
    </row>
    <row r="73" spans="1:5" ht="12.75">
      <c r="A73" s="46"/>
      <c r="B73" s="56"/>
      <c r="C73" s="56"/>
      <c r="D73" s="56"/>
      <c r="E73" s="55"/>
    </row>
    <row r="74" spans="1:5" ht="12.75">
      <c r="A74" s="46" t="s">
        <v>288</v>
      </c>
      <c r="B74" s="56"/>
      <c r="C74" s="56"/>
      <c r="D74" s="232">
        <f>D30</f>
        <v>1480879.90660361</v>
      </c>
      <c r="E74" s="55"/>
    </row>
    <row r="75" spans="1:5" ht="12.75">
      <c r="A75" s="46" t="str">
        <f>A40</f>
        <v>    Tax Adjustments to Accounting Income</v>
      </c>
      <c r="B75" s="56"/>
      <c r="C75" s="56"/>
      <c r="D75" s="297">
        <f>D40</f>
        <v>-186938.1613149941</v>
      </c>
      <c r="E75" s="55"/>
    </row>
    <row r="76" spans="1:5" ht="12.75">
      <c r="A76" s="230" t="s">
        <v>289</v>
      </c>
      <c r="B76" s="56"/>
      <c r="C76" s="56"/>
      <c r="D76" s="285">
        <f>D74+D75</f>
        <v>1293941.7452886158</v>
      </c>
      <c r="E76" s="55"/>
    </row>
    <row r="77" spans="1:5" ht="12.75">
      <c r="A77" s="46" t="s">
        <v>287</v>
      </c>
      <c r="B77" s="56"/>
      <c r="C77" s="56"/>
      <c r="D77" s="222">
        <f>D43</f>
        <v>0.31</v>
      </c>
      <c r="E77" s="55"/>
    </row>
    <row r="78" spans="1:5" ht="12.75">
      <c r="A78" s="46" t="s">
        <v>291</v>
      </c>
      <c r="B78" s="56"/>
      <c r="C78" s="56"/>
      <c r="D78" s="285">
        <f>D76*D77</f>
        <v>401121.9410394709</v>
      </c>
      <c r="E78" s="55"/>
    </row>
    <row r="79" spans="1:5" ht="13.5" thickBot="1">
      <c r="A79" s="230" t="s">
        <v>290</v>
      </c>
      <c r="B79" s="56"/>
      <c r="C79" s="56"/>
      <c r="D79" s="286">
        <f>D78/(1-D77)</f>
        <v>581336.1464340158</v>
      </c>
      <c r="E79" s="55"/>
    </row>
    <row r="80" spans="1:5" ht="13.5" thickTop="1">
      <c r="A80" s="230"/>
      <c r="B80" s="56"/>
      <c r="C80" s="56"/>
      <c r="D80" s="364">
        <f>D44/(1-D77)</f>
        <v>8695.652173913044</v>
      </c>
      <c r="E80" s="55"/>
    </row>
    <row r="81" spans="1:6" ht="12.75">
      <c r="A81" s="230"/>
      <c r="B81" s="56"/>
      <c r="C81" s="56"/>
      <c r="D81" s="363">
        <f>D79-D80</f>
        <v>572640.4942601027</v>
      </c>
      <c r="E81" s="55"/>
      <c r="F81" s="310">
        <f>D81-'Capital Tax &amp; Expense Schedules'!H27</f>
        <v>0</v>
      </c>
    </row>
    <row r="82" spans="1:5" ht="8.25" customHeight="1" thickBot="1">
      <c r="A82" s="49"/>
      <c r="B82" s="50"/>
      <c r="C82" s="50"/>
      <c r="D82" s="50"/>
      <c r="E82" s="51"/>
    </row>
  </sheetData>
  <mergeCells count="5">
    <mergeCell ref="F4:J4"/>
    <mergeCell ref="A3:D3"/>
    <mergeCell ref="A4:D4"/>
    <mergeCell ref="A1:D1"/>
    <mergeCell ref="A2:D2"/>
  </mergeCells>
  <printOptions horizontalCentered="1"/>
  <pageMargins left="0.48" right="0.25" top="0.5" bottom="0.48" header="0.25" footer="0.25"/>
  <pageSetup fitToHeight="200" fitToWidth="1" horizontalDpi="355" verticalDpi="355" orientation="portrait" scale="50" r:id="rId3"/>
  <headerFooter alignWithMargins="0">
    <oddFooter>&amp;L&amp;A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view="pageBreakPreview" zoomScaleSheetLayoutView="100" workbookViewId="0" topLeftCell="A1">
      <pane xSplit="3" ySplit="9" topLeftCell="D10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D10" sqref="D10"/>
    </sheetView>
  </sheetViews>
  <sheetFormatPr defaultColWidth="9.140625" defaultRowHeight="12.75"/>
  <cols>
    <col min="1" max="1" width="7.57421875" style="25" customWidth="1"/>
    <col min="2" max="2" width="5.00390625" style="240" bestFit="1" customWidth="1"/>
    <col min="3" max="3" width="43.57421875" style="239" bestFit="1" customWidth="1"/>
    <col min="4" max="4" width="12.140625" style="239" customWidth="1"/>
    <col min="5" max="6" width="10.7109375" style="239" customWidth="1"/>
    <col min="7" max="7" width="12.140625" style="239" customWidth="1"/>
    <col min="8" max="8" width="0.9921875" style="239" customWidth="1"/>
    <col min="9" max="9" width="12.140625" style="239" customWidth="1"/>
    <col min="10" max="11" width="10.7109375" style="239" customWidth="1"/>
    <col min="12" max="13" width="12.140625" style="239" customWidth="1"/>
  </cols>
  <sheetData>
    <row r="1" spans="1:13" ht="12.75">
      <c r="A1" s="441" t="str">
        <f>'Trial Balance'!A1:J1</f>
        <v>North Bay Hydro Distribution Ltd.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13" ht="12.75">
      <c r="A2" s="441" t="str">
        <f>'Trial Balance'!A2:J2</f>
        <v>License Number ED-2003-0024, File Number EB-2009-0270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1:13" ht="12.75">
      <c r="A3" s="444"/>
      <c r="B3" s="444"/>
      <c r="C3" s="444"/>
      <c r="D3" s="236"/>
      <c r="E3" s="236"/>
      <c r="F3" s="371"/>
      <c r="G3" s="371"/>
      <c r="H3" s="237"/>
      <c r="I3" s="238"/>
      <c r="J3" s="238"/>
      <c r="K3" s="238"/>
      <c r="L3" s="238"/>
      <c r="M3" s="238"/>
    </row>
    <row r="4" spans="1:13" ht="12.75">
      <c r="A4" s="444" t="s">
        <v>231</v>
      </c>
      <c r="B4" s="444"/>
      <c r="C4" s="444"/>
      <c r="D4" s="236"/>
      <c r="E4" s="236"/>
      <c r="F4" s="371"/>
      <c r="G4" s="380"/>
      <c r="H4" s="237"/>
      <c r="I4" s="238"/>
      <c r="J4" s="238"/>
      <c r="K4" s="238"/>
      <c r="L4" s="238"/>
      <c r="M4" s="238"/>
    </row>
    <row r="5" spans="1:13" ht="12.75">
      <c r="A5" s="444" t="s">
        <v>884</v>
      </c>
      <c r="B5" s="444"/>
      <c r="C5" s="444"/>
      <c r="D5" s="236"/>
      <c r="E5" s="236"/>
      <c r="F5" s="371"/>
      <c r="G5" s="380"/>
      <c r="H5" s="237"/>
      <c r="I5" s="238"/>
      <c r="J5" s="238"/>
      <c r="K5" s="238"/>
      <c r="L5" s="238"/>
      <c r="M5" s="238"/>
    </row>
    <row r="6" spans="4:13" ht="12.75">
      <c r="D6" s="442" t="s">
        <v>274</v>
      </c>
      <c r="E6" s="442"/>
      <c r="F6" s="442"/>
      <c r="G6" s="442"/>
      <c r="H6" s="237"/>
      <c r="I6" s="442" t="s">
        <v>275</v>
      </c>
      <c r="J6" s="442"/>
      <c r="K6" s="442"/>
      <c r="L6" s="442"/>
      <c r="M6" s="238"/>
    </row>
    <row r="7" spans="3:13" ht="12.75">
      <c r="C7" s="235"/>
      <c r="D7" s="443"/>
      <c r="E7" s="443"/>
      <c r="F7" s="443"/>
      <c r="G7" s="443"/>
      <c r="H7" s="237"/>
      <c r="I7" s="443"/>
      <c r="J7" s="443"/>
      <c r="K7" s="443"/>
      <c r="L7" s="443"/>
      <c r="M7" s="238"/>
    </row>
    <row r="8" spans="1:13" ht="12.75">
      <c r="A8" s="446" t="s">
        <v>223</v>
      </c>
      <c r="B8" s="446" t="s">
        <v>516</v>
      </c>
      <c r="C8" s="446" t="s">
        <v>189</v>
      </c>
      <c r="D8" s="446" t="s">
        <v>239</v>
      </c>
      <c r="E8" s="446" t="s">
        <v>340</v>
      </c>
      <c r="F8" s="446" t="s">
        <v>341</v>
      </c>
      <c r="G8" s="446" t="s">
        <v>240</v>
      </c>
      <c r="H8" s="448"/>
      <c r="I8" s="446" t="s">
        <v>239</v>
      </c>
      <c r="J8" s="446" t="s">
        <v>340</v>
      </c>
      <c r="K8" s="446" t="s">
        <v>341</v>
      </c>
      <c r="L8" s="446" t="s">
        <v>240</v>
      </c>
      <c r="M8" s="446" t="s">
        <v>241</v>
      </c>
    </row>
    <row r="9" spans="1:13" ht="12.75">
      <c r="A9" s="447"/>
      <c r="B9" s="447"/>
      <c r="C9" s="447"/>
      <c r="D9" s="447" t="s">
        <v>276</v>
      </c>
      <c r="E9" s="447" t="s">
        <v>340</v>
      </c>
      <c r="F9" s="447"/>
      <c r="G9" s="447"/>
      <c r="H9" s="448"/>
      <c r="I9" s="447" t="s">
        <v>276</v>
      </c>
      <c r="J9" s="447" t="s">
        <v>340</v>
      </c>
      <c r="K9" s="447"/>
      <c r="L9" s="447"/>
      <c r="M9" s="447"/>
    </row>
    <row r="10" spans="1:13" ht="12.75">
      <c r="A10" s="92" t="s">
        <v>224</v>
      </c>
      <c r="B10" s="249">
        <f>+'Trial Balance'!A80</f>
        <v>1805</v>
      </c>
      <c r="C10" s="313" t="str">
        <f>+'Trial Balance'!B80</f>
        <v>Land</v>
      </c>
      <c r="D10" s="409">
        <f>+'FA Continuity 2004'!G10</f>
        <v>311178.69</v>
      </c>
      <c r="E10" s="406"/>
      <c r="F10" s="406"/>
      <c r="G10" s="408">
        <f aca="true" t="shared" si="0" ref="G10:G46">D10+E10-F10</f>
        <v>311178.69</v>
      </c>
      <c r="H10" s="448"/>
      <c r="I10" s="409">
        <f>+'FA Continuity 2004'!L10</f>
        <v>0</v>
      </c>
      <c r="J10" s="406"/>
      <c r="K10" s="406"/>
      <c r="L10" s="408">
        <f aca="true" t="shared" si="1" ref="L10:L46">I10+J10-K10</f>
        <v>0</v>
      </c>
      <c r="M10" s="408">
        <f aca="true" t="shared" si="2" ref="M10:M46">G10-L10</f>
        <v>311178.69</v>
      </c>
    </row>
    <row r="11" spans="1:13" ht="12.75">
      <c r="A11" s="92" t="s">
        <v>504</v>
      </c>
      <c r="B11" s="249">
        <f>+'Trial Balance'!A81</f>
        <v>1806</v>
      </c>
      <c r="C11" s="313" t="str">
        <f>+'Trial Balance'!B81</f>
        <v>Land Rights</v>
      </c>
      <c r="D11" s="409">
        <f>+'FA Continuity 2004'!G11</f>
        <v>0</v>
      </c>
      <c r="E11" s="406"/>
      <c r="F11" s="406"/>
      <c r="G11" s="408">
        <f t="shared" si="0"/>
        <v>0</v>
      </c>
      <c r="H11" s="448"/>
      <c r="I11" s="409">
        <f>+'FA Continuity 2004'!L11</f>
        <v>0</v>
      </c>
      <c r="J11" s="406"/>
      <c r="K11" s="406"/>
      <c r="L11" s="408">
        <f t="shared" si="1"/>
        <v>0</v>
      </c>
      <c r="M11" s="408">
        <f t="shared" si="2"/>
        <v>0</v>
      </c>
    </row>
    <row r="12" spans="1:13" ht="12.75">
      <c r="A12" s="92">
        <v>1</v>
      </c>
      <c r="B12" s="249">
        <f>+'Trial Balance'!A82</f>
        <v>1808</v>
      </c>
      <c r="C12" s="313" t="str">
        <f>+'Trial Balance'!B82</f>
        <v>Buildings and Fixtures</v>
      </c>
      <c r="D12" s="409">
        <f>+'FA Continuity 2004'!G12</f>
        <v>767945.81</v>
      </c>
      <c r="E12" s="406"/>
      <c r="F12" s="406"/>
      <c r="G12" s="408">
        <f t="shared" si="0"/>
        <v>767945.81</v>
      </c>
      <c r="H12" s="448"/>
      <c r="I12" s="409">
        <f>+'FA Continuity 2004'!L12</f>
        <v>212675.81</v>
      </c>
      <c r="J12" s="406">
        <v>13455</v>
      </c>
      <c r="K12" s="406"/>
      <c r="L12" s="408">
        <f t="shared" si="1"/>
        <v>226130.81</v>
      </c>
      <c r="M12" s="408">
        <f t="shared" si="2"/>
        <v>541815</v>
      </c>
    </row>
    <row r="13" spans="1:13" ht="12.75">
      <c r="A13" s="92"/>
      <c r="B13" s="249">
        <f>+'Trial Balance'!A83</f>
        <v>1810</v>
      </c>
      <c r="C13" s="313" t="str">
        <f>+'Trial Balance'!B83</f>
        <v>Leasehold Improvements</v>
      </c>
      <c r="D13" s="409">
        <f>+'FA Continuity 2004'!G13</f>
        <v>0</v>
      </c>
      <c r="E13" s="406"/>
      <c r="F13" s="406"/>
      <c r="G13" s="408">
        <f t="shared" si="0"/>
        <v>0</v>
      </c>
      <c r="H13" s="448"/>
      <c r="I13" s="409">
        <f>+'FA Continuity 2004'!L13</f>
        <v>0</v>
      </c>
      <c r="J13" s="406"/>
      <c r="K13" s="406"/>
      <c r="L13" s="408">
        <f t="shared" si="1"/>
        <v>0</v>
      </c>
      <c r="M13" s="408">
        <f t="shared" si="2"/>
        <v>0</v>
      </c>
    </row>
    <row r="14" spans="1:13" ht="12.75">
      <c r="A14" s="92"/>
      <c r="B14" s="249">
        <f>+'Trial Balance'!A84</f>
        <v>1815</v>
      </c>
      <c r="C14" s="313" t="str">
        <f>+'Trial Balance'!B84</f>
        <v>Transformer Station Equipment -  &gt; 50 kV</v>
      </c>
      <c r="D14" s="409">
        <f>+'FA Continuity 2004'!G14</f>
        <v>0</v>
      </c>
      <c r="E14" s="406"/>
      <c r="F14" s="406"/>
      <c r="G14" s="408">
        <f t="shared" si="0"/>
        <v>0</v>
      </c>
      <c r="H14" s="448"/>
      <c r="I14" s="409">
        <f>+'FA Continuity 2004'!L14</f>
        <v>0</v>
      </c>
      <c r="J14" s="406"/>
      <c r="K14" s="406"/>
      <c r="L14" s="408">
        <f t="shared" si="1"/>
        <v>0</v>
      </c>
      <c r="M14" s="408">
        <f t="shared" si="2"/>
        <v>0</v>
      </c>
    </row>
    <row r="15" spans="1:13" ht="12.75">
      <c r="A15" s="92">
        <v>1</v>
      </c>
      <c r="B15" s="249">
        <f>+'Trial Balance'!A85</f>
        <v>1820</v>
      </c>
      <c r="C15" s="313" t="str">
        <f>+'Trial Balance'!B85</f>
        <v>Distribution Station Equipment - &lt; 50 kV</v>
      </c>
      <c r="D15" s="409">
        <f>+'FA Continuity 2004'!G15</f>
        <v>6387702.5600000005</v>
      </c>
      <c r="E15" s="406">
        <v>166582.7</v>
      </c>
      <c r="F15" s="406"/>
      <c r="G15" s="408">
        <f t="shared" si="0"/>
        <v>6554285.260000001</v>
      </c>
      <c r="H15" s="448"/>
      <c r="I15" s="409">
        <f>+'FA Continuity 2004'!L15</f>
        <v>2403706.8200000003</v>
      </c>
      <c r="J15" s="406">
        <v>202756.73</v>
      </c>
      <c r="K15" s="406"/>
      <c r="L15" s="408">
        <f t="shared" si="1"/>
        <v>2606463.5500000003</v>
      </c>
      <c r="M15" s="408">
        <f t="shared" si="2"/>
        <v>3947821.7100000004</v>
      </c>
    </row>
    <row r="16" spans="1:13" ht="12.75">
      <c r="A16" s="92"/>
      <c r="B16" s="249">
        <f>+'Trial Balance'!A86</f>
        <v>1825</v>
      </c>
      <c r="C16" s="313" t="str">
        <f>+'Trial Balance'!B86</f>
        <v>Storage Battery Equipment</v>
      </c>
      <c r="D16" s="409">
        <f>+'FA Continuity 2004'!G16</f>
        <v>0</v>
      </c>
      <c r="E16" s="406"/>
      <c r="F16" s="406"/>
      <c r="G16" s="408">
        <f t="shared" si="0"/>
        <v>0</v>
      </c>
      <c r="H16" s="448"/>
      <c r="I16" s="409">
        <f>+'FA Continuity 2004'!L16</f>
        <v>0</v>
      </c>
      <c r="J16" s="406"/>
      <c r="K16" s="406"/>
      <c r="L16" s="408">
        <f t="shared" si="1"/>
        <v>0</v>
      </c>
      <c r="M16" s="408">
        <f t="shared" si="2"/>
        <v>0</v>
      </c>
    </row>
    <row r="17" spans="1:13" ht="12.75">
      <c r="A17" s="92">
        <v>1</v>
      </c>
      <c r="B17" s="249">
        <f>+'Trial Balance'!A87</f>
        <v>1830</v>
      </c>
      <c r="C17" s="313" t="str">
        <f>+'Trial Balance'!B87</f>
        <v>Poles, Towers and Fixtures</v>
      </c>
      <c r="D17" s="409">
        <f>+'FA Continuity 2004'!G17</f>
        <v>13259889.74</v>
      </c>
      <c r="E17" s="406">
        <v>464325.93</v>
      </c>
      <c r="F17" s="406"/>
      <c r="G17" s="408">
        <f t="shared" si="0"/>
        <v>13724215.67</v>
      </c>
      <c r="H17" s="448"/>
      <c r="I17" s="409">
        <f>+'FA Continuity 2004'!L17</f>
        <v>7482020.59</v>
      </c>
      <c r="J17" s="406">
        <v>430832.15</v>
      </c>
      <c r="K17" s="406"/>
      <c r="L17" s="408">
        <f t="shared" si="1"/>
        <v>7912852.74</v>
      </c>
      <c r="M17" s="408">
        <f t="shared" si="2"/>
        <v>5811362.93</v>
      </c>
    </row>
    <row r="18" spans="1:13" ht="12.75">
      <c r="A18" s="92">
        <v>1</v>
      </c>
      <c r="B18" s="249">
        <f>+'Trial Balance'!A88</f>
        <v>1835</v>
      </c>
      <c r="C18" s="313" t="str">
        <f>+'Trial Balance'!B88</f>
        <v>Overhead Conductors and Devices</v>
      </c>
      <c r="D18" s="409">
        <f>+'FA Continuity 2004'!G18</f>
        <v>10233939.629999999</v>
      </c>
      <c r="E18" s="406">
        <v>478914.19</v>
      </c>
      <c r="F18" s="406"/>
      <c r="G18" s="408">
        <f t="shared" si="0"/>
        <v>10712853.819999998</v>
      </c>
      <c r="H18" s="448"/>
      <c r="I18" s="409">
        <f>+'FA Continuity 2004'!L18</f>
        <v>5553562.13</v>
      </c>
      <c r="J18" s="406">
        <v>341917.49</v>
      </c>
      <c r="K18" s="406"/>
      <c r="L18" s="408">
        <f t="shared" si="1"/>
        <v>5895479.62</v>
      </c>
      <c r="M18" s="408">
        <f t="shared" si="2"/>
        <v>4817374.199999998</v>
      </c>
    </row>
    <row r="19" spans="1:13" ht="12.75">
      <c r="A19" s="92">
        <v>1</v>
      </c>
      <c r="B19" s="249">
        <f>+'Trial Balance'!A89</f>
        <v>1840</v>
      </c>
      <c r="C19" s="313" t="str">
        <f>+'Trial Balance'!B89</f>
        <v>Underground Conduit</v>
      </c>
      <c r="D19" s="409">
        <f>+'FA Continuity 2004'!G19</f>
        <v>182102.89</v>
      </c>
      <c r="E19" s="406">
        <v>23328.62</v>
      </c>
      <c r="F19" s="406"/>
      <c r="G19" s="408">
        <f t="shared" si="0"/>
        <v>205431.51</v>
      </c>
      <c r="H19" s="448"/>
      <c r="I19" s="409">
        <f>+'FA Continuity 2004'!L19</f>
        <v>22208.39</v>
      </c>
      <c r="J19" s="406">
        <v>8220.62</v>
      </c>
      <c r="K19" s="406"/>
      <c r="L19" s="408">
        <f t="shared" si="1"/>
        <v>30429.010000000002</v>
      </c>
      <c r="M19" s="408">
        <f t="shared" si="2"/>
        <v>175002.5</v>
      </c>
    </row>
    <row r="20" spans="1:13" ht="12.75">
      <c r="A20" s="92">
        <v>1</v>
      </c>
      <c r="B20" s="249">
        <f>+'Trial Balance'!A90</f>
        <v>1845</v>
      </c>
      <c r="C20" s="313" t="str">
        <f>+'Trial Balance'!B90</f>
        <v>Underground Conductors and Devices</v>
      </c>
      <c r="D20" s="409">
        <f>+'FA Continuity 2004'!G20</f>
        <v>5316775.49</v>
      </c>
      <c r="E20" s="406">
        <v>89595.87</v>
      </c>
      <c r="F20" s="406"/>
      <c r="G20" s="408">
        <f t="shared" si="0"/>
        <v>5406371.36</v>
      </c>
      <c r="H20" s="448"/>
      <c r="I20" s="409">
        <f>+'FA Continuity 2004'!L20</f>
        <v>2922582.23</v>
      </c>
      <c r="J20" s="406">
        <v>194682.1</v>
      </c>
      <c r="K20" s="406"/>
      <c r="L20" s="408">
        <f t="shared" si="1"/>
        <v>3117264.33</v>
      </c>
      <c r="M20" s="408">
        <f t="shared" si="2"/>
        <v>2289107.0300000003</v>
      </c>
    </row>
    <row r="21" spans="1:13" ht="12.75">
      <c r="A21" s="92">
        <v>1</v>
      </c>
      <c r="B21" s="249">
        <f>+'Trial Balance'!A91</f>
        <v>1850</v>
      </c>
      <c r="C21" s="313" t="str">
        <f>+'Trial Balance'!B91</f>
        <v>Line Transformers</v>
      </c>
      <c r="D21" s="409">
        <f>+'FA Continuity 2004'!G21</f>
        <v>11106694.870000001</v>
      </c>
      <c r="E21" s="406">
        <v>234825.93</v>
      </c>
      <c r="F21" s="406"/>
      <c r="G21" s="408">
        <f t="shared" si="0"/>
        <v>11341520.8</v>
      </c>
      <c r="H21" s="448"/>
      <c r="I21" s="409">
        <f>+'FA Continuity 2004'!L21</f>
        <v>6222096.13</v>
      </c>
      <c r="J21" s="406">
        <v>320480.81</v>
      </c>
      <c r="K21" s="406"/>
      <c r="L21" s="408">
        <f t="shared" si="1"/>
        <v>6542576.9399999995</v>
      </c>
      <c r="M21" s="408">
        <f t="shared" si="2"/>
        <v>4798943.860000001</v>
      </c>
    </row>
    <row r="22" spans="1:13" ht="12.75">
      <c r="A22" s="92">
        <v>1</v>
      </c>
      <c r="B22" s="249">
        <f>+'Trial Balance'!A92</f>
        <v>1855</v>
      </c>
      <c r="C22" s="313" t="str">
        <f>+'Trial Balance'!B92</f>
        <v>Services</v>
      </c>
      <c r="D22" s="409">
        <f>+'FA Continuity 2004'!G22</f>
        <v>7197925.899999999</v>
      </c>
      <c r="E22" s="406">
        <v>499457</v>
      </c>
      <c r="F22" s="406"/>
      <c r="G22" s="408">
        <f t="shared" si="0"/>
        <v>7697382.899999999</v>
      </c>
      <c r="H22" s="448"/>
      <c r="I22" s="409">
        <f>+'FA Continuity 2004'!L22</f>
        <v>3347132.9099999997</v>
      </c>
      <c r="J22" s="406">
        <v>274752.06</v>
      </c>
      <c r="K22" s="406"/>
      <c r="L22" s="408">
        <f t="shared" si="1"/>
        <v>3621884.9699999997</v>
      </c>
      <c r="M22" s="408">
        <f t="shared" si="2"/>
        <v>4075497.9299999997</v>
      </c>
    </row>
    <row r="23" spans="1:13" ht="12.75">
      <c r="A23" s="92">
        <v>1</v>
      </c>
      <c r="B23" s="249">
        <f>+'Trial Balance'!A93</f>
        <v>1860</v>
      </c>
      <c r="C23" s="313" t="str">
        <f>+'Trial Balance'!B93</f>
        <v>Meters</v>
      </c>
      <c r="D23" s="409">
        <f>+'FA Continuity 2004'!G23</f>
        <v>3081416.43</v>
      </c>
      <c r="E23" s="406">
        <v>243090.1</v>
      </c>
      <c r="F23" s="406"/>
      <c r="G23" s="408">
        <f t="shared" si="0"/>
        <v>3324506.5300000003</v>
      </c>
      <c r="H23" s="448"/>
      <c r="I23" s="409">
        <f>+'FA Continuity 2004'!L23</f>
        <v>1894455.46</v>
      </c>
      <c r="J23" s="406">
        <v>93363.08</v>
      </c>
      <c r="K23" s="406"/>
      <c r="L23" s="408">
        <f t="shared" si="1"/>
        <v>1987818.54</v>
      </c>
      <c r="M23" s="408">
        <f t="shared" si="2"/>
        <v>1336687.9900000002</v>
      </c>
    </row>
    <row r="24" spans="1:13" ht="12.75">
      <c r="A24" s="92"/>
      <c r="B24" s="249">
        <f>+'Trial Balance'!A94</f>
        <v>1865</v>
      </c>
      <c r="C24" s="313" t="str">
        <f>+'Trial Balance'!B94</f>
        <v>Other Installations on Customer's Premises</v>
      </c>
      <c r="D24" s="409">
        <f>+'FA Continuity 2004'!G24</f>
        <v>0</v>
      </c>
      <c r="E24" s="406"/>
      <c r="F24" s="406"/>
      <c r="G24" s="408">
        <f t="shared" si="0"/>
        <v>0</v>
      </c>
      <c r="H24" s="448"/>
      <c r="I24" s="409">
        <f>+'FA Continuity 2004'!L24</f>
        <v>0</v>
      </c>
      <c r="J24" s="406"/>
      <c r="K24" s="406"/>
      <c r="L24" s="408">
        <f t="shared" si="1"/>
        <v>0</v>
      </c>
      <c r="M24" s="408">
        <f t="shared" si="2"/>
        <v>0</v>
      </c>
    </row>
    <row r="25" spans="1:13" ht="12.75">
      <c r="A25" s="92" t="s">
        <v>224</v>
      </c>
      <c r="B25" s="249">
        <f>+'Trial Balance'!A95</f>
        <v>1905</v>
      </c>
      <c r="C25" s="313" t="str">
        <f>+'Trial Balance'!B95</f>
        <v>Land</v>
      </c>
      <c r="D25" s="409">
        <f>+'FA Continuity 2004'!G25</f>
        <v>86550.51</v>
      </c>
      <c r="E25" s="406"/>
      <c r="F25" s="406"/>
      <c r="G25" s="408">
        <f t="shared" si="0"/>
        <v>86550.51</v>
      </c>
      <c r="H25" s="448"/>
      <c r="I25" s="409">
        <f>+'FA Continuity 2004'!L25</f>
        <v>0</v>
      </c>
      <c r="J25" s="406"/>
      <c r="K25" s="406"/>
      <c r="L25" s="408">
        <f t="shared" si="1"/>
        <v>0</v>
      </c>
      <c r="M25" s="408">
        <f t="shared" si="2"/>
        <v>86550.51</v>
      </c>
    </row>
    <row r="26" spans="1:13" ht="12.75">
      <c r="A26" s="92" t="s">
        <v>504</v>
      </c>
      <c r="B26" s="249">
        <f>+'Trial Balance'!A96</f>
        <v>1906</v>
      </c>
      <c r="C26" s="313" t="str">
        <f>+'Trial Balance'!B96</f>
        <v>Land Rights</v>
      </c>
      <c r="D26" s="409">
        <f>+'FA Continuity 2004'!G26</f>
        <v>0</v>
      </c>
      <c r="E26" s="406"/>
      <c r="F26" s="406"/>
      <c r="G26" s="408">
        <f t="shared" si="0"/>
        <v>0</v>
      </c>
      <c r="H26" s="448"/>
      <c r="I26" s="409">
        <f>+'FA Continuity 2004'!L26</f>
        <v>0</v>
      </c>
      <c r="J26" s="406"/>
      <c r="K26" s="406"/>
      <c r="L26" s="408">
        <f t="shared" si="1"/>
        <v>0</v>
      </c>
      <c r="M26" s="408">
        <f t="shared" si="2"/>
        <v>0</v>
      </c>
    </row>
    <row r="27" spans="1:13" ht="12.75">
      <c r="A27" s="92">
        <v>1</v>
      </c>
      <c r="B27" s="249">
        <f>+'Trial Balance'!A97</f>
        <v>1908</v>
      </c>
      <c r="C27" s="313" t="str">
        <f>+'Trial Balance'!B97</f>
        <v>Buildings and Fixtures</v>
      </c>
      <c r="D27" s="409">
        <f>+'FA Continuity 2004'!G27</f>
        <v>1438062.4300000002</v>
      </c>
      <c r="E27" s="406">
        <v>7230.86</v>
      </c>
      <c r="F27" s="406"/>
      <c r="G27" s="408">
        <f t="shared" si="0"/>
        <v>1445293.2900000003</v>
      </c>
      <c r="H27" s="448"/>
      <c r="I27" s="409">
        <f>+'FA Continuity 2004'!L27</f>
        <v>757548.94</v>
      </c>
      <c r="J27" s="406">
        <v>57612.21</v>
      </c>
      <c r="K27" s="406"/>
      <c r="L27" s="408">
        <f t="shared" si="1"/>
        <v>815161.1499999999</v>
      </c>
      <c r="M27" s="408">
        <f t="shared" si="2"/>
        <v>630132.1400000004</v>
      </c>
    </row>
    <row r="28" spans="1:13" ht="12.75">
      <c r="A28" s="92"/>
      <c r="B28" s="249">
        <f>+'Trial Balance'!A98</f>
        <v>1910</v>
      </c>
      <c r="C28" s="313" t="str">
        <f>+'Trial Balance'!B98</f>
        <v>Leasehold Improvements</v>
      </c>
      <c r="D28" s="409">
        <f>+'FA Continuity 2004'!G28</f>
        <v>0</v>
      </c>
      <c r="E28" s="406"/>
      <c r="F28" s="406"/>
      <c r="G28" s="408">
        <f t="shared" si="0"/>
        <v>0</v>
      </c>
      <c r="H28" s="448"/>
      <c r="I28" s="409">
        <f>+'FA Continuity 2004'!L28</f>
        <v>0</v>
      </c>
      <c r="J28" s="406"/>
      <c r="K28" s="406"/>
      <c r="L28" s="408">
        <f t="shared" si="1"/>
        <v>0</v>
      </c>
      <c r="M28" s="408">
        <f t="shared" si="2"/>
        <v>0</v>
      </c>
    </row>
    <row r="29" spans="1:13" ht="12.75">
      <c r="A29" s="92">
        <v>8</v>
      </c>
      <c r="B29" s="249">
        <f>+'Trial Balance'!A99</f>
        <v>1915</v>
      </c>
      <c r="C29" s="313" t="str">
        <f>+'Trial Balance'!B99</f>
        <v>Office Furniture and Equipment</v>
      </c>
      <c r="D29" s="409">
        <f>+'FA Continuity 2004'!G29</f>
        <v>269315.55</v>
      </c>
      <c r="E29" s="406">
        <v>1727.62</v>
      </c>
      <c r="F29" s="406"/>
      <c r="G29" s="408">
        <f t="shared" si="0"/>
        <v>271043.17</v>
      </c>
      <c r="H29" s="448"/>
      <c r="I29" s="409">
        <f>+'FA Continuity 2004'!L29</f>
        <v>241491.55</v>
      </c>
      <c r="J29" s="406">
        <v>9255.62</v>
      </c>
      <c r="K29" s="406"/>
      <c r="L29" s="408">
        <f t="shared" si="1"/>
        <v>250747.16999999998</v>
      </c>
      <c r="M29" s="408">
        <f t="shared" si="2"/>
        <v>20296</v>
      </c>
    </row>
    <row r="30" spans="1:13" ht="12.75">
      <c r="A30" s="92">
        <v>45</v>
      </c>
      <c r="B30" s="249">
        <f>+'Trial Balance'!A100</f>
        <v>1920</v>
      </c>
      <c r="C30" s="313" t="str">
        <f>+'Trial Balance'!B100</f>
        <v>Computer Equipment - Hardware</v>
      </c>
      <c r="D30" s="409">
        <f>+'FA Continuity 2004'!G30</f>
        <v>348154.80000000005</v>
      </c>
      <c r="E30" s="406">
        <v>133206.06</v>
      </c>
      <c r="F30" s="406"/>
      <c r="G30" s="408">
        <f t="shared" si="0"/>
        <v>481360.86000000004</v>
      </c>
      <c r="H30" s="448"/>
      <c r="I30" s="409">
        <f>+'FA Continuity 2004'!L30</f>
        <v>290257.12</v>
      </c>
      <c r="J30" s="406">
        <v>50022.74</v>
      </c>
      <c r="K30" s="406"/>
      <c r="L30" s="408">
        <f t="shared" si="1"/>
        <v>340279.86</v>
      </c>
      <c r="M30" s="408">
        <f t="shared" si="2"/>
        <v>141081.00000000006</v>
      </c>
    </row>
    <row r="31" spans="1:13" ht="12.75">
      <c r="A31" s="92">
        <v>12</v>
      </c>
      <c r="B31" s="249">
        <f>+'Trial Balance'!A101</f>
        <v>1925</v>
      </c>
      <c r="C31" s="313" t="str">
        <f>+'Trial Balance'!B101</f>
        <v>Computer Software</v>
      </c>
      <c r="D31" s="409">
        <f>+'FA Continuity 2004'!G31</f>
        <v>782623.23</v>
      </c>
      <c r="E31" s="406">
        <v>2204.88</v>
      </c>
      <c r="F31" s="406"/>
      <c r="G31" s="408">
        <f t="shared" si="0"/>
        <v>784828.11</v>
      </c>
      <c r="H31" s="448"/>
      <c r="I31" s="409">
        <f>+'FA Continuity 2004'!L31</f>
        <v>759323.7100000001</v>
      </c>
      <c r="J31" s="406">
        <v>9197.4</v>
      </c>
      <c r="K31" s="406"/>
      <c r="L31" s="408">
        <f t="shared" si="1"/>
        <v>768521.1100000001</v>
      </c>
      <c r="M31" s="408">
        <f t="shared" si="2"/>
        <v>16306.999999999884</v>
      </c>
    </row>
    <row r="32" spans="1:13" ht="12.75">
      <c r="A32" s="92">
        <v>10</v>
      </c>
      <c r="B32" s="249">
        <f>+'Trial Balance'!A102</f>
        <v>1930</v>
      </c>
      <c r="C32" s="313" t="str">
        <f>+'Trial Balance'!B102</f>
        <v>Transportation Equipment</v>
      </c>
      <c r="D32" s="409">
        <f>+'FA Continuity 2004'!G32</f>
        <v>1855541.67</v>
      </c>
      <c r="E32" s="406">
        <v>234214.28</v>
      </c>
      <c r="F32" s="406">
        <v>388563.75</v>
      </c>
      <c r="G32" s="408">
        <f t="shared" si="0"/>
        <v>1701192.2</v>
      </c>
      <c r="H32" s="448"/>
      <c r="I32" s="409">
        <f>+'FA Continuity 2004'!L32</f>
        <v>1654843.31</v>
      </c>
      <c r="J32" s="406">
        <v>125593.01</v>
      </c>
      <c r="K32" s="406">
        <v>388563.75</v>
      </c>
      <c r="L32" s="408">
        <f t="shared" si="1"/>
        <v>1391872.57</v>
      </c>
      <c r="M32" s="408">
        <f t="shared" si="2"/>
        <v>309319.6299999999</v>
      </c>
    </row>
    <row r="33" spans="1:13" ht="12.75">
      <c r="A33" s="92">
        <v>10</v>
      </c>
      <c r="B33" s="249">
        <f>+'Trial Balance'!A103</f>
        <v>1935</v>
      </c>
      <c r="C33" s="313" t="str">
        <f>+'Trial Balance'!B103</f>
        <v>Stores Equipment</v>
      </c>
      <c r="D33" s="409">
        <f>+'FA Continuity 2004'!G33</f>
        <v>75195.87</v>
      </c>
      <c r="E33" s="406"/>
      <c r="F33" s="406"/>
      <c r="G33" s="408">
        <f t="shared" si="0"/>
        <v>75195.87</v>
      </c>
      <c r="H33" s="448"/>
      <c r="I33" s="409">
        <f>+'FA Continuity 2004'!L33</f>
        <v>63332.82000000001</v>
      </c>
      <c r="J33" s="406">
        <v>4025</v>
      </c>
      <c r="K33" s="406"/>
      <c r="L33" s="408">
        <f t="shared" si="1"/>
        <v>67357.82</v>
      </c>
      <c r="M33" s="408">
        <f t="shared" si="2"/>
        <v>7838.049999999988</v>
      </c>
    </row>
    <row r="34" spans="1:13" ht="12.75">
      <c r="A34" s="92">
        <v>8</v>
      </c>
      <c r="B34" s="249">
        <f>+'Trial Balance'!A104</f>
        <v>1940</v>
      </c>
      <c r="C34" s="313" t="str">
        <f>+'Trial Balance'!B104</f>
        <v>Tools, Shop and Garage Equipment</v>
      </c>
      <c r="D34" s="409">
        <f>+'FA Continuity 2004'!G34</f>
        <v>882459.83</v>
      </c>
      <c r="E34" s="406">
        <v>30397.02</v>
      </c>
      <c r="F34" s="406">
        <v>3000</v>
      </c>
      <c r="G34" s="408">
        <f t="shared" si="0"/>
        <v>909856.85</v>
      </c>
      <c r="H34" s="448"/>
      <c r="I34" s="409">
        <f>+'FA Continuity 2004'!L34</f>
        <v>820633.83</v>
      </c>
      <c r="J34" s="406">
        <v>17581.02</v>
      </c>
      <c r="K34" s="406">
        <v>3000</v>
      </c>
      <c r="L34" s="408">
        <f t="shared" si="1"/>
        <v>835214.85</v>
      </c>
      <c r="M34" s="408">
        <f t="shared" si="2"/>
        <v>74642</v>
      </c>
    </row>
    <row r="35" spans="1:13" ht="12.75">
      <c r="A35" s="92"/>
      <c r="B35" s="249">
        <f>+'Trial Balance'!A105</f>
        <v>1945</v>
      </c>
      <c r="C35" s="313" t="str">
        <f>+'Trial Balance'!B105</f>
        <v>Measurement and Testing Equipment</v>
      </c>
      <c r="D35" s="409">
        <f>+'FA Continuity 2004'!G35</f>
        <v>0</v>
      </c>
      <c r="E35" s="406"/>
      <c r="F35" s="406"/>
      <c r="G35" s="408">
        <f t="shared" si="0"/>
        <v>0</v>
      </c>
      <c r="H35" s="448"/>
      <c r="I35" s="409">
        <f>+'FA Continuity 2004'!L35</f>
        <v>0</v>
      </c>
      <c r="J35" s="406"/>
      <c r="K35" s="406"/>
      <c r="L35" s="408">
        <f t="shared" si="1"/>
        <v>0</v>
      </c>
      <c r="M35" s="408">
        <f t="shared" si="2"/>
        <v>0</v>
      </c>
    </row>
    <row r="36" spans="1:13" ht="12.75">
      <c r="A36" s="92"/>
      <c r="B36" s="249">
        <f>+'Trial Balance'!A106</f>
        <v>1950</v>
      </c>
      <c r="C36" s="313" t="str">
        <f>+'Trial Balance'!B106</f>
        <v>Power Operated Equipment</v>
      </c>
      <c r="D36" s="409">
        <f>+'FA Continuity 2004'!G36</f>
        <v>0</v>
      </c>
      <c r="E36" s="406"/>
      <c r="F36" s="406"/>
      <c r="G36" s="408">
        <f t="shared" si="0"/>
        <v>0</v>
      </c>
      <c r="H36" s="448"/>
      <c r="I36" s="409">
        <f>+'FA Continuity 2004'!L36</f>
        <v>0</v>
      </c>
      <c r="J36" s="406"/>
      <c r="K36" s="406"/>
      <c r="L36" s="408">
        <f t="shared" si="1"/>
        <v>0</v>
      </c>
      <c r="M36" s="408">
        <f t="shared" si="2"/>
        <v>0</v>
      </c>
    </row>
    <row r="37" spans="1:13" ht="12.75">
      <c r="A37" s="92">
        <v>10</v>
      </c>
      <c r="B37" s="249">
        <f>+'Trial Balance'!A107</f>
        <v>1955</v>
      </c>
      <c r="C37" s="313" t="str">
        <f>+'Trial Balance'!B107</f>
        <v>Communication Equipment</v>
      </c>
      <c r="D37" s="409">
        <f>+'FA Continuity 2004'!G37</f>
        <v>76476.15</v>
      </c>
      <c r="E37" s="406">
        <v>706.26</v>
      </c>
      <c r="F37" s="406"/>
      <c r="G37" s="408">
        <f t="shared" si="0"/>
        <v>77182.40999999999</v>
      </c>
      <c r="H37" s="448"/>
      <c r="I37" s="409">
        <f>+'FA Continuity 2004'!L37</f>
        <v>26400.91</v>
      </c>
      <c r="J37" s="406">
        <v>7718.21</v>
      </c>
      <c r="K37" s="406"/>
      <c r="L37" s="408">
        <f t="shared" si="1"/>
        <v>34119.12</v>
      </c>
      <c r="M37" s="408">
        <f t="shared" si="2"/>
        <v>43063.289999999986</v>
      </c>
    </row>
    <row r="38" spans="1:13" ht="12.75">
      <c r="A38" s="92"/>
      <c r="B38" s="249">
        <f>+'Trial Balance'!A108</f>
        <v>1960</v>
      </c>
      <c r="C38" s="313" t="str">
        <f>+'Trial Balance'!B108</f>
        <v>Miscellaneous Equipment</v>
      </c>
      <c r="D38" s="409">
        <f>+'FA Continuity 2004'!G38</f>
        <v>0</v>
      </c>
      <c r="E38" s="406"/>
      <c r="F38" s="406"/>
      <c r="G38" s="408">
        <f t="shared" si="0"/>
        <v>0</v>
      </c>
      <c r="H38" s="448"/>
      <c r="I38" s="409">
        <f>+'FA Continuity 2004'!L38</f>
        <v>0</v>
      </c>
      <c r="J38" s="406">
        <v>0</v>
      </c>
      <c r="K38" s="406"/>
      <c r="L38" s="408">
        <f t="shared" si="1"/>
        <v>0</v>
      </c>
      <c r="M38" s="408">
        <f t="shared" si="2"/>
        <v>0</v>
      </c>
    </row>
    <row r="39" spans="1:13" ht="12.75">
      <c r="A39" s="92"/>
      <c r="B39" s="249">
        <f>+'Trial Balance'!A109</f>
        <v>1970</v>
      </c>
      <c r="C39" s="313" t="str">
        <f>+'Trial Balance'!B109</f>
        <v>Load Management Controls - Customer Premises </v>
      </c>
      <c r="D39" s="409">
        <f>+'FA Continuity 2004'!G39</f>
        <v>403930.62</v>
      </c>
      <c r="E39" s="406"/>
      <c r="F39" s="406"/>
      <c r="G39" s="408">
        <f t="shared" si="0"/>
        <v>403930.62</v>
      </c>
      <c r="H39" s="448"/>
      <c r="I39" s="409">
        <f>+'FA Continuity 2004'!L39</f>
        <v>403249.82999999996</v>
      </c>
      <c r="J39" s="406"/>
      <c r="K39" s="406"/>
      <c r="L39" s="408">
        <f t="shared" si="1"/>
        <v>403249.82999999996</v>
      </c>
      <c r="M39" s="408">
        <f t="shared" si="2"/>
        <v>680.7900000000373</v>
      </c>
    </row>
    <row r="40" spans="1:13" ht="12.75">
      <c r="A40" s="92"/>
      <c r="B40" s="249">
        <f>+'Trial Balance'!A110</f>
        <v>1975</v>
      </c>
      <c r="C40" s="313" t="str">
        <f>+'Trial Balance'!B110</f>
        <v>Load Management Controls - Utility Premises</v>
      </c>
      <c r="D40" s="409">
        <f>+'FA Continuity 2004'!G40</f>
        <v>165151.45</v>
      </c>
      <c r="E40" s="406"/>
      <c r="F40" s="406"/>
      <c r="G40" s="408">
        <f t="shared" si="0"/>
        <v>165151.45</v>
      </c>
      <c r="H40" s="448"/>
      <c r="I40" s="409">
        <f>+'FA Continuity 2004'!L40</f>
        <v>162151.41</v>
      </c>
      <c r="J40" s="406"/>
      <c r="K40" s="406"/>
      <c r="L40" s="408">
        <f t="shared" si="1"/>
        <v>162151.41</v>
      </c>
      <c r="M40" s="408">
        <f t="shared" si="2"/>
        <v>3000.040000000008</v>
      </c>
    </row>
    <row r="41" spans="1:13" ht="12.75">
      <c r="A41" s="92"/>
      <c r="B41" s="249">
        <f>+'Trial Balance'!A111</f>
        <v>1980</v>
      </c>
      <c r="C41" s="313" t="str">
        <f>+'Trial Balance'!B111</f>
        <v>System Supervisory Equipment</v>
      </c>
      <c r="D41" s="409">
        <f>+'FA Continuity 2004'!G41</f>
        <v>941625.33</v>
      </c>
      <c r="E41" s="406">
        <v>15105.61</v>
      </c>
      <c r="F41" s="406"/>
      <c r="G41" s="408">
        <f t="shared" si="0"/>
        <v>956730.94</v>
      </c>
      <c r="H41" s="448"/>
      <c r="I41" s="409">
        <f>+'FA Continuity 2004'!L41</f>
        <v>520982.33</v>
      </c>
      <c r="J41" s="406">
        <v>63817.61</v>
      </c>
      <c r="K41" s="406"/>
      <c r="L41" s="408">
        <f t="shared" si="1"/>
        <v>584799.9400000001</v>
      </c>
      <c r="M41" s="408">
        <f t="shared" si="2"/>
        <v>371930.9999999999</v>
      </c>
    </row>
    <row r="42" spans="1:13" ht="12.75">
      <c r="A42" s="92"/>
      <c r="B42" s="249">
        <f>+'Trial Balance'!A112</f>
        <v>1985</v>
      </c>
      <c r="C42" s="313" t="str">
        <f>+'Trial Balance'!B112</f>
        <v>Sentinel Lighting Rentals</v>
      </c>
      <c r="D42" s="409">
        <f>+'FA Continuity 2004'!G42</f>
        <v>0</v>
      </c>
      <c r="E42" s="406"/>
      <c r="F42" s="406"/>
      <c r="G42" s="408">
        <f t="shared" si="0"/>
        <v>0</v>
      </c>
      <c r="H42" s="448"/>
      <c r="I42" s="409">
        <f>+'FA Continuity 2004'!L42</f>
        <v>0</v>
      </c>
      <c r="J42" s="406"/>
      <c r="K42" s="406"/>
      <c r="L42" s="408">
        <f t="shared" si="1"/>
        <v>0</v>
      </c>
      <c r="M42" s="408">
        <f t="shared" si="2"/>
        <v>0</v>
      </c>
    </row>
    <row r="43" spans="1:13" ht="12.75">
      <c r="A43" s="92"/>
      <c r="B43" s="249">
        <f>+'Trial Balance'!A113</f>
        <v>1990</v>
      </c>
      <c r="C43" s="313" t="str">
        <f>+'Trial Balance'!B113</f>
        <v>Other Tangible Property</v>
      </c>
      <c r="D43" s="409">
        <f>+'FA Continuity 2004'!G43</f>
        <v>0</v>
      </c>
      <c r="E43" s="406">
        <v>21634</v>
      </c>
      <c r="F43" s="406"/>
      <c r="G43" s="408">
        <f t="shared" si="0"/>
        <v>21634</v>
      </c>
      <c r="H43" s="448"/>
      <c r="I43" s="409">
        <f>+'FA Continuity 2004'!L43</f>
        <v>0</v>
      </c>
      <c r="J43" s="406"/>
      <c r="K43" s="406"/>
      <c r="L43" s="408">
        <f t="shared" si="1"/>
        <v>0</v>
      </c>
      <c r="M43" s="408">
        <f t="shared" si="2"/>
        <v>21634</v>
      </c>
    </row>
    <row r="44" spans="1:13" ht="12.75">
      <c r="A44" s="92">
        <v>1</v>
      </c>
      <c r="B44" s="249">
        <f>+'Trial Balance'!A114</f>
        <v>1995</v>
      </c>
      <c r="C44" s="313" t="str">
        <f>+'Trial Balance'!B114</f>
        <v>Contributions and Grants</v>
      </c>
      <c r="D44" s="409">
        <f>+'FA Continuity 2004'!G44</f>
        <v>-1801620.77</v>
      </c>
      <c r="E44" s="406">
        <f>-382880.23</f>
        <v>-382880.23</v>
      </c>
      <c r="F44" s="406"/>
      <c r="G44" s="408">
        <f t="shared" si="0"/>
        <v>-2184501</v>
      </c>
      <c r="H44" s="448"/>
      <c r="I44" s="409">
        <f>+'FA Continuity 2004'!L44</f>
        <v>-260195.26</v>
      </c>
      <c r="J44" s="406">
        <v>-87071.23</v>
      </c>
      <c r="K44" s="406"/>
      <c r="L44" s="408">
        <f t="shared" si="1"/>
        <v>-347266.49</v>
      </c>
      <c r="M44" s="408">
        <f t="shared" si="2"/>
        <v>-1837234.51</v>
      </c>
    </row>
    <row r="45" spans="1:13" ht="12.75">
      <c r="A45" s="92"/>
      <c r="B45" s="249"/>
      <c r="C45" s="313"/>
      <c r="D45" s="409"/>
      <c r="E45" s="406"/>
      <c r="F45" s="406"/>
      <c r="G45" s="408">
        <f t="shared" si="0"/>
        <v>0</v>
      </c>
      <c r="H45" s="448"/>
      <c r="I45" s="409">
        <f>+'FA Continuity 2004'!L45</f>
        <v>0</v>
      </c>
      <c r="J45" s="406"/>
      <c r="K45" s="406"/>
      <c r="L45" s="408">
        <f t="shared" si="1"/>
        <v>0</v>
      </c>
      <c r="M45" s="408">
        <f t="shared" si="2"/>
        <v>0</v>
      </c>
    </row>
    <row r="46" spans="1:13" ht="12.75">
      <c r="A46" s="92"/>
      <c r="B46" s="249"/>
      <c r="C46" s="313"/>
      <c r="D46" s="409"/>
      <c r="E46" s="406"/>
      <c r="F46" s="406"/>
      <c r="G46" s="408">
        <f t="shared" si="0"/>
        <v>0</v>
      </c>
      <c r="H46" s="448"/>
      <c r="I46" s="409"/>
      <c r="J46" s="406"/>
      <c r="K46" s="406"/>
      <c r="L46" s="408">
        <f t="shared" si="1"/>
        <v>0</v>
      </c>
      <c r="M46" s="408">
        <f t="shared" si="2"/>
        <v>0</v>
      </c>
    </row>
    <row r="47" spans="1:13" ht="12.75">
      <c r="A47" s="92"/>
      <c r="B47" s="251"/>
      <c r="C47" s="258" t="s">
        <v>242</v>
      </c>
      <c r="D47" s="410">
        <f>SUM(D10:D46)</f>
        <v>63369038.679999985</v>
      </c>
      <c r="E47" s="407">
        <f>SUM(E10:E46)</f>
        <v>2263666.6999999993</v>
      </c>
      <c r="F47" s="407">
        <f>SUM(F10:F46)</f>
        <v>391563.75</v>
      </c>
      <c r="G47" s="407">
        <f>SUM(G10:G46)</f>
        <v>65241141.629999995</v>
      </c>
      <c r="H47" s="448"/>
      <c r="I47" s="410">
        <f>SUM(I10:I46)</f>
        <v>35500460.97</v>
      </c>
      <c r="J47" s="407">
        <f>SUM(J10:J46)</f>
        <v>2138211.63</v>
      </c>
      <c r="K47" s="407">
        <f>SUM(K10:K46)</f>
        <v>391563.75</v>
      </c>
      <c r="L47" s="407">
        <f>SUM(L10:L46)</f>
        <v>37247108.84999999</v>
      </c>
      <c r="M47" s="407">
        <f>SUM(M10:M46)</f>
        <v>27994032.78</v>
      </c>
    </row>
    <row r="48" spans="1:13" ht="12.75">
      <c r="A48" s="92"/>
      <c r="B48" s="251"/>
      <c r="C48" s="250"/>
      <c r="D48" s="409"/>
      <c r="E48" s="408"/>
      <c r="F48" s="408"/>
      <c r="G48" s="408"/>
      <c r="H48" s="448"/>
      <c r="I48" s="409"/>
      <c r="J48" s="408"/>
      <c r="K48" s="408"/>
      <c r="L48" s="408"/>
      <c r="M48" s="408"/>
    </row>
    <row r="49" spans="1:13" ht="12.75">
      <c r="A49" s="92" t="s">
        <v>225</v>
      </c>
      <c r="B49" s="251"/>
      <c r="C49" s="250" t="s">
        <v>277</v>
      </c>
      <c r="D49" s="409">
        <v>0</v>
      </c>
      <c r="E49" s="406"/>
      <c r="F49" s="406"/>
      <c r="G49" s="408">
        <f>D49+E49-F49</f>
        <v>0</v>
      </c>
      <c r="H49" s="448"/>
      <c r="I49" s="409">
        <v>0</v>
      </c>
      <c r="J49" s="406">
        <v>0</v>
      </c>
      <c r="K49" s="406">
        <v>0</v>
      </c>
      <c r="L49" s="408">
        <f>I49+J49-K49</f>
        <v>0</v>
      </c>
      <c r="M49" s="408">
        <f>G49-L49</f>
        <v>0</v>
      </c>
    </row>
    <row r="50" spans="1:13" ht="13.5" thickBot="1">
      <c r="A50" s="92"/>
      <c r="B50" s="251"/>
      <c r="C50" s="258" t="s">
        <v>243</v>
      </c>
      <c r="D50" s="410">
        <f>SUM(D47:D49)</f>
        <v>63369038.679999985</v>
      </c>
      <c r="E50" s="407">
        <f>SUM(E47:E49)</f>
        <v>2263666.6999999993</v>
      </c>
      <c r="F50" s="407">
        <f>SUM(F47:F49)</f>
        <v>391563.75</v>
      </c>
      <c r="G50" s="407">
        <f>SUM(G47:G49)</f>
        <v>65241141.629999995</v>
      </c>
      <c r="H50" s="449"/>
      <c r="I50" s="410">
        <f>SUM(I47:I49)</f>
        <v>35500460.97</v>
      </c>
      <c r="J50" s="407">
        <f>SUM(J47:J49)</f>
        <v>2138211.63</v>
      </c>
      <c r="K50" s="407">
        <f>SUM(K47:K49)</f>
        <v>391563.75</v>
      </c>
      <c r="L50" s="407">
        <f>SUM(L47:L49)</f>
        <v>37247108.84999999</v>
      </c>
      <c r="M50" s="407">
        <f>SUM(M47:M49)</f>
        <v>27994032.78</v>
      </c>
    </row>
    <row r="51" spans="1:13" ht="13.5" thickTop="1">
      <c r="A51" s="253"/>
      <c r="D51" s="374"/>
      <c r="F51" s="241"/>
      <c r="G51" s="241"/>
      <c r="H51" s="237"/>
      <c r="I51" s="237"/>
      <c r="J51" s="237"/>
      <c r="K51" s="237"/>
      <c r="L51" s="237"/>
      <c r="M51" s="237"/>
    </row>
    <row r="52" spans="1:13" ht="12.75">
      <c r="A52" s="253"/>
      <c r="D52" s="377"/>
      <c r="E52" s="241">
        <f>+E50-E44</f>
        <v>2646546.9299999992</v>
      </c>
      <c r="F52" s="241"/>
      <c r="G52" s="377"/>
      <c r="H52" s="377"/>
      <c r="I52" s="377"/>
      <c r="J52" s="377"/>
      <c r="K52" s="370"/>
      <c r="L52" s="370"/>
      <c r="M52" s="370"/>
    </row>
    <row r="53" spans="1:13" ht="12.75">
      <c r="A53" s="314">
        <v>10</v>
      </c>
      <c r="B53" s="249">
        <f>B33</f>
        <v>1935</v>
      </c>
      <c r="C53" s="250" t="s">
        <v>279</v>
      </c>
      <c r="D53" s="374"/>
      <c r="E53" s="241"/>
      <c r="F53" s="241"/>
      <c r="G53" s="378"/>
      <c r="H53" s="377"/>
      <c r="I53" s="377"/>
      <c r="J53" s="377"/>
      <c r="K53" s="370"/>
      <c r="L53" s="370"/>
      <c r="M53" s="370"/>
    </row>
    <row r="54" spans="1:13" ht="12.75">
      <c r="A54" s="314">
        <v>10</v>
      </c>
      <c r="B54" s="249">
        <v>1955</v>
      </c>
      <c r="C54" s="250" t="s">
        <v>660</v>
      </c>
      <c r="G54" s="370"/>
      <c r="H54" s="377"/>
      <c r="I54" s="377"/>
      <c r="J54" s="377"/>
      <c r="K54" s="370"/>
      <c r="L54" s="370"/>
      <c r="M54" s="370"/>
    </row>
    <row r="55" spans="7:13" ht="12.75">
      <c r="G55" s="370"/>
      <c r="H55" s="377"/>
      <c r="I55" s="377"/>
      <c r="J55" s="377"/>
      <c r="K55" s="370"/>
      <c r="L55" s="372"/>
      <c r="M55" s="370"/>
    </row>
    <row r="56" spans="7:13" ht="12.75">
      <c r="G56" s="370"/>
      <c r="H56" s="377"/>
      <c r="I56" s="377"/>
      <c r="J56" s="377"/>
      <c r="K56" s="370"/>
      <c r="L56" s="370"/>
      <c r="M56" s="370"/>
    </row>
    <row r="57" spans="7:13" ht="12.75">
      <c r="G57" s="370"/>
      <c r="H57" s="377"/>
      <c r="I57" s="377"/>
      <c r="J57" s="377"/>
      <c r="K57" s="370"/>
      <c r="L57" s="370"/>
      <c r="M57" s="370"/>
    </row>
    <row r="58" spans="7:13" ht="12.75">
      <c r="G58" s="370"/>
      <c r="H58" s="377"/>
      <c r="I58" s="377"/>
      <c r="J58" s="377"/>
      <c r="K58" s="370"/>
      <c r="L58" s="370"/>
      <c r="M58" s="370"/>
    </row>
    <row r="59" spans="7:13" ht="12.75">
      <c r="G59" s="370"/>
      <c r="H59" s="377"/>
      <c r="I59" s="377"/>
      <c r="J59" s="377"/>
      <c r="K59" s="370"/>
      <c r="L59" s="370"/>
      <c r="M59" s="370"/>
    </row>
    <row r="60" spans="7:13" ht="12.75">
      <c r="G60" s="370"/>
      <c r="H60" s="377"/>
      <c r="I60" s="377"/>
      <c r="J60" s="377"/>
      <c r="K60" s="370"/>
      <c r="L60" s="370"/>
      <c r="M60" s="370"/>
    </row>
    <row r="61" spans="4:13" ht="12.75">
      <c r="D61" s="336"/>
      <c r="E61" s="241"/>
      <c r="F61" s="241"/>
      <c r="G61" s="374"/>
      <c r="H61" s="370"/>
      <c r="I61" s="373"/>
      <c r="J61" s="374"/>
      <c r="K61" s="374"/>
      <c r="L61" s="374"/>
      <c r="M61" s="370"/>
    </row>
    <row r="62" spans="3:13" ht="12.75">
      <c r="C62" s="235"/>
      <c r="D62" s="336"/>
      <c r="E62" s="241"/>
      <c r="F62" s="241"/>
      <c r="G62" s="374"/>
      <c r="H62" s="370"/>
      <c r="I62" s="373"/>
      <c r="J62" s="374"/>
      <c r="K62" s="374"/>
      <c r="L62" s="374"/>
      <c r="M62" s="376"/>
    </row>
    <row r="63" spans="3:13" ht="12.75">
      <c r="C63" s="235"/>
      <c r="D63" s="336"/>
      <c r="E63" s="241"/>
      <c r="F63" s="241"/>
      <c r="G63" s="374"/>
      <c r="H63" s="370"/>
      <c r="I63" s="373"/>
      <c r="J63" s="374"/>
      <c r="K63" s="374"/>
      <c r="L63" s="374"/>
      <c r="M63" s="376"/>
    </row>
    <row r="64" spans="3:13" ht="12.75">
      <c r="C64" s="235"/>
      <c r="D64" s="336"/>
      <c r="E64" s="236"/>
      <c r="F64" s="236"/>
      <c r="G64" s="374"/>
      <c r="H64" s="370"/>
      <c r="I64" s="373"/>
      <c r="J64" s="375"/>
      <c r="K64" s="375"/>
      <c r="L64" s="374"/>
      <c r="M64" s="376"/>
    </row>
    <row r="65" spans="3:13" ht="12.75">
      <c r="C65" s="235"/>
      <c r="D65" s="241"/>
      <c r="E65" s="241"/>
      <c r="F65" s="241"/>
      <c r="G65" s="241"/>
      <c r="H65" s="237"/>
      <c r="I65" s="238"/>
      <c r="J65" s="238"/>
      <c r="K65" s="238"/>
      <c r="L65" s="238"/>
      <c r="M65" s="238"/>
    </row>
    <row r="66" spans="4:7" ht="12.75">
      <c r="D66" s="336"/>
      <c r="E66" s="241"/>
      <c r="F66" s="241"/>
      <c r="G66" s="241"/>
    </row>
    <row r="67" spans="4:7" ht="12.75">
      <c r="D67" s="336"/>
      <c r="E67" s="241"/>
      <c r="F67" s="241"/>
      <c r="G67" s="241"/>
    </row>
    <row r="68" spans="4:7" ht="12.75">
      <c r="D68" s="336"/>
      <c r="E68" s="241"/>
      <c r="F68" s="241"/>
      <c r="G68" s="241"/>
    </row>
    <row r="69" spans="4:7" ht="12.75">
      <c r="D69" s="336"/>
      <c r="E69" s="236"/>
      <c r="F69" s="236"/>
      <c r="G69" s="241"/>
    </row>
    <row r="70" spans="4:7" ht="12.75">
      <c r="D70" s="237"/>
      <c r="E70" s="237"/>
      <c r="F70" s="237"/>
      <c r="G70" s="237"/>
    </row>
    <row r="71" spans="4:7" ht="12.75">
      <c r="D71" s="338"/>
      <c r="E71" s="236"/>
      <c r="F71" s="236"/>
      <c r="G71" s="241"/>
    </row>
    <row r="72" spans="4:7" ht="12.75">
      <c r="D72" s="338"/>
      <c r="E72" s="236"/>
      <c r="F72" s="236"/>
      <c r="G72" s="241"/>
    </row>
    <row r="73" spans="4:7" ht="12.75">
      <c r="D73" s="336"/>
      <c r="E73" s="236"/>
      <c r="F73" s="236"/>
      <c r="G73" s="241"/>
    </row>
    <row r="74" spans="4:7" ht="12.75">
      <c r="D74" s="336"/>
      <c r="E74" s="237"/>
      <c r="F74" s="237"/>
      <c r="G74" s="237"/>
    </row>
    <row r="75" spans="4:7" ht="12.75">
      <c r="D75" s="336"/>
      <c r="E75" s="237"/>
      <c r="F75" s="237"/>
      <c r="G75" s="237"/>
    </row>
    <row r="76" ht="12.75">
      <c r="D76" s="336"/>
    </row>
    <row r="77" ht="12.75">
      <c r="D77" s="336"/>
    </row>
    <row r="78" ht="12.75">
      <c r="D78" s="336"/>
    </row>
    <row r="79" ht="12.75">
      <c r="D79" s="336"/>
    </row>
    <row r="80" ht="12.75">
      <c r="D80" s="336"/>
    </row>
    <row r="81" ht="12.75">
      <c r="D81" s="336"/>
    </row>
    <row r="82" ht="12.75">
      <c r="D82" s="336"/>
    </row>
  </sheetData>
  <mergeCells count="22">
    <mergeCell ref="A1:M1"/>
    <mergeCell ref="A2:M2"/>
    <mergeCell ref="D6:G6"/>
    <mergeCell ref="D7:G7"/>
    <mergeCell ref="I7:L7"/>
    <mergeCell ref="I6:L6"/>
    <mergeCell ref="A3:C3"/>
    <mergeCell ref="A4:C4"/>
    <mergeCell ref="A5:C5"/>
    <mergeCell ref="M8:M9"/>
    <mergeCell ref="E8:E9"/>
    <mergeCell ref="F8:F9"/>
    <mergeCell ref="G8:G9"/>
    <mergeCell ref="I8:I9"/>
    <mergeCell ref="J8:J9"/>
    <mergeCell ref="K8:K9"/>
    <mergeCell ref="L8:L9"/>
    <mergeCell ref="H8:H50"/>
    <mergeCell ref="A8:A9"/>
    <mergeCell ref="B8:B9"/>
    <mergeCell ref="C8:C9"/>
    <mergeCell ref="D8:D9"/>
  </mergeCells>
  <printOptions horizontalCentered="1"/>
  <pageMargins left="0.35" right="0.35" top="0.35" bottom="0.35" header="0.2" footer="0.2"/>
  <pageSetup fitToHeight="1" fitToWidth="1" horizontalDpi="600" verticalDpi="600" orientation="landscape" scale="83" r:id="rId4"/>
  <headerFooter alignWithMargins="0">
    <oddFooter>&amp;L&amp;A</oddFooter>
  </headerFooter>
  <drawing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A1" sqref="A1:K1"/>
    </sheetView>
  </sheetViews>
  <sheetFormatPr defaultColWidth="9.140625" defaultRowHeight="12.75"/>
  <cols>
    <col min="1" max="1" width="0.71875" style="0" customWidth="1"/>
    <col min="2" max="2" width="25.00390625" style="0" customWidth="1"/>
    <col min="3" max="4" width="11.140625" style="0" bestFit="1" customWidth="1"/>
    <col min="5" max="5" width="1.1484375" style="0" customWidth="1"/>
    <col min="6" max="6" width="26.8515625" style="0" customWidth="1"/>
    <col min="7" max="7" width="15.8515625" style="0" customWidth="1"/>
    <col min="8" max="8" width="21.57421875" style="0" customWidth="1"/>
    <col min="9" max="9" width="1.28515625" style="0" customWidth="1"/>
    <col min="10" max="10" width="27.421875" style="0" bestFit="1" customWidth="1"/>
    <col min="11" max="11" width="11.28125" style="0" bestFit="1" customWidth="1"/>
  </cols>
  <sheetData>
    <row r="1" spans="1:11" ht="12.75">
      <c r="A1" s="441" t="str">
        <f>'Trial Balance'!A1:J1</f>
        <v>North Bay Hydro Distribution Ltd.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1" ht="12.75">
      <c r="A2" s="441" t="str">
        <f>'Trial Balance'!A2:J2</f>
        <v>License Number ED-2003-0024, File Number EB-2009-0270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3" ht="7.5" customHeight="1"/>
    <row r="4" spans="2:11" ht="18">
      <c r="B4" s="549" t="s">
        <v>175</v>
      </c>
      <c r="C4" s="549"/>
      <c r="D4" s="549"/>
      <c r="F4" s="550" t="s">
        <v>176</v>
      </c>
      <c r="G4" s="550"/>
      <c r="H4" s="550"/>
      <c r="J4" s="458" t="s">
        <v>177</v>
      </c>
      <c r="K4" s="458"/>
    </row>
    <row r="5" spans="2:11" ht="25.5">
      <c r="B5" s="167" t="s">
        <v>189</v>
      </c>
      <c r="C5" s="168" t="s">
        <v>378</v>
      </c>
      <c r="D5" s="168" t="s">
        <v>379</v>
      </c>
      <c r="F5" s="167" t="s">
        <v>189</v>
      </c>
      <c r="G5" s="141" t="s">
        <v>391</v>
      </c>
      <c r="H5" s="141" t="s">
        <v>389</v>
      </c>
      <c r="J5" s="141" t="s">
        <v>189</v>
      </c>
      <c r="K5" s="141" t="s">
        <v>449</v>
      </c>
    </row>
    <row r="6" spans="2:11" ht="12.75">
      <c r="B6" s="144" t="s">
        <v>195</v>
      </c>
      <c r="C6" s="145">
        <f>'Return on Capital'!Q38</f>
        <v>36885935.645500004</v>
      </c>
      <c r="D6" s="146">
        <f>'Return on Capital'!Q38</f>
        <v>36885935.645500004</v>
      </c>
      <c r="F6" s="157" t="s">
        <v>434</v>
      </c>
      <c r="G6" s="158" t="s">
        <v>839</v>
      </c>
      <c r="H6" s="159">
        <f>'2010 Rev Deficiency'!B39</f>
        <v>2182133.507379111</v>
      </c>
      <c r="J6" s="215" t="str">
        <f>F14</f>
        <v>Total PILs</v>
      </c>
      <c r="K6" s="214">
        <f>H14</f>
        <v>740487.5865783506</v>
      </c>
    </row>
    <row r="7" spans="2:11" ht="15.75" thickBot="1">
      <c r="B7" s="147" t="s">
        <v>380</v>
      </c>
      <c r="C7" s="148">
        <f>-'Tax rates'!B7</f>
        <v>-15000000</v>
      </c>
      <c r="D7" s="149">
        <f>'Tax rates'!B19</f>
        <v>0</v>
      </c>
      <c r="F7" s="208" t="s">
        <v>447</v>
      </c>
      <c r="G7" s="158" t="s">
        <v>839</v>
      </c>
      <c r="H7" s="162">
        <f>'2010 Rev Deficiency'!B40</f>
        <v>79950.08831286058</v>
      </c>
      <c r="J7" s="215" t="str">
        <f>B12</f>
        <v>Net Capital Tax Payable</v>
      </c>
      <c r="K7" s="217">
        <f>C12</f>
        <v>49243.35520237501</v>
      </c>
    </row>
    <row r="8" spans="2:11" ht="13.5" thickBot="1">
      <c r="B8" s="150" t="s">
        <v>381</v>
      </c>
      <c r="C8" s="213">
        <f>C6+C7</f>
        <v>21885935.645500004</v>
      </c>
      <c r="D8" s="213">
        <f>D6+D7</f>
        <v>36885935.645500004</v>
      </c>
      <c r="F8" s="208" t="s">
        <v>412</v>
      </c>
      <c r="G8" s="209"/>
      <c r="H8" s="166">
        <f>SUM(H6:H7)</f>
        <v>2262083.5956919715</v>
      </c>
      <c r="J8" s="216" t="s">
        <v>452</v>
      </c>
      <c r="K8" s="218">
        <f>SUM(K6:K7)</f>
        <v>789730.9417807256</v>
      </c>
    </row>
    <row r="9" spans="2:8" ht="15">
      <c r="B9" s="147" t="s">
        <v>183</v>
      </c>
      <c r="C9" s="152">
        <f>'Tax rates'!B15</f>
        <v>0.00225</v>
      </c>
      <c r="D9" s="153">
        <f>'Tax rates'!B17</f>
        <v>0</v>
      </c>
      <c r="F9" s="160" t="s">
        <v>387</v>
      </c>
      <c r="G9" s="161" t="s">
        <v>448</v>
      </c>
      <c r="H9" s="212">
        <f>'Tax rates'!B13</f>
        <v>0.33</v>
      </c>
    </row>
    <row r="10" spans="2:8" ht="12.75">
      <c r="B10" s="150" t="s">
        <v>382</v>
      </c>
      <c r="C10" s="151">
        <f>C8*C9</f>
        <v>49243.35520237501</v>
      </c>
      <c r="D10" s="151">
        <f>D8*D9</f>
        <v>0</v>
      </c>
      <c r="F10" s="160" t="s">
        <v>384</v>
      </c>
      <c r="G10" s="163"/>
      <c r="H10" s="166">
        <f>H8*H9</f>
        <v>746487.5865783506</v>
      </c>
    </row>
    <row r="11" spans="2:8" ht="12.75">
      <c r="B11" s="147" t="s">
        <v>383</v>
      </c>
      <c r="C11" s="151">
        <v>0</v>
      </c>
      <c r="D11" s="154">
        <v>0</v>
      </c>
      <c r="F11" s="160" t="s">
        <v>385</v>
      </c>
      <c r="G11" s="164"/>
      <c r="H11" s="169"/>
    </row>
    <row r="12" spans="2:8" ht="15">
      <c r="B12" s="155" t="s">
        <v>450</v>
      </c>
      <c r="C12" s="156">
        <f>C10+C11</f>
        <v>49243.35520237501</v>
      </c>
      <c r="D12" s="156">
        <f>D10+D11</f>
        <v>0</v>
      </c>
      <c r="F12" s="160" t="s">
        <v>386</v>
      </c>
      <c r="G12" s="165"/>
      <c r="H12" s="169">
        <v>6000</v>
      </c>
    </row>
    <row r="13" spans="6:8" ht="15">
      <c r="F13" s="160" t="s">
        <v>388</v>
      </c>
      <c r="G13" s="164"/>
      <c r="H13" s="140">
        <v>0</v>
      </c>
    </row>
    <row r="14" spans="6:8" ht="12.75">
      <c r="F14" s="210" t="s">
        <v>390</v>
      </c>
      <c r="G14" s="211"/>
      <c r="H14" s="166">
        <f>H10-H11-H12-H13</f>
        <v>740487.5865783506</v>
      </c>
    </row>
    <row r="17" spans="2:11" ht="18">
      <c r="B17" s="549" t="s">
        <v>836</v>
      </c>
      <c r="C17" s="549"/>
      <c r="D17" s="549"/>
      <c r="F17" s="550" t="s">
        <v>837</v>
      </c>
      <c r="G17" s="550"/>
      <c r="H17" s="550"/>
      <c r="J17" s="458" t="s">
        <v>838</v>
      </c>
      <c r="K17" s="458"/>
    </row>
    <row r="18" spans="2:11" ht="25.5">
      <c r="B18" s="167" t="s">
        <v>189</v>
      </c>
      <c r="C18" s="142" t="s">
        <v>378</v>
      </c>
      <c r="D18" s="143" t="s">
        <v>379</v>
      </c>
      <c r="F18" s="167" t="s">
        <v>189</v>
      </c>
      <c r="G18" s="141" t="s">
        <v>391</v>
      </c>
      <c r="H18" s="141" t="s">
        <v>389</v>
      </c>
      <c r="J18" s="141" t="s">
        <v>189</v>
      </c>
      <c r="K18" s="141" t="s">
        <v>449</v>
      </c>
    </row>
    <row r="19" spans="2:11" ht="19.5" customHeight="1">
      <c r="B19" s="144" t="s">
        <v>195</v>
      </c>
      <c r="C19" s="145">
        <f>'Return on Capital'!AC38</f>
        <v>46219722.42832738</v>
      </c>
      <c r="D19" s="145">
        <f>'Return on Capital'!AC38</f>
        <v>46219722.42832738</v>
      </c>
      <c r="F19" s="157" t="s">
        <v>434</v>
      </c>
      <c r="G19" s="158" t="s">
        <v>839</v>
      </c>
      <c r="H19" s="159">
        <f>'2010 Rev Deficiency'!D39</f>
        <v>2053520.4008637127</v>
      </c>
      <c r="J19" s="215" t="str">
        <f>F27</f>
        <v>Total PILs</v>
      </c>
      <c r="K19" s="214">
        <f>H27</f>
        <v>572640.4942601027</v>
      </c>
    </row>
    <row r="20" spans="2:11" ht="17.25" customHeight="1" thickBot="1">
      <c r="B20" s="147" t="s">
        <v>380</v>
      </c>
      <c r="C20" s="148">
        <f>-'Tax rates'!C7</f>
        <v>-15000000</v>
      </c>
      <c r="D20" s="149">
        <f>'Tax rates'!C19</f>
        <v>0</v>
      </c>
      <c r="F20" s="208" t="s">
        <v>447</v>
      </c>
      <c r="G20" s="158" t="s">
        <v>839</v>
      </c>
      <c r="H20" s="162">
        <f>'2010 Rev Deficiency'!D40</f>
        <v>-186938.1613149941</v>
      </c>
      <c r="J20" s="215" t="str">
        <f>B25</f>
        <v>Net Capital Tax Payable</v>
      </c>
      <c r="K20" s="217">
        <f>C25</f>
        <v>23414.791821245537</v>
      </c>
    </row>
    <row r="21" spans="2:11" ht="17.25" customHeight="1" thickBot="1">
      <c r="B21" s="150" t="s">
        <v>381</v>
      </c>
      <c r="C21" s="213">
        <f>C19+C20</f>
        <v>31219722.42832738</v>
      </c>
      <c r="D21" s="213">
        <f>D19+D20</f>
        <v>46219722.42832738</v>
      </c>
      <c r="F21" s="208" t="s">
        <v>412</v>
      </c>
      <c r="G21" s="209"/>
      <c r="H21" s="166">
        <f>SUM(H19:H20)</f>
        <v>1866582.2395487186</v>
      </c>
      <c r="J21" s="216" t="s">
        <v>452</v>
      </c>
      <c r="K21" s="218">
        <f>SUM(K19:K20)</f>
        <v>596055.2860813483</v>
      </c>
    </row>
    <row r="22" spans="2:8" ht="18.75" customHeight="1">
      <c r="B22" s="147" t="s">
        <v>183</v>
      </c>
      <c r="C22" s="152">
        <f>'Tax rates'!C15</f>
        <v>0.00075</v>
      </c>
      <c r="D22" s="153">
        <f>'Tax rates'!C17</f>
        <v>0</v>
      </c>
      <c r="F22" s="160" t="s">
        <v>387</v>
      </c>
      <c r="G22" s="161" t="s">
        <v>448</v>
      </c>
      <c r="H22" s="212">
        <f>'Tax rates'!C13</f>
        <v>0.31</v>
      </c>
    </row>
    <row r="23" spans="2:11" ht="12.75">
      <c r="B23" s="150" t="s">
        <v>382</v>
      </c>
      <c r="C23" s="213">
        <f>C21*C22</f>
        <v>23414.791821245537</v>
      </c>
      <c r="D23" s="151">
        <f>D21*D22</f>
        <v>0</v>
      </c>
      <c r="F23" s="160" t="s">
        <v>384</v>
      </c>
      <c r="G23" s="163"/>
      <c r="H23" s="166">
        <f>H21*H22</f>
        <v>578640.4942601027</v>
      </c>
      <c r="J23" s="61" t="s">
        <v>882</v>
      </c>
      <c r="K23" s="356">
        <f>+'2010 Rev Deficiency'!D18</f>
        <v>23414.791821245537</v>
      </c>
    </row>
    <row r="24" spans="2:11" ht="12.75">
      <c r="B24" s="147" t="s">
        <v>383</v>
      </c>
      <c r="C24" s="151">
        <v>0</v>
      </c>
      <c r="D24" s="154">
        <v>0</v>
      </c>
      <c r="F24" s="160" t="s">
        <v>385</v>
      </c>
      <c r="G24" s="164"/>
      <c r="H24" s="169"/>
      <c r="J24" s="61" t="s">
        <v>868</v>
      </c>
      <c r="K24" s="312">
        <v>0</v>
      </c>
    </row>
    <row r="25" spans="2:8" ht="15">
      <c r="B25" s="155" t="s">
        <v>450</v>
      </c>
      <c r="C25" s="156">
        <f>C23+C24</f>
        <v>23414.791821245537</v>
      </c>
      <c r="D25" s="156">
        <f>D23+D24</f>
        <v>0</v>
      </c>
      <c r="F25" s="160" t="s">
        <v>386</v>
      </c>
      <c r="G25" s="165"/>
      <c r="H25" s="169">
        <v>6000</v>
      </c>
    </row>
    <row r="26" spans="6:8" ht="15">
      <c r="F26" s="160" t="s">
        <v>388</v>
      </c>
      <c r="G26" s="164"/>
      <c r="H26" s="140">
        <v>0</v>
      </c>
    </row>
    <row r="27" spans="6:8" ht="12.75">
      <c r="F27" s="210" t="s">
        <v>390</v>
      </c>
      <c r="G27" s="211"/>
      <c r="H27" s="166">
        <f>H23-H24-H25-H26</f>
        <v>572640.4942601027</v>
      </c>
    </row>
    <row r="31" ht="12.75">
      <c r="H31" s="360"/>
    </row>
  </sheetData>
  <mergeCells count="8">
    <mergeCell ref="A1:K1"/>
    <mergeCell ref="A2:K2"/>
    <mergeCell ref="J17:K17"/>
    <mergeCell ref="J4:K4"/>
    <mergeCell ref="B4:D4"/>
    <mergeCell ref="B17:D17"/>
    <mergeCell ref="F4:H4"/>
    <mergeCell ref="F17:H17"/>
  </mergeCells>
  <printOptions/>
  <pageMargins left="0.7480314960629921" right="0.7480314960629921" top="0.984251968503937" bottom="0.984251968503937" header="0.5118110236220472" footer="0.5118110236220472"/>
  <pageSetup fitToHeight="5" fitToWidth="1" horizontalDpi="355" verticalDpi="355" orientation="landscape" scale="80" r:id="rId1"/>
  <headerFooter alignWithMargins="0">
    <oddFooter>&amp;L&amp;A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">
      <selection activeCell="A1" sqref="A1:G1"/>
    </sheetView>
  </sheetViews>
  <sheetFormatPr defaultColWidth="9.140625" defaultRowHeight="12.75"/>
  <cols>
    <col min="1" max="1" width="0.13671875" style="0" customWidth="1"/>
    <col min="2" max="2" width="31.7109375" style="0" customWidth="1"/>
    <col min="3" max="3" width="55.7109375" style="0" customWidth="1"/>
    <col min="4" max="4" width="18.57421875" style="0" bestFit="1" customWidth="1"/>
    <col min="5" max="5" width="13.421875" style="0" bestFit="1" customWidth="1"/>
    <col min="6" max="6" width="10.7109375" style="0" bestFit="1" customWidth="1"/>
    <col min="7" max="7" width="1.28515625" style="0" customWidth="1"/>
    <col min="9" max="9" width="10.28125" style="0" bestFit="1" customWidth="1"/>
  </cols>
  <sheetData>
    <row r="1" spans="1:7" ht="12.75">
      <c r="A1" s="441" t="str">
        <f>'Trial Balance'!A1:J1</f>
        <v>North Bay Hydro Distribution Ltd.</v>
      </c>
      <c r="B1" s="441"/>
      <c r="C1" s="441"/>
      <c r="D1" s="441"/>
      <c r="E1" s="441"/>
      <c r="F1" s="441"/>
      <c r="G1" s="441"/>
    </row>
    <row r="2" spans="1:7" ht="12.75">
      <c r="A2" s="441" t="str">
        <f>'Trial Balance'!A2:J2</f>
        <v>License Number ED-2003-0024, File Number EB-2009-0270</v>
      </c>
      <c r="B2" s="441"/>
      <c r="C2" s="441"/>
      <c r="D2" s="441"/>
      <c r="E2" s="441"/>
      <c r="F2" s="441"/>
      <c r="G2" s="441"/>
    </row>
    <row r="3" ht="8.25" customHeight="1"/>
    <row r="4" spans="2:3" ht="18.75" thickBot="1">
      <c r="B4" s="551" t="s">
        <v>457</v>
      </c>
      <c r="C4" s="551"/>
    </row>
    <row r="5" spans="2:5" ht="12.75">
      <c r="B5" s="171" t="s">
        <v>413</v>
      </c>
      <c r="C5" s="172">
        <f>'Return on Capital'!AC25</f>
        <v>5843345.975503748</v>
      </c>
      <c r="E5" s="353"/>
    </row>
    <row r="6" spans="2:4" ht="12.75">
      <c r="B6" s="173" t="s">
        <v>414</v>
      </c>
      <c r="C6" s="174">
        <f>'FA Continuity 2010'!J55</f>
        <v>2901108.0797554553</v>
      </c>
      <c r="D6" s="356">
        <f>+C6-'2010 Rev Deficiency'!D16</f>
        <v>0</v>
      </c>
    </row>
    <row r="7" spans="2:5" ht="12.75">
      <c r="B7" s="175" t="s">
        <v>415</v>
      </c>
      <c r="C7" s="288">
        <f>C5+C6</f>
        <v>8744454.055259204</v>
      </c>
      <c r="E7" s="353"/>
    </row>
    <row r="8" spans="2:3" ht="12.75">
      <c r="B8" s="173" t="s">
        <v>196</v>
      </c>
      <c r="C8" s="174">
        <f>'Return on Capital'!AC40</f>
        <v>3302244.814515838</v>
      </c>
    </row>
    <row r="9" spans="2:3" ht="12.75">
      <c r="B9" s="173" t="s">
        <v>451</v>
      </c>
      <c r="C9" s="174">
        <f>'Capital Tax &amp; Expense Schedules'!K21+'Capital Tax &amp; Expense Schedules'!K24</f>
        <v>596055.2860813483</v>
      </c>
    </row>
    <row r="10" spans="2:4" ht="13.5" thickBot="1">
      <c r="B10" s="176" t="s">
        <v>457</v>
      </c>
      <c r="C10" s="177">
        <f>C7+C8+C9</f>
        <v>12642754.15585639</v>
      </c>
      <c r="D10" s="361">
        <f>C10-'2010 Rev Deficiency'!D11</f>
        <v>0</v>
      </c>
    </row>
    <row r="11" ht="8.25" customHeight="1" thickBot="1"/>
    <row r="12" spans="1:7" ht="8.25" customHeight="1">
      <c r="A12" s="43"/>
      <c r="B12" s="44"/>
      <c r="C12" s="44"/>
      <c r="D12" s="44"/>
      <c r="E12" s="44"/>
      <c r="F12" s="44"/>
      <c r="G12" s="45"/>
    </row>
    <row r="13" spans="1:7" ht="18">
      <c r="A13" s="46"/>
      <c r="B13" s="523" t="s">
        <v>419</v>
      </c>
      <c r="C13" s="523"/>
      <c r="D13" s="523"/>
      <c r="E13" s="523"/>
      <c r="F13" s="523"/>
      <c r="G13" s="55"/>
    </row>
    <row r="14" spans="1:7" ht="12.75">
      <c r="A14" s="46"/>
      <c r="B14" s="180" t="s">
        <v>516</v>
      </c>
      <c r="C14" s="180" t="s">
        <v>545</v>
      </c>
      <c r="D14" s="178" t="s">
        <v>416</v>
      </c>
      <c r="E14" s="179" t="s">
        <v>417</v>
      </c>
      <c r="F14" s="178" t="s">
        <v>418</v>
      </c>
      <c r="G14" s="55"/>
    </row>
    <row r="15" spans="1:9" ht="12.75">
      <c r="A15" s="46"/>
      <c r="B15" s="181" t="s">
        <v>140</v>
      </c>
      <c r="C15" s="182" t="str">
        <f>+'2009 Income Statement'!A27</f>
        <v>4080-Distribution Services Revenue</v>
      </c>
      <c r="D15" s="246">
        <v>73632</v>
      </c>
      <c r="E15" s="184">
        <v>1</v>
      </c>
      <c r="F15" s="183">
        <f>D15*E15</f>
        <v>73632</v>
      </c>
      <c r="G15" s="55"/>
      <c r="I15" s="365"/>
    </row>
    <row r="16" spans="1:7" ht="12.75">
      <c r="A16" s="46"/>
      <c r="B16" s="181">
        <v>4082</v>
      </c>
      <c r="C16" s="182" t="str">
        <f>+'2009 Income Statement'!A28</f>
        <v>4082-RS Rev</v>
      </c>
      <c r="D16" s="246">
        <f>-'2010 Income Statement'!B28</f>
        <v>0</v>
      </c>
      <c r="E16" s="184">
        <v>1</v>
      </c>
      <c r="F16" s="183">
        <f aca="true" t="shared" si="0" ref="F16:F48">D16*E16</f>
        <v>0</v>
      </c>
      <c r="G16" s="55"/>
    </row>
    <row r="17" spans="1:7" ht="12.75">
      <c r="A17" s="46"/>
      <c r="B17" s="181">
        <v>4084</v>
      </c>
      <c r="C17" s="182" t="str">
        <f>+'2009 Income Statement'!A29</f>
        <v>4084-Serv Tx Requests</v>
      </c>
      <c r="D17" s="246">
        <f>-'2010 Income Statement'!B29</f>
        <v>0</v>
      </c>
      <c r="E17" s="184">
        <v>1</v>
      </c>
      <c r="F17" s="183">
        <f t="shared" si="0"/>
        <v>0</v>
      </c>
      <c r="G17" s="55"/>
    </row>
    <row r="18" spans="1:7" ht="12.75">
      <c r="A18" s="46"/>
      <c r="B18" s="181">
        <v>4090</v>
      </c>
      <c r="C18" s="182" t="str">
        <f>+'2009 Income Statement'!A30</f>
        <v>4090-Electric Services Incidental to Energy Sales</v>
      </c>
      <c r="D18" s="246">
        <f>-'2010 Income Statement'!B30</f>
        <v>0</v>
      </c>
      <c r="E18" s="184">
        <v>1</v>
      </c>
      <c r="F18" s="183">
        <f t="shared" si="0"/>
        <v>0</v>
      </c>
      <c r="G18" s="55"/>
    </row>
    <row r="19" spans="1:7" ht="12.75">
      <c r="A19" s="46"/>
      <c r="B19" s="181">
        <v>4205</v>
      </c>
      <c r="C19" s="182" t="str">
        <f>+'2009 Income Statement'!A34</f>
        <v>4205-Interdepartmental Rents</v>
      </c>
      <c r="D19" s="246">
        <f>-'2010 Income Statement'!B34</f>
        <v>0</v>
      </c>
      <c r="E19" s="184">
        <v>1</v>
      </c>
      <c r="F19" s="183">
        <f t="shared" si="0"/>
        <v>0</v>
      </c>
      <c r="G19" s="55"/>
    </row>
    <row r="20" spans="1:7" ht="12.75">
      <c r="A20" s="46"/>
      <c r="B20" s="181">
        <v>4210</v>
      </c>
      <c r="C20" s="182" t="str">
        <f>+'2009 Income Statement'!A35</f>
        <v>4210-Rent from Electric Property</v>
      </c>
      <c r="D20" s="246">
        <f>-'2010 Income Statement'!B35</f>
        <v>183307.78</v>
      </c>
      <c r="E20" s="184">
        <v>1</v>
      </c>
      <c r="F20" s="183">
        <f t="shared" si="0"/>
        <v>183307.78</v>
      </c>
      <c r="G20" s="55"/>
    </row>
    <row r="21" spans="1:7" ht="12.75">
      <c r="A21" s="46"/>
      <c r="B21" s="181">
        <v>4215</v>
      </c>
      <c r="C21" s="182" t="str">
        <f>+'2009 Income Statement'!A36</f>
        <v>4215-Other Utility Operating Income</v>
      </c>
      <c r="D21" s="246">
        <f>-'2010 Income Statement'!B36</f>
        <v>0</v>
      </c>
      <c r="E21" s="184">
        <v>1</v>
      </c>
      <c r="F21" s="183">
        <f t="shared" si="0"/>
        <v>0</v>
      </c>
      <c r="G21" s="55"/>
    </row>
    <row r="22" spans="1:7" ht="12.75">
      <c r="A22" s="46"/>
      <c r="B22" s="181">
        <v>4220</v>
      </c>
      <c r="C22" s="182" t="str">
        <f>+'2009 Income Statement'!A37</f>
        <v>4220-Other Electric Revenues</v>
      </c>
      <c r="D22" s="246">
        <f>-'2010 Income Statement'!B37</f>
        <v>0</v>
      </c>
      <c r="E22" s="184">
        <v>1</v>
      </c>
      <c r="F22" s="183">
        <f t="shared" si="0"/>
        <v>0</v>
      </c>
      <c r="G22" s="55"/>
    </row>
    <row r="23" spans="1:7" ht="12.75">
      <c r="A23" s="46"/>
      <c r="B23" s="181">
        <v>4225</v>
      </c>
      <c r="C23" s="182" t="str">
        <f>+'2009 Income Statement'!A38</f>
        <v>4225-Late Payment Charges</v>
      </c>
      <c r="D23" s="246">
        <f>-'2010 Income Statement'!B38</f>
        <v>137700</v>
      </c>
      <c r="E23" s="184">
        <v>1</v>
      </c>
      <c r="F23" s="183">
        <f t="shared" si="0"/>
        <v>137700</v>
      </c>
      <c r="G23" s="55"/>
    </row>
    <row r="24" spans="1:7" ht="12.75">
      <c r="A24" s="46"/>
      <c r="B24" s="181">
        <v>4230</v>
      </c>
      <c r="C24" s="182" t="str">
        <f>+'2009 Income Statement'!A39</f>
        <v>4230-Sales of Water and Water Power</v>
      </c>
      <c r="D24" s="246">
        <f>-'2010 Income Statement'!B39</f>
        <v>0</v>
      </c>
      <c r="E24" s="184">
        <v>1</v>
      </c>
      <c r="F24" s="183">
        <f t="shared" si="0"/>
        <v>0</v>
      </c>
      <c r="G24" s="55"/>
    </row>
    <row r="25" spans="1:7" ht="12.75">
      <c r="A25" s="46"/>
      <c r="B25" s="181">
        <v>4235</v>
      </c>
      <c r="C25" s="182" t="str">
        <f>+'2009 Income Statement'!A40</f>
        <v>4235-Miscellaneous Service Revenues</v>
      </c>
      <c r="D25" s="246">
        <f>-'2010 Income Statement'!B40</f>
        <v>320753.06</v>
      </c>
      <c r="E25" s="184">
        <v>1</v>
      </c>
      <c r="F25" s="183">
        <f t="shared" si="0"/>
        <v>320753.06</v>
      </c>
      <c r="G25" s="55"/>
    </row>
    <row r="26" spans="1:7" ht="12.75">
      <c r="A26" s="46"/>
      <c r="B26" s="181">
        <v>4240</v>
      </c>
      <c r="C26" s="182" t="str">
        <f>+'2009 Income Statement'!A41</f>
        <v>4240-Provision for Rate Refunds</v>
      </c>
      <c r="D26" s="246">
        <f>-'2010 Income Statement'!B41</f>
        <v>0</v>
      </c>
      <c r="E26" s="184">
        <v>1</v>
      </c>
      <c r="F26" s="183">
        <f t="shared" si="0"/>
        <v>0</v>
      </c>
      <c r="G26" s="55"/>
    </row>
    <row r="27" spans="1:7" ht="12.75">
      <c r="A27" s="46"/>
      <c r="B27" s="181">
        <v>4245</v>
      </c>
      <c r="C27" s="182" t="str">
        <f>+'2009 Income Statement'!A42</f>
        <v>4245-Government Assistance Directly Credited to Income</v>
      </c>
      <c r="D27" s="246">
        <f>-'2010 Income Statement'!B42</f>
        <v>0</v>
      </c>
      <c r="E27" s="184">
        <v>1</v>
      </c>
      <c r="F27" s="183">
        <f t="shared" si="0"/>
        <v>0</v>
      </c>
      <c r="G27" s="55"/>
    </row>
    <row r="28" spans="1:7" ht="12.75">
      <c r="A28" s="46"/>
      <c r="B28" s="181">
        <v>4305</v>
      </c>
      <c r="C28" s="182" t="str">
        <f>+'2009 Income Statement'!A46</f>
        <v>4305-Regulatory Debits</v>
      </c>
      <c r="D28" s="246">
        <f>-'2010 Income Statement'!B46</f>
        <v>0</v>
      </c>
      <c r="E28" s="184">
        <v>1</v>
      </c>
      <c r="F28" s="183">
        <f t="shared" si="0"/>
        <v>0</v>
      </c>
      <c r="G28" s="55"/>
    </row>
    <row r="29" spans="1:7" ht="12.75">
      <c r="A29" s="46"/>
      <c r="B29" s="181">
        <v>4310</v>
      </c>
      <c r="C29" s="182" t="str">
        <f>+'2009 Income Statement'!A47</f>
        <v>4310-Regulatory Credits</v>
      </c>
      <c r="D29" s="246">
        <f>-'2010 Income Statement'!B47</f>
        <v>0</v>
      </c>
      <c r="E29" s="184">
        <v>1</v>
      </c>
      <c r="F29" s="183">
        <f t="shared" si="0"/>
        <v>0</v>
      </c>
      <c r="G29" s="55"/>
    </row>
    <row r="30" spans="1:7" ht="12.75">
      <c r="A30" s="46"/>
      <c r="B30" s="181">
        <v>4315</v>
      </c>
      <c r="C30" s="182" t="str">
        <f>+'2009 Income Statement'!A48</f>
        <v>4315-Revenues from Electric Plant Leased to Others</v>
      </c>
      <c r="D30" s="246">
        <f>-'2010 Income Statement'!B48</f>
        <v>0</v>
      </c>
      <c r="E30" s="184">
        <v>1</v>
      </c>
      <c r="F30" s="183">
        <f t="shared" si="0"/>
        <v>0</v>
      </c>
      <c r="G30" s="55"/>
    </row>
    <row r="31" spans="1:7" ht="12.75">
      <c r="A31" s="46"/>
      <c r="B31" s="181">
        <v>4320</v>
      </c>
      <c r="C31" s="182" t="str">
        <f>+'2009 Income Statement'!A49</f>
        <v>4320-Expenses of Electric Plant Leased to Others</v>
      </c>
      <c r="D31" s="246">
        <f>-'2010 Income Statement'!B49</f>
        <v>0</v>
      </c>
      <c r="E31" s="184">
        <v>1</v>
      </c>
      <c r="F31" s="183">
        <f t="shared" si="0"/>
        <v>0</v>
      </c>
      <c r="G31" s="55"/>
    </row>
    <row r="32" spans="1:7" ht="12.75">
      <c r="A32" s="46"/>
      <c r="B32" s="181">
        <v>4325</v>
      </c>
      <c r="C32" s="182" t="str">
        <f>+'2009 Income Statement'!A50</f>
        <v>4325-Revenues from Merchandise, Jobbing, Etc.</v>
      </c>
      <c r="D32" s="246">
        <f>-'2010 Income Statement'!B50</f>
        <v>12268.92</v>
      </c>
      <c r="E32" s="184">
        <v>1</v>
      </c>
      <c r="F32" s="183">
        <f t="shared" si="0"/>
        <v>12268.92</v>
      </c>
      <c r="G32" s="55"/>
    </row>
    <row r="33" spans="1:7" ht="12.75">
      <c r="A33" s="46"/>
      <c r="B33" s="181">
        <v>4330</v>
      </c>
      <c r="C33" s="182" t="str">
        <f>+'2009 Income Statement'!A51</f>
        <v>4330-Costs and Expenses of Merchandising, Jobbing, Etc</v>
      </c>
      <c r="D33" s="246">
        <f>-'2010 Income Statement'!B51</f>
        <v>-6152</v>
      </c>
      <c r="E33" s="184">
        <v>1</v>
      </c>
      <c r="F33" s="183">
        <f t="shared" si="0"/>
        <v>-6152</v>
      </c>
      <c r="G33" s="55"/>
    </row>
    <row r="34" spans="1:7" ht="12.75">
      <c r="A34" s="46"/>
      <c r="B34" s="181">
        <v>4335</v>
      </c>
      <c r="C34" s="182" t="str">
        <f>+'2009 Income Statement'!A52</f>
        <v>4335-Profits and Losses from Financial Instrument Hedges</v>
      </c>
      <c r="D34" s="246">
        <f>-'2010 Income Statement'!B52</f>
        <v>0</v>
      </c>
      <c r="E34" s="184">
        <v>1</v>
      </c>
      <c r="F34" s="183">
        <f t="shared" si="0"/>
        <v>0</v>
      </c>
      <c r="G34" s="55"/>
    </row>
    <row r="35" spans="1:7" ht="12.75">
      <c r="A35" s="46"/>
      <c r="B35" s="181">
        <v>4340</v>
      </c>
      <c r="C35" s="182" t="str">
        <f>+'2009 Income Statement'!A53</f>
        <v>4340-Profits and Losses from Financial Instrument Investments</v>
      </c>
      <c r="D35" s="246">
        <f>-'2010 Income Statement'!B53</f>
        <v>0</v>
      </c>
      <c r="E35" s="184">
        <v>1</v>
      </c>
      <c r="F35" s="183">
        <f t="shared" si="0"/>
        <v>0</v>
      </c>
      <c r="G35" s="55"/>
    </row>
    <row r="36" spans="1:7" ht="12.75">
      <c r="A36" s="46"/>
      <c r="B36" s="181">
        <v>4345</v>
      </c>
      <c r="C36" s="182" t="str">
        <f>+'2009 Income Statement'!A54</f>
        <v>4345-Gains from Disposition of Future Use Utility Plant</v>
      </c>
      <c r="D36" s="246">
        <f>-'2010 Income Statement'!B54</f>
        <v>0</v>
      </c>
      <c r="E36" s="184">
        <v>0.5</v>
      </c>
      <c r="F36" s="183">
        <f t="shared" si="0"/>
        <v>0</v>
      </c>
      <c r="G36" s="55"/>
    </row>
    <row r="37" spans="1:7" ht="12.75">
      <c r="A37" s="46"/>
      <c r="B37" s="181">
        <v>4350</v>
      </c>
      <c r="C37" s="182" t="str">
        <f>+'2009 Income Statement'!A55</f>
        <v>4350-Losses from Disposition of Future Use Utility Plant</v>
      </c>
      <c r="D37" s="246">
        <f>-'2010 Income Statement'!B55</f>
        <v>0</v>
      </c>
      <c r="E37" s="184">
        <v>0.5</v>
      </c>
      <c r="F37" s="183">
        <f t="shared" si="0"/>
        <v>0</v>
      </c>
      <c r="G37" s="55"/>
    </row>
    <row r="38" spans="1:7" ht="12.75">
      <c r="A38" s="46"/>
      <c r="B38" s="181">
        <v>4355</v>
      </c>
      <c r="C38" s="182" t="str">
        <f>+'2009 Income Statement'!A56</f>
        <v>4355-Gain on Disposition of Utility and Other Property</v>
      </c>
      <c r="D38" s="246">
        <f>-'2010 Income Statement'!B56</f>
        <v>0</v>
      </c>
      <c r="E38" s="184">
        <v>0.5</v>
      </c>
      <c r="F38" s="183">
        <f t="shared" si="0"/>
        <v>0</v>
      </c>
      <c r="G38" s="55"/>
    </row>
    <row r="39" spans="1:7" ht="12.75">
      <c r="A39" s="46"/>
      <c r="B39" s="181">
        <v>4360</v>
      </c>
      <c r="C39" s="182" t="str">
        <f>+'2009 Income Statement'!A57</f>
        <v>4360-Loss on Disposition of Utility and Other Property</v>
      </c>
      <c r="D39" s="246">
        <f>-'2010 Income Statement'!B57</f>
        <v>0</v>
      </c>
      <c r="E39" s="184">
        <v>0.5</v>
      </c>
      <c r="F39" s="183">
        <f t="shared" si="0"/>
        <v>0</v>
      </c>
      <c r="G39" s="55"/>
    </row>
    <row r="40" spans="1:7" ht="12.75">
      <c r="A40" s="46"/>
      <c r="B40" s="181">
        <v>4365</v>
      </c>
      <c r="C40" s="182" t="str">
        <f>+'2009 Income Statement'!A58</f>
        <v>4365-Gains from Disposition of Allowances for Emission</v>
      </c>
      <c r="D40" s="246">
        <f>-'2010 Income Statement'!B58</f>
        <v>0</v>
      </c>
      <c r="E40" s="184">
        <v>1</v>
      </c>
      <c r="F40" s="183">
        <f t="shared" si="0"/>
        <v>0</v>
      </c>
      <c r="G40" s="55"/>
    </row>
    <row r="41" spans="1:7" ht="12.75">
      <c r="A41" s="46"/>
      <c r="B41" s="181">
        <v>4370</v>
      </c>
      <c r="C41" s="182" t="str">
        <f>+'2009 Income Statement'!A59</f>
        <v>4370-Losses from Disposition of Allowances for Emission</v>
      </c>
      <c r="D41" s="246">
        <f>-'2010 Income Statement'!B59</f>
        <v>0</v>
      </c>
      <c r="E41" s="184">
        <v>1</v>
      </c>
      <c r="F41" s="183">
        <f t="shared" si="0"/>
        <v>0</v>
      </c>
      <c r="G41" s="55"/>
    </row>
    <row r="42" spans="1:7" ht="12.75">
      <c r="A42" s="46"/>
      <c r="B42" s="181">
        <v>4375</v>
      </c>
      <c r="C42" s="182" t="str">
        <f>+'2009 Income Statement'!A60</f>
        <v>4375-Revenues from Non-Utility Operations</v>
      </c>
      <c r="D42" s="246">
        <f>-'2010 Income Statement'!B60</f>
        <v>248349</v>
      </c>
      <c r="E42" s="184">
        <v>1</v>
      </c>
      <c r="F42" s="183">
        <f t="shared" si="0"/>
        <v>248349</v>
      </c>
      <c r="G42" s="55"/>
    </row>
    <row r="43" spans="1:7" ht="12.75">
      <c r="A43" s="46"/>
      <c r="B43" s="181">
        <v>4380</v>
      </c>
      <c r="C43" s="182" t="str">
        <f>+'2009 Income Statement'!A61</f>
        <v>4380-Expenses of Non-Utility Operations</v>
      </c>
      <c r="D43" s="246">
        <f>-'2010 Income Statement'!B61</f>
        <v>-209000</v>
      </c>
      <c r="E43" s="184">
        <v>1</v>
      </c>
      <c r="F43" s="183">
        <f t="shared" si="0"/>
        <v>-209000</v>
      </c>
      <c r="G43" s="55"/>
    </row>
    <row r="44" spans="1:7" ht="12.75">
      <c r="A44" s="46"/>
      <c r="B44" s="181">
        <v>4385</v>
      </c>
      <c r="C44" s="182" t="str">
        <f>+'2009 Income Statement'!A62</f>
        <v>4385-Non-Utility Rental Income</v>
      </c>
      <c r="D44" s="246">
        <f>-'2010 Income Statement'!B62</f>
        <v>-122.2</v>
      </c>
      <c r="E44" s="184">
        <v>1</v>
      </c>
      <c r="F44" s="183">
        <f t="shared" si="0"/>
        <v>-122.2</v>
      </c>
      <c r="G44" s="55"/>
    </row>
    <row r="45" spans="1:7" ht="12.75">
      <c r="A45" s="46"/>
      <c r="B45" s="181">
        <v>4390</v>
      </c>
      <c r="C45" s="182" t="str">
        <f>+'2009 Income Statement'!A63</f>
        <v>4390-Miscellaneous Non-Operating Income</v>
      </c>
      <c r="D45" s="246">
        <f>-'2010 Income Statement'!B63</f>
        <v>7134.2</v>
      </c>
      <c r="E45" s="184">
        <v>1</v>
      </c>
      <c r="F45" s="183">
        <f t="shared" si="0"/>
        <v>7134.2</v>
      </c>
      <c r="G45" s="55"/>
    </row>
    <row r="46" spans="1:7" ht="12.75">
      <c r="A46" s="46"/>
      <c r="B46" s="181">
        <v>4395</v>
      </c>
      <c r="C46" s="182" t="str">
        <f>+'2009 Income Statement'!A64</f>
        <v>4395-Rate-Payer Benefit Including Interest</v>
      </c>
      <c r="D46" s="246">
        <f>-'2010 Income Statement'!B64</f>
        <v>0</v>
      </c>
      <c r="E46" s="184">
        <v>1</v>
      </c>
      <c r="F46" s="183">
        <f t="shared" si="0"/>
        <v>0</v>
      </c>
      <c r="G46" s="55"/>
    </row>
    <row r="47" spans="1:7" ht="12.75">
      <c r="A47" s="46"/>
      <c r="B47" s="181">
        <v>4398</v>
      </c>
      <c r="C47" s="182" t="str">
        <f>+'2009 Income Statement'!A65</f>
        <v>4398-Foreign Exchange Gains and Losses, Including Amortization</v>
      </c>
      <c r="D47" s="246">
        <f>-'2010 Income Statement'!B65</f>
        <v>0</v>
      </c>
      <c r="E47" s="184">
        <v>1</v>
      </c>
      <c r="F47" s="183">
        <f t="shared" si="0"/>
        <v>0</v>
      </c>
      <c r="G47" s="55"/>
    </row>
    <row r="48" spans="1:7" ht="12.75">
      <c r="A48" s="46"/>
      <c r="B48" s="181">
        <v>4405</v>
      </c>
      <c r="C48" s="182" t="str">
        <f>+'2009 Income Statement'!A69</f>
        <v>4405-Interest and Dividend Income</v>
      </c>
      <c r="D48" s="246">
        <v>57245.681410124685</v>
      </c>
      <c r="E48" s="184">
        <v>1</v>
      </c>
      <c r="F48" s="183">
        <f t="shared" si="0"/>
        <v>57245.681410124685</v>
      </c>
      <c r="G48" s="55"/>
    </row>
    <row r="49" spans="1:11" ht="25.5" customHeight="1" thickBot="1">
      <c r="A49" s="46"/>
      <c r="B49" s="552" t="s">
        <v>420</v>
      </c>
      <c r="C49" s="552"/>
      <c r="D49" s="552"/>
      <c r="E49" s="552"/>
      <c r="F49" s="289">
        <f>SUM(F15:F48)</f>
        <v>825116.4414101248</v>
      </c>
      <c r="G49" s="55"/>
      <c r="I49" s="353"/>
      <c r="K49" s="353"/>
    </row>
    <row r="50" spans="1:7" ht="7.5" customHeight="1" thickBot="1" thickTop="1">
      <c r="A50" s="49"/>
      <c r="B50" s="193"/>
      <c r="C50" s="193"/>
      <c r="D50" s="193"/>
      <c r="E50" s="193"/>
      <c r="F50" s="194"/>
      <c r="G50" s="51"/>
    </row>
    <row r="51" ht="8.25" customHeight="1"/>
    <row r="52" spans="3:5" ht="18.75" thickBot="1">
      <c r="C52" s="527" t="s">
        <v>456</v>
      </c>
      <c r="D52" s="527"/>
      <c r="E52" s="527"/>
    </row>
    <row r="53" spans="2:5" ht="12.75">
      <c r="B53" s="56"/>
      <c r="C53" s="171" t="s">
        <v>457</v>
      </c>
      <c r="D53" s="185">
        <f>C10</f>
        <v>12642754.15585639</v>
      </c>
      <c r="E53" s="186"/>
    </row>
    <row r="54" spans="2:5" ht="12.75">
      <c r="B54" s="56"/>
      <c r="C54" s="191" t="s">
        <v>421</v>
      </c>
      <c r="D54" s="187">
        <f>-F49</f>
        <v>-825116.4414101248</v>
      </c>
      <c r="E54" s="188"/>
    </row>
    <row r="55" spans="2:5" ht="12.75">
      <c r="B55" s="56"/>
      <c r="C55" s="192" t="s">
        <v>456</v>
      </c>
      <c r="D55" s="189"/>
      <c r="E55" s="190">
        <f>D53+D54</f>
        <v>11817637.714446265</v>
      </c>
    </row>
    <row r="56" ht="12.75">
      <c r="B56" s="56"/>
    </row>
  </sheetData>
  <mergeCells count="6">
    <mergeCell ref="A1:G1"/>
    <mergeCell ref="A2:G2"/>
    <mergeCell ref="C52:E52"/>
    <mergeCell ref="B4:C4"/>
    <mergeCell ref="B13:F13"/>
    <mergeCell ref="B49:E49"/>
  </mergeCells>
  <printOptions/>
  <pageMargins left="0.28" right="0.25" top="0.984251968503937" bottom="0.984251968503937" header="0.5118110236220472" footer="0.5118110236220472"/>
  <pageSetup fitToHeight="5" fitToWidth="1" horizontalDpi="355" verticalDpi="355" orientation="portrait" scale="78" r:id="rId1"/>
  <headerFooter alignWithMargins="0"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view="pageBreakPreview" zoomScaleSheetLayoutView="100" workbookViewId="0" topLeftCell="A1">
      <pane xSplit="3" ySplit="9" topLeftCell="D10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D10" sqref="D10"/>
    </sheetView>
  </sheetViews>
  <sheetFormatPr defaultColWidth="9.140625" defaultRowHeight="12.75"/>
  <cols>
    <col min="1" max="1" width="7.57421875" style="25" customWidth="1"/>
    <col min="2" max="2" width="5.00390625" style="240" bestFit="1" customWidth="1"/>
    <col min="3" max="3" width="43.57421875" style="239" bestFit="1" customWidth="1"/>
    <col min="4" max="4" width="12.140625" style="239" customWidth="1"/>
    <col min="5" max="6" width="10.7109375" style="239" customWidth="1"/>
    <col min="7" max="7" width="12.140625" style="239" customWidth="1"/>
    <col min="8" max="8" width="0.9921875" style="239" customWidth="1"/>
    <col min="9" max="9" width="12.140625" style="239" customWidth="1"/>
    <col min="10" max="10" width="11.7109375" style="239" bestFit="1" customWidth="1"/>
    <col min="11" max="11" width="10.7109375" style="239" customWidth="1"/>
    <col min="12" max="12" width="15.8515625" style="239" bestFit="1" customWidth="1"/>
    <col min="13" max="13" width="12.140625" style="239" customWidth="1"/>
  </cols>
  <sheetData>
    <row r="1" spans="1:13" ht="12.75">
      <c r="A1" s="441" t="str">
        <f>'Trial Balance'!A1:J1</f>
        <v>North Bay Hydro Distribution Ltd.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13" ht="12.75">
      <c r="A2" s="441" t="str">
        <f>'Trial Balance'!A2:J2</f>
        <v>License Number ED-2003-0024, File Number EB-2009-0270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1:13" ht="12.75">
      <c r="A3" s="444"/>
      <c r="B3" s="444"/>
      <c r="C3" s="444"/>
      <c r="D3" s="236"/>
      <c r="E3" s="236"/>
      <c r="F3" s="236"/>
      <c r="G3" s="236"/>
      <c r="H3" s="237"/>
      <c r="I3" s="238"/>
      <c r="J3" s="238"/>
      <c r="K3" s="238"/>
      <c r="L3" s="238"/>
      <c r="M3" s="238"/>
    </row>
    <row r="4" spans="1:13" ht="12.75">
      <c r="A4" s="444" t="s">
        <v>231</v>
      </c>
      <c r="B4" s="444"/>
      <c r="C4" s="444"/>
      <c r="D4" s="236"/>
      <c r="E4" s="236"/>
      <c r="F4" s="236"/>
      <c r="H4" s="237"/>
      <c r="I4" s="238"/>
      <c r="J4" s="238"/>
      <c r="K4" s="238"/>
      <c r="L4" s="238"/>
      <c r="M4" s="238"/>
    </row>
    <row r="5" spans="1:13" ht="12.75">
      <c r="A5" s="444" t="s">
        <v>273</v>
      </c>
      <c r="B5" s="444"/>
      <c r="C5" s="444"/>
      <c r="D5" s="236"/>
      <c r="E5" s="236"/>
      <c r="F5" s="236"/>
      <c r="H5" s="237"/>
      <c r="I5" s="238"/>
      <c r="J5" s="238"/>
      <c r="K5" s="238"/>
      <c r="L5" s="238"/>
      <c r="M5" s="238"/>
    </row>
    <row r="6" spans="4:13" ht="12.75">
      <c r="D6" s="442" t="s">
        <v>274</v>
      </c>
      <c r="E6" s="442"/>
      <c r="F6" s="442"/>
      <c r="G6" s="442"/>
      <c r="H6" s="237"/>
      <c r="I6" s="442" t="s">
        <v>275</v>
      </c>
      <c r="J6" s="442"/>
      <c r="K6" s="442"/>
      <c r="L6" s="442"/>
      <c r="M6" s="238"/>
    </row>
    <row r="7" spans="3:13" ht="12.75">
      <c r="C7" s="235"/>
      <c r="D7" s="443"/>
      <c r="E7" s="443"/>
      <c r="F7" s="443"/>
      <c r="G7" s="443"/>
      <c r="H7" s="237"/>
      <c r="I7" s="443"/>
      <c r="J7" s="443"/>
      <c r="K7" s="443"/>
      <c r="L7" s="443"/>
      <c r="M7" s="238"/>
    </row>
    <row r="8" spans="1:13" ht="12.75">
      <c r="A8" s="446" t="s">
        <v>223</v>
      </c>
      <c r="B8" s="446" t="s">
        <v>516</v>
      </c>
      <c r="C8" s="446" t="s">
        <v>189</v>
      </c>
      <c r="D8" s="446" t="s">
        <v>239</v>
      </c>
      <c r="E8" s="446" t="s">
        <v>340</v>
      </c>
      <c r="F8" s="446" t="s">
        <v>341</v>
      </c>
      <c r="G8" s="446" t="s">
        <v>240</v>
      </c>
      <c r="H8" s="448"/>
      <c r="I8" s="446" t="s">
        <v>239</v>
      </c>
      <c r="J8" s="446" t="s">
        <v>340</v>
      </c>
      <c r="K8" s="446" t="s">
        <v>341</v>
      </c>
      <c r="L8" s="446" t="s">
        <v>240</v>
      </c>
      <c r="M8" s="446" t="s">
        <v>241</v>
      </c>
    </row>
    <row r="9" spans="1:13" ht="12.75">
      <c r="A9" s="447"/>
      <c r="B9" s="447"/>
      <c r="C9" s="447"/>
      <c r="D9" s="447" t="s">
        <v>276</v>
      </c>
      <c r="E9" s="447" t="s">
        <v>340</v>
      </c>
      <c r="F9" s="447"/>
      <c r="G9" s="447"/>
      <c r="H9" s="448"/>
      <c r="I9" s="447" t="s">
        <v>276</v>
      </c>
      <c r="J9" s="447" t="s">
        <v>340</v>
      </c>
      <c r="K9" s="447"/>
      <c r="L9" s="447"/>
      <c r="M9" s="447"/>
    </row>
    <row r="10" spans="1:13" ht="12.75">
      <c r="A10" s="92" t="s">
        <v>224</v>
      </c>
      <c r="B10" s="249">
        <f>+'Trial Balance'!A80</f>
        <v>1805</v>
      </c>
      <c r="C10" s="313" t="str">
        <f>+'Trial Balance'!B80</f>
        <v>Land</v>
      </c>
      <c r="D10" s="409">
        <v>311178.69</v>
      </c>
      <c r="E10" s="406"/>
      <c r="F10" s="406"/>
      <c r="G10" s="408">
        <f>D10+E10-F10</f>
        <v>311178.69</v>
      </c>
      <c r="H10" s="448"/>
      <c r="I10" s="409"/>
      <c r="J10" s="406"/>
      <c r="K10" s="406"/>
      <c r="L10" s="408">
        <f>I10+J10-K10</f>
        <v>0</v>
      </c>
      <c r="M10" s="408">
        <f aca="true" t="shared" si="0" ref="M10:M46">G10-L10</f>
        <v>311178.69</v>
      </c>
    </row>
    <row r="11" spans="1:13" ht="12.75">
      <c r="A11" s="92" t="s">
        <v>504</v>
      </c>
      <c r="B11" s="249">
        <f>+'Trial Balance'!A81</f>
        <v>1806</v>
      </c>
      <c r="C11" s="313" t="str">
        <f>+'Trial Balance'!B81</f>
        <v>Land Rights</v>
      </c>
      <c r="D11" s="409">
        <v>0</v>
      </c>
      <c r="E11" s="406"/>
      <c r="F11" s="406"/>
      <c r="G11" s="408">
        <f aca="true" t="shared" si="1" ref="G11:G46">D11+E11-F11</f>
        <v>0</v>
      </c>
      <c r="H11" s="448"/>
      <c r="I11" s="409"/>
      <c r="J11" s="406"/>
      <c r="K11" s="406"/>
      <c r="L11" s="408">
        <f aca="true" t="shared" si="2" ref="L11:L46">I11+J11-K11</f>
        <v>0</v>
      </c>
      <c r="M11" s="408">
        <f t="shared" si="0"/>
        <v>0</v>
      </c>
    </row>
    <row r="12" spans="1:13" ht="12.75">
      <c r="A12" s="92">
        <v>1</v>
      </c>
      <c r="B12" s="249">
        <f>+'Trial Balance'!A82</f>
        <v>1808</v>
      </c>
      <c r="C12" s="313" t="str">
        <f>+'Trial Balance'!B82</f>
        <v>Buildings and Fixtures</v>
      </c>
      <c r="D12" s="409">
        <v>767945.81</v>
      </c>
      <c r="E12" s="406"/>
      <c r="F12" s="406"/>
      <c r="G12" s="408">
        <f t="shared" si="1"/>
        <v>767945.81</v>
      </c>
      <c r="H12" s="448"/>
      <c r="I12" s="409">
        <v>226130.81</v>
      </c>
      <c r="J12" s="406">
        <v>13455</v>
      </c>
      <c r="K12" s="406"/>
      <c r="L12" s="408">
        <f t="shared" si="2"/>
        <v>239585.81</v>
      </c>
      <c r="M12" s="408">
        <f t="shared" si="0"/>
        <v>528360</v>
      </c>
    </row>
    <row r="13" spans="1:13" ht="12.75">
      <c r="A13" s="92"/>
      <c r="B13" s="249">
        <f>+'Trial Balance'!A83</f>
        <v>1810</v>
      </c>
      <c r="C13" s="313" t="str">
        <f>+'Trial Balance'!B83</f>
        <v>Leasehold Improvements</v>
      </c>
      <c r="D13" s="409">
        <v>0</v>
      </c>
      <c r="E13" s="406"/>
      <c r="F13" s="406"/>
      <c r="G13" s="408">
        <f t="shared" si="1"/>
        <v>0</v>
      </c>
      <c r="H13" s="448"/>
      <c r="I13" s="409"/>
      <c r="J13" s="406"/>
      <c r="K13" s="406"/>
      <c r="L13" s="408">
        <f t="shared" si="2"/>
        <v>0</v>
      </c>
      <c r="M13" s="408">
        <f t="shared" si="0"/>
        <v>0</v>
      </c>
    </row>
    <row r="14" spans="1:13" ht="12.75">
      <c r="A14" s="92"/>
      <c r="B14" s="249">
        <f>+'Trial Balance'!A84</f>
        <v>1815</v>
      </c>
      <c r="C14" s="313" t="str">
        <f>+'Trial Balance'!B84</f>
        <v>Transformer Station Equipment -  &gt; 50 kV</v>
      </c>
      <c r="D14" s="409">
        <v>0</v>
      </c>
      <c r="E14" s="406"/>
      <c r="F14" s="406"/>
      <c r="G14" s="408">
        <f t="shared" si="1"/>
        <v>0</v>
      </c>
      <c r="H14" s="448"/>
      <c r="I14" s="409"/>
      <c r="J14" s="406"/>
      <c r="K14" s="406"/>
      <c r="L14" s="408">
        <f t="shared" si="2"/>
        <v>0</v>
      </c>
      <c r="M14" s="408">
        <f t="shared" si="0"/>
        <v>0</v>
      </c>
    </row>
    <row r="15" spans="1:13" ht="12.75">
      <c r="A15" s="92">
        <v>1</v>
      </c>
      <c r="B15" s="249">
        <f>+'Trial Balance'!A85</f>
        <v>1820</v>
      </c>
      <c r="C15" s="313" t="str">
        <f>+'Trial Balance'!B85</f>
        <v>Distribution Station Equipment - &lt; 50 kV</v>
      </c>
      <c r="D15" s="409">
        <v>6554285.26</v>
      </c>
      <c r="E15" s="406">
        <f>995699.83+121390</f>
        <v>1117089.83</v>
      </c>
      <c r="F15" s="406"/>
      <c r="G15" s="408">
        <f t="shared" si="1"/>
        <v>7671375.09</v>
      </c>
      <c r="H15" s="448"/>
      <c r="I15" s="409">
        <v>2606463.55</v>
      </c>
      <c r="J15" s="406">
        <v>232002.38</v>
      </c>
      <c r="K15" s="406"/>
      <c r="L15" s="408">
        <f t="shared" si="2"/>
        <v>2838465.9299999997</v>
      </c>
      <c r="M15" s="408">
        <f t="shared" si="0"/>
        <v>4832909.16</v>
      </c>
    </row>
    <row r="16" spans="1:13" ht="12.75">
      <c r="A16" s="92"/>
      <c r="B16" s="249">
        <f>+'Trial Balance'!A86</f>
        <v>1825</v>
      </c>
      <c r="C16" s="313" t="str">
        <f>+'Trial Balance'!B86</f>
        <v>Storage Battery Equipment</v>
      </c>
      <c r="D16" s="409">
        <v>0</v>
      </c>
      <c r="E16" s="406"/>
      <c r="F16" s="406"/>
      <c r="G16" s="408">
        <f t="shared" si="1"/>
        <v>0</v>
      </c>
      <c r="H16" s="448"/>
      <c r="I16" s="409"/>
      <c r="J16" s="406"/>
      <c r="K16" s="406"/>
      <c r="L16" s="408">
        <f t="shared" si="2"/>
        <v>0</v>
      </c>
      <c r="M16" s="408">
        <f t="shared" si="0"/>
        <v>0</v>
      </c>
    </row>
    <row r="17" spans="1:13" ht="12.75">
      <c r="A17" s="92">
        <v>1</v>
      </c>
      <c r="B17" s="249">
        <f>+'Trial Balance'!A87</f>
        <v>1830</v>
      </c>
      <c r="C17" s="313" t="str">
        <f>+'Trial Balance'!B87</f>
        <v>Poles, Towers and Fixtures</v>
      </c>
      <c r="D17" s="409">
        <v>13724215.67</v>
      </c>
      <c r="E17" s="406">
        <v>566492.94</v>
      </c>
      <c r="F17" s="406"/>
      <c r="G17" s="408">
        <f t="shared" si="1"/>
        <v>14290708.61</v>
      </c>
      <c r="H17" s="448"/>
      <c r="I17" s="409">
        <v>7912852.74</v>
      </c>
      <c r="J17" s="406">
        <v>447780.11</v>
      </c>
      <c r="K17" s="406"/>
      <c r="L17" s="408">
        <f t="shared" si="2"/>
        <v>8360632.850000001</v>
      </c>
      <c r="M17" s="408">
        <f t="shared" si="0"/>
        <v>5930075.759999999</v>
      </c>
    </row>
    <row r="18" spans="1:13" ht="12.75">
      <c r="A18" s="92">
        <v>1</v>
      </c>
      <c r="B18" s="249">
        <f>+'Trial Balance'!A88</f>
        <v>1835</v>
      </c>
      <c r="C18" s="313" t="str">
        <f>+'Trial Balance'!B88</f>
        <v>Overhead Conductors and Devices</v>
      </c>
      <c r="D18" s="409">
        <v>10712853.82</v>
      </c>
      <c r="E18" s="406">
        <v>615846.17</v>
      </c>
      <c r="F18" s="406"/>
      <c r="G18" s="408">
        <f t="shared" si="1"/>
        <v>11328699.99</v>
      </c>
      <c r="H18" s="448"/>
      <c r="I18" s="409">
        <v>5895479.62</v>
      </c>
      <c r="J18" s="406">
        <v>362680.44</v>
      </c>
      <c r="K18" s="406"/>
      <c r="L18" s="408">
        <f t="shared" si="2"/>
        <v>6258160.0600000005</v>
      </c>
      <c r="M18" s="408">
        <f t="shared" si="0"/>
        <v>5070539.93</v>
      </c>
    </row>
    <row r="19" spans="1:13" ht="12.75">
      <c r="A19" s="92">
        <v>1</v>
      </c>
      <c r="B19" s="249">
        <f>+'Trial Balance'!A89</f>
        <v>1840</v>
      </c>
      <c r="C19" s="313" t="str">
        <f>+'Trial Balance'!B89</f>
        <v>Underground Conduit</v>
      </c>
      <c r="D19" s="409">
        <v>205431.51</v>
      </c>
      <c r="E19" s="406">
        <v>86601.67</v>
      </c>
      <c r="F19" s="406"/>
      <c r="G19" s="408">
        <f t="shared" si="1"/>
        <v>292033.18</v>
      </c>
      <c r="H19" s="448"/>
      <c r="I19" s="409">
        <v>30429.01</v>
      </c>
      <c r="J19" s="406">
        <v>11682.67</v>
      </c>
      <c r="K19" s="406"/>
      <c r="L19" s="408">
        <f t="shared" si="2"/>
        <v>42111.68</v>
      </c>
      <c r="M19" s="408">
        <f t="shared" si="0"/>
        <v>249921.5</v>
      </c>
    </row>
    <row r="20" spans="1:13" ht="12.75">
      <c r="A20" s="92">
        <v>1</v>
      </c>
      <c r="B20" s="249">
        <f>+'Trial Balance'!A90</f>
        <v>1845</v>
      </c>
      <c r="C20" s="313" t="str">
        <f>+'Trial Balance'!B90</f>
        <v>Underground Conductors and Devices</v>
      </c>
      <c r="D20" s="409">
        <v>5406371.36</v>
      </c>
      <c r="E20" s="406">
        <v>159511.62</v>
      </c>
      <c r="F20" s="406"/>
      <c r="G20" s="408">
        <f t="shared" si="1"/>
        <v>5565882.98</v>
      </c>
      <c r="H20" s="448"/>
      <c r="I20" s="409">
        <v>3117264.33</v>
      </c>
      <c r="J20" s="406">
        <v>201077.85</v>
      </c>
      <c r="K20" s="406"/>
      <c r="L20" s="408">
        <f t="shared" si="2"/>
        <v>3318342.18</v>
      </c>
      <c r="M20" s="408">
        <f t="shared" si="0"/>
        <v>2247540.8000000003</v>
      </c>
    </row>
    <row r="21" spans="1:13" ht="12.75">
      <c r="A21" s="92">
        <v>1</v>
      </c>
      <c r="B21" s="249">
        <f>+'Trial Balance'!A91</f>
        <v>1850</v>
      </c>
      <c r="C21" s="313" t="str">
        <f>+'Trial Balance'!B91</f>
        <v>Line Transformers</v>
      </c>
      <c r="D21" s="409">
        <v>11341520.8</v>
      </c>
      <c r="E21" s="406">
        <v>1140883.2</v>
      </c>
      <c r="F21" s="406"/>
      <c r="G21" s="408">
        <f t="shared" si="1"/>
        <v>12482404</v>
      </c>
      <c r="H21" s="448"/>
      <c r="I21" s="409">
        <v>6542576.94</v>
      </c>
      <c r="J21" s="406">
        <v>347884.78</v>
      </c>
      <c r="K21" s="406"/>
      <c r="L21" s="408">
        <f t="shared" si="2"/>
        <v>6890461.720000001</v>
      </c>
      <c r="M21" s="408">
        <f t="shared" si="0"/>
        <v>5591942.279999999</v>
      </c>
    </row>
    <row r="22" spans="1:13" ht="12.75">
      <c r="A22" s="92">
        <v>1</v>
      </c>
      <c r="B22" s="249">
        <f>+'Trial Balance'!A92</f>
        <v>1855</v>
      </c>
      <c r="C22" s="313" t="str">
        <f>+'Trial Balance'!B92</f>
        <v>Services</v>
      </c>
      <c r="D22" s="409">
        <v>7697382.9</v>
      </c>
      <c r="E22" s="406">
        <v>739860.95</v>
      </c>
      <c r="F22" s="406"/>
      <c r="G22" s="408">
        <f t="shared" si="1"/>
        <v>8437243.85</v>
      </c>
      <c r="H22" s="448"/>
      <c r="I22" s="409">
        <v>3621884.97</v>
      </c>
      <c r="J22" s="406">
        <v>303339.01</v>
      </c>
      <c r="K22" s="406"/>
      <c r="L22" s="408">
        <f t="shared" si="2"/>
        <v>3925223.9800000004</v>
      </c>
      <c r="M22" s="408">
        <f t="shared" si="0"/>
        <v>4512019.869999999</v>
      </c>
    </row>
    <row r="23" spans="1:13" ht="12.75">
      <c r="A23" s="92">
        <v>1</v>
      </c>
      <c r="B23" s="249">
        <f>+'Trial Balance'!A93</f>
        <v>1860</v>
      </c>
      <c r="C23" s="313" t="str">
        <f>+'Trial Balance'!B93</f>
        <v>Meters</v>
      </c>
      <c r="D23" s="409">
        <v>3324506.53</v>
      </c>
      <c r="E23" s="406">
        <v>102626.55</v>
      </c>
      <c r="F23" s="406"/>
      <c r="G23" s="408">
        <f t="shared" si="1"/>
        <v>3427133.0799999996</v>
      </c>
      <c r="H23" s="448"/>
      <c r="I23" s="409">
        <v>1987818.54</v>
      </c>
      <c r="J23" s="406">
        <v>98608.23</v>
      </c>
      <c r="K23" s="406"/>
      <c r="L23" s="408">
        <f t="shared" si="2"/>
        <v>2086426.77</v>
      </c>
      <c r="M23" s="408">
        <f t="shared" si="0"/>
        <v>1340706.3099999996</v>
      </c>
    </row>
    <row r="24" spans="1:13" ht="12.75">
      <c r="A24" s="92"/>
      <c r="B24" s="249">
        <f>+'Trial Balance'!A94</f>
        <v>1865</v>
      </c>
      <c r="C24" s="313" t="str">
        <f>+'Trial Balance'!B94</f>
        <v>Other Installations on Customer's Premises</v>
      </c>
      <c r="D24" s="409">
        <v>0</v>
      </c>
      <c r="E24" s="406"/>
      <c r="F24" s="406"/>
      <c r="G24" s="408">
        <f t="shared" si="1"/>
        <v>0</v>
      </c>
      <c r="H24" s="448"/>
      <c r="I24" s="409"/>
      <c r="J24" s="406"/>
      <c r="K24" s="406"/>
      <c r="L24" s="408">
        <f t="shared" si="2"/>
        <v>0</v>
      </c>
      <c r="M24" s="408">
        <f t="shared" si="0"/>
        <v>0</v>
      </c>
    </row>
    <row r="25" spans="1:13" ht="12.75">
      <c r="A25" s="92" t="s">
        <v>224</v>
      </c>
      <c r="B25" s="249">
        <f>+'Trial Balance'!A95</f>
        <v>1905</v>
      </c>
      <c r="C25" s="313" t="str">
        <f>+'Trial Balance'!B95</f>
        <v>Land</v>
      </c>
      <c r="D25" s="409">
        <v>86550.51</v>
      </c>
      <c r="E25" s="406"/>
      <c r="F25" s="406"/>
      <c r="G25" s="408">
        <f t="shared" si="1"/>
        <v>86550.51</v>
      </c>
      <c r="H25" s="448"/>
      <c r="I25" s="409"/>
      <c r="J25" s="406"/>
      <c r="K25" s="406"/>
      <c r="L25" s="408">
        <f t="shared" si="2"/>
        <v>0</v>
      </c>
      <c r="M25" s="408">
        <f t="shared" si="0"/>
        <v>86550.51</v>
      </c>
    </row>
    <row r="26" spans="1:13" ht="12.75">
      <c r="A26" s="92" t="s">
        <v>504</v>
      </c>
      <c r="B26" s="249">
        <f>+'Trial Balance'!A96</f>
        <v>1906</v>
      </c>
      <c r="C26" s="313" t="str">
        <f>+'Trial Balance'!B96</f>
        <v>Land Rights</v>
      </c>
      <c r="D26" s="409">
        <v>0</v>
      </c>
      <c r="E26" s="406"/>
      <c r="F26" s="406"/>
      <c r="G26" s="408">
        <f t="shared" si="1"/>
        <v>0</v>
      </c>
      <c r="H26" s="448"/>
      <c r="I26" s="409"/>
      <c r="J26" s="406"/>
      <c r="K26" s="406"/>
      <c r="L26" s="408">
        <f t="shared" si="2"/>
        <v>0</v>
      </c>
      <c r="M26" s="408">
        <f t="shared" si="0"/>
        <v>0</v>
      </c>
    </row>
    <row r="27" spans="1:13" ht="12.75">
      <c r="A27" s="92">
        <v>1</v>
      </c>
      <c r="B27" s="249">
        <f>+'Trial Balance'!A97</f>
        <v>1908</v>
      </c>
      <c r="C27" s="313" t="str">
        <f>+'Trial Balance'!B97</f>
        <v>Buildings and Fixtures</v>
      </c>
      <c r="D27" s="409">
        <v>1445293.29</v>
      </c>
      <c r="E27" s="406">
        <v>119700.83</v>
      </c>
      <c r="F27" s="406"/>
      <c r="G27" s="408">
        <f t="shared" si="1"/>
        <v>1564994.12</v>
      </c>
      <c r="H27" s="448"/>
      <c r="I27" s="409">
        <v>815161.15</v>
      </c>
      <c r="J27" s="406">
        <v>62395.22</v>
      </c>
      <c r="K27" s="406"/>
      <c r="L27" s="408">
        <f t="shared" si="2"/>
        <v>877556.37</v>
      </c>
      <c r="M27" s="408">
        <f t="shared" si="0"/>
        <v>687437.7500000001</v>
      </c>
    </row>
    <row r="28" spans="1:13" ht="12.75">
      <c r="A28" s="92"/>
      <c r="B28" s="249">
        <f>+'Trial Balance'!A98</f>
        <v>1910</v>
      </c>
      <c r="C28" s="313" t="str">
        <f>+'Trial Balance'!B98</f>
        <v>Leasehold Improvements</v>
      </c>
      <c r="D28" s="409">
        <v>0</v>
      </c>
      <c r="E28" s="406"/>
      <c r="F28" s="406"/>
      <c r="G28" s="408">
        <f t="shared" si="1"/>
        <v>0</v>
      </c>
      <c r="H28" s="448"/>
      <c r="I28" s="409"/>
      <c r="J28" s="406"/>
      <c r="K28" s="406"/>
      <c r="L28" s="408">
        <f t="shared" si="2"/>
        <v>0</v>
      </c>
      <c r="M28" s="408">
        <f t="shared" si="0"/>
        <v>0</v>
      </c>
    </row>
    <row r="29" spans="1:13" ht="12.75">
      <c r="A29" s="92">
        <v>8</v>
      </c>
      <c r="B29" s="249">
        <f>+'Trial Balance'!A99</f>
        <v>1915</v>
      </c>
      <c r="C29" s="313" t="str">
        <f>+'Trial Balance'!B99</f>
        <v>Office Furniture and Equipment</v>
      </c>
      <c r="D29" s="409">
        <v>271043.17</v>
      </c>
      <c r="E29" s="406">
        <v>6191.85</v>
      </c>
      <c r="F29" s="406"/>
      <c r="G29" s="408">
        <f t="shared" si="1"/>
        <v>277235.01999999996</v>
      </c>
      <c r="H29" s="448"/>
      <c r="I29" s="409">
        <v>250747.17</v>
      </c>
      <c r="J29" s="406">
        <v>7735.85</v>
      </c>
      <c r="K29" s="406"/>
      <c r="L29" s="408">
        <f t="shared" si="2"/>
        <v>258483.02000000002</v>
      </c>
      <c r="M29" s="408">
        <f t="shared" si="0"/>
        <v>18751.99999999994</v>
      </c>
    </row>
    <row r="30" spans="1:13" ht="12.75">
      <c r="A30" s="92">
        <v>45</v>
      </c>
      <c r="B30" s="249">
        <f>+'Trial Balance'!A100</f>
        <v>1920</v>
      </c>
      <c r="C30" s="313" t="str">
        <f>+'Trial Balance'!B100</f>
        <v>Computer Equipment - Hardware</v>
      </c>
      <c r="D30" s="409">
        <v>481360.86</v>
      </c>
      <c r="E30" s="406">
        <v>27807.72</v>
      </c>
      <c r="F30" s="406"/>
      <c r="G30" s="408">
        <f t="shared" si="1"/>
        <v>509168.57999999996</v>
      </c>
      <c r="H30" s="448"/>
      <c r="I30" s="409">
        <v>340279.86</v>
      </c>
      <c r="J30" s="406">
        <v>50918.72</v>
      </c>
      <c r="K30" s="406"/>
      <c r="L30" s="408">
        <f t="shared" si="2"/>
        <v>391198.57999999996</v>
      </c>
      <c r="M30" s="408">
        <f t="shared" si="0"/>
        <v>117970</v>
      </c>
    </row>
    <row r="31" spans="1:13" ht="12.75">
      <c r="A31" s="92">
        <v>12</v>
      </c>
      <c r="B31" s="249">
        <f>+'Trial Balance'!A101</f>
        <v>1925</v>
      </c>
      <c r="C31" s="313" t="str">
        <f>+'Trial Balance'!B101</f>
        <v>Computer Software</v>
      </c>
      <c r="D31" s="409">
        <v>784828.11</v>
      </c>
      <c r="E31" s="406">
        <v>23063.4</v>
      </c>
      <c r="F31" s="406"/>
      <c r="G31" s="408">
        <f t="shared" si="1"/>
        <v>807891.51</v>
      </c>
      <c r="H31" s="448"/>
      <c r="I31" s="409">
        <v>768521.11</v>
      </c>
      <c r="J31" s="406">
        <v>13401.4</v>
      </c>
      <c r="K31" s="406"/>
      <c r="L31" s="408">
        <f t="shared" si="2"/>
        <v>781922.51</v>
      </c>
      <c r="M31" s="408">
        <f t="shared" si="0"/>
        <v>25969</v>
      </c>
    </row>
    <row r="32" spans="1:13" ht="12.75">
      <c r="A32" s="92">
        <v>10</v>
      </c>
      <c r="B32" s="249">
        <f>+'Trial Balance'!A102</f>
        <v>1930</v>
      </c>
      <c r="C32" s="313" t="str">
        <f>+'Trial Balance'!B102</f>
        <v>Transportation Equipment</v>
      </c>
      <c r="D32" s="409">
        <v>1701192.2</v>
      </c>
      <c r="E32" s="406">
        <v>86268.24</v>
      </c>
      <c r="F32" s="406">
        <v>25023.6</v>
      </c>
      <c r="G32" s="408">
        <f t="shared" si="1"/>
        <v>1762436.8399999999</v>
      </c>
      <c r="H32" s="448"/>
      <c r="I32" s="409">
        <v>1391872.57</v>
      </c>
      <c r="J32" s="406">
        <v>128707.13</v>
      </c>
      <c r="K32" s="406">
        <v>25023.6</v>
      </c>
      <c r="L32" s="408">
        <f t="shared" si="2"/>
        <v>1495556.1</v>
      </c>
      <c r="M32" s="408">
        <f t="shared" si="0"/>
        <v>266880.73999999976</v>
      </c>
    </row>
    <row r="33" spans="1:13" ht="12.75">
      <c r="A33" s="92">
        <v>10</v>
      </c>
      <c r="B33" s="249">
        <f>+'Trial Balance'!A103</f>
        <v>1935</v>
      </c>
      <c r="C33" s="313" t="str">
        <f>+'Trial Balance'!B103</f>
        <v>Stores Equipment</v>
      </c>
      <c r="D33" s="409">
        <v>75195.87</v>
      </c>
      <c r="E33" s="406"/>
      <c r="F33" s="406"/>
      <c r="G33" s="408">
        <f t="shared" si="1"/>
        <v>75195.87</v>
      </c>
      <c r="H33" s="448"/>
      <c r="I33" s="409">
        <v>67357.78</v>
      </c>
      <c r="J33" s="406">
        <v>4025</v>
      </c>
      <c r="K33" s="406"/>
      <c r="L33" s="408">
        <f t="shared" si="2"/>
        <v>71382.78</v>
      </c>
      <c r="M33" s="408">
        <f t="shared" si="0"/>
        <v>3813.0899999999965</v>
      </c>
    </row>
    <row r="34" spans="1:13" ht="12.75">
      <c r="A34" s="92">
        <v>8</v>
      </c>
      <c r="B34" s="249">
        <f>+'Trial Balance'!A104</f>
        <v>1940</v>
      </c>
      <c r="C34" s="313" t="str">
        <f>+'Trial Balance'!B104</f>
        <v>Tools, Shop and Garage Equipment</v>
      </c>
      <c r="D34" s="409">
        <v>909856.85</v>
      </c>
      <c r="E34" s="406">
        <v>74323.65</v>
      </c>
      <c r="F34" s="406"/>
      <c r="G34" s="408">
        <f t="shared" si="1"/>
        <v>984180.5</v>
      </c>
      <c r="H34" s="448"/>
      <c r="I34" s="409">
        <v>835214.85</v>
      </c>
      <c r="J34" s="406">
        <v>22083.65</v>
      </c>
      <c r="K34" s="406"/>
      <c r="L34" s="408">
        <f t="shared" si="2"/>
        <v>857298.5</v>
      </c>
      <c r="M34" s="408">
        <f t="shared" si="0"/>
        <v>126882</v>
      </c>
    </row>
    <row r="35" spans="1:13" ht="12.75">
      <c r="A35" s="92"/>
      <c r="B35" s="249">
        <f>+'Trial Balance'!A105</f>
        <v>1945</v>
      </c>
      <c r="C35" s="313" t="str">
        <f>+'Trial Balance'!B105</f>
        <v>Measurement and Testing Equipment</v>
      </c>
      <c r="D35" s="409">
        <v>0</v>
      </c>
      <c r="E35" s="406"/>
      <c r="F35" s="406"/>
      <c r="G35" s="408">
        <f t="shared" si="1"/>
        <v>0</v>
      </c>
      <c r="H35" s="448"/>
      <c r="I35" s="409"/>
      <c r="J35" s="406"/>
      <c r="K35" s="406"/>
      <c r="L35" s="408">
        <f t="shared" si="2"/>
        <v>0</v>
      </c>
      <c r="M35" s="408">
        <f t="shared" si="0"/>
        <v>0</v>
      </c>
    </row>
    <row r="36" spans="1:13" ht="12.75">
      <c r="A36" s="92"/>
      <c r="B36" s="249">
        <f>+'Trial Balance'!A106</f>
        <v>1950</v>
      </c>
      <c r="C36" s="313" t="str">
        <f>+'Trial Balance'!B106</f>
        <v>Power Operated Equipment</v>
      </c>
      <c r="D36" s="409">
        <v>0</v>
      </c>
      <c r="E36" s="406"/>
      <c r="F36" s="406"/>
      <c r="G36" s="408">
        <f t="shared" si="1"/>
        <v>0</v>
      </c>
      <c r="H36" s="448"/>
      <c r="I36" s="409"/>
      <c r="J36" s="406"/>
      <c r="K36" s="406"/>
      <c r="L36" s="408">
        <f t="shared" si="2"/>
        <v>0</v>
      </c>
      <c r="M36" s="408">
        <f t="shared" si="0"/>
        <v>0</v>
      </c>
    </row>
    <row r="37" spans="1:13" ht="12.75">
      <c r="A37" s="92">
        <v>10</v>
      </c>
      <c r="B37" s="249">
        <f>+'Trial Balance'!A107</f>
        <v>1955</v>
      </c>
      <c r="C37" s="313" t="str">
        <f>+'Trial Balance'!B107</f>
        <v>Communication Equipment</v>
      </c>
      <c r="D37" s="409">
        <v>77182.41</v>
      </c>
      <c r="E37" s="406">
        <v>7059.85</v>
      </c>
      <c r="F37" s="406"/>
      <c r="G37" s="408">
        <f t="shared" si="1"/>
        <v>84242.26000000001</v>
      </c>
      <c r="H37" s="448"/>
      <c r="I37" s="409">
        <v>34119.12</v>
      </c>
      <c r="J37" s="406">
        <v>8424.19</v>
      </c>
      <c r="K37" s="406"/>
      <c r="L37" s="408">
        <f t="shared" si="2"/>
        <v>42543.310000000005</v>
      </c>
      <c r="M37" s="408">
        <f t="shared" si="0"/>
        <v>41698.950000000004</v>
      </c>
    </row>
    <row r="38" spans="1:13" ht="12.75">
      <c r="A38" s="92"/>
      <c r="B38" s="249">
        <f>+'Trial Balance'!A108</f>
        <v>1960</v>
      </c>
      <c r="C38" s="313" t="str">
        <f>+'Trial Balance'!B108</f>
        <v>Miscellaneous Equipment</v>
      </c>
      <c r="D38" s="409">
        <v>0</v>
      </c>
      <c r="E38" s="406">
        <v>12091.68</v>
      </c>
      <c r="F38" s="406"/>
      <c r="G38" s="408">
        <f t="shared" si="1"/>
        <v>12091.68</v>
      </c>
      <c r="H38" s="448"/>
      <c r="I38" s="409"/>
      <c r="J38" s="406">
        <v>1209.15</v>
      </c>
      <c r="K38" s="406"/>
      <c r="L38" s="408">
        <f t="shared" si="2"/>
        <v>1209.15</v>
      </c>
      <c r="M38" s="408">
        <f t="shared" si="0"/>
        <v>10882.53</v>
      </c>
    </row>
    <row r="39" spans="1:13" ht="12.75">
      <c r="A39" s="92"/>
      <c r="B39" s="249">
        <f>+'Trial Balance'!A109</f>
        <v>1970</v>
      </c>
      <c r="C39" s="313" t="str">
        <f>+'Trial Balance'!B109</f>
        <v>Load Management Controls - Customer Premises </v>
      </c>
      <c r="D39" s="409">
        <v>403930.62</v>
      </c>
      <c r="E39" s="406"/>
      <c r="F39" s="406"/>
      <c r="G39" s="408">
        <f t="shared" si="1"/>
        <v>403930.62</v>
      </c>
      <c r="H39" s="448"/>
      <c r="I39" s="409">
        <v>403249.83</v>
      </c>
      <c r="J39" s="406">
        <v>680.79</v>
      </c>
      <c r="K39" s="406"/>
      <c r="L39" s="408">
        <f t="shared" si="2"/>
        <v>403930.62</v>
      </c>
      <c r="M39" s="408">
        <f t="shared" si="0"/>
        <v>0</v>
      </c>
    </row>
    <row r="40" spans="1:13" ht="12.75">
      <c r="A40" s="92"/>
      <c r="B40" s="249">
        <f>+'Trial Balance'!A110</f>
        <v>1975</v>
      </c>
      <c r="C40" s="313" t="str">
        <f>+'Trial Balance'!B110</f>
        <v>Load Management Controls - Utility Premises</v>
      </c>
      <c r="D40" s="409">
        <v>165151.45</v>
      </c>
      <c r="E40" s="406"/>
      <c r="F40" s="406"/>
      <c r="G40" s="408">
        <f t="shared" si="1"/>
        <v>165151.45</v>
      </c>
      <c r="H40" s="448"/>
      <c r="I40" s="409">
        <v>162151.41</v>
      </c>
      <c r="J40" s="406">
        <v>3000.04</v>
      </c>
      <c r="K40" s="406"/>
      <c r="L40" s="408">
        <f t="shared" si="2"/>
        <v>165151.45</v>
      </c>
      <c r="M40" s="408">
        <f t="shared" si="0"/>
        <v>0</v>
      </c>
    </row>
    <row r="41" spans="1:13" ht="12.75">
      <c r="A41" s="92"/>
      <c r="B41" s="249">
        <f>+'Trial Balance'!A111</f>
        <v>1980</v>
      </c>
      <c r="C41" s="313" t="str">
        <f>+'Trial Balance'!B111</f>
        <v>System Supervisory Equipment</v>
      </c>
      <c r="D41" s="409">
        <v>956730.94</v>
      </c>
      <c r="E41" s="406">
        <v>168564.4</v>
      </c>
      <c r="F41" s="406"/>
      <c r="G41" s="408">
        <f t="shared" si="1"/>
        <v>1125295.3399999999</v>
      </c>
      <c r="H41" s="448"/>
      <c r="I41" s="409">
        <v>584799.94</v>
      </c>
      <c r="J41" s="406">
        <v>75061.4</v>
      </c>
      <c r="K41" s="406"/>
      <c r="L41" s="408">
        <f t="shared" si="2"/>
        <v>659861.34</v>
      </c>
      <c r="M41" s="408">
        <f t="shared" si="0"/>
        <v>465433.9999999999</v>
      </c>
    </row>
    <row r="42" spans="1:13" ht="12.75">
      <c r="A42" s="92"/>
      <c r="B42" s="249">
        <f>+'Trial Balance'!A112</f>
        <v>1985</v>
      </c>
      <c r="C42" s="313" t="str">
        <f>+'Trial Balance'!B112</f>
        <v>Sentinel Lighting Rentals</v>
      </c>
      <c r="D42" s="409">
        <v>0</v>
      </c>
      <c r="E42" s="406"/>
      <c r="F42" s="406"/>
      <c r="G42" s="408">
        <f t="shared" si="1"/>
        <v>0</v>
      </c>
      <c r="H42" s="448"/>
      <c r="I42" s="409"/>
      <c r="J42" s="406"/>
      <c r="K42" s="406"/>
      <c r="L42" s="408">
        <f t="shared" si="2"/>
        <v>0</v>
      </c>
      <c r="M42" s="408">
        <f t="shared" si="0"/>
        <v>0</v>
      </c>
    </row>
    <row r="43" spans="1:13" ht="12.75">
      <c r="A43" s="92"/>
      <c r="B43" s="249">
        <f>+'Trial Balance'!A113</f>
        <v>1990</v>
      </c>
      <c r="C43" s="313" t="str">
        <f>+'Trial Balance'!B113</f>
        <v>Other Tangible Property</v>
      </c>
      <c r="D43" s="409">
        <v>21634</v>
      </c>
      <c r="E43" s="406">
        <v>37552.01</v>
      </c>
      <c r="F43" s="406"/>
      <c r="G43" s="408">
        <f t="shared" si="1"/>
        <v>59186.01</v>
      </c>
      <c r="H43" s="448"/>
      <c r="I43" s="409"/>
      <c r="J43" s="406"/>
      <c r="K43" s="406"/>
      <c r="L43" s="408">
        <f t="shared" si="2"/>
        <v>0</v>
      </c>
      <c r="M43" s="408">
        <f t="shared" si="0"/>
        <v>59186.01</v>
      </c>
    </row>
    <row r="44" spans="1:13" ht="12.75">
      <c r="A44" s="92">
        <v>1</v>
      </c>
      <c r="B44" s="249">
        <f>+'Trial Balance'!A114</f>
        <v>1995</v>
      </c>
      <c r="C44" s="313" t="str">
        <f>+'Trial Balance'!B114</f>
        <v>Contributions and Grants</v>
      </c>
      <c r="D44" s="409">
        <v>-2184501</v>
      </c>
      <c r="E44" s="406">
        <v>-624388.76</v>
      </c>
      <c r="F44" s="406"/>
      <c r="G44" s="408">
        <f t="shared" si="1"/>
        <v>-2808889.76</v>
      </c>
      <c r="H44" s="448"/>
      <c r="I44" s="409">
        <v>-347266.49</v>
      </c>
      <c r="J44" s="406">
        <v>-112320.76</v>
      </c>
      <c r="K44" s="406"/>
      <c r="L44" s="408">
        <f t="shared" si="2"/>
        <v>-459587.25</v>
      </c>
      <c r="M44" s="408">
        <f t="shared" si="0"/>
        <v>-2349302.51</v>
      </c>
    </row>
    <row r="45" spans="1:13" ht="12.75">
      <c r="A45" s="92"/>
      <c r="B45" s="249"/>
      <c r="C45" s="313"/>
      <c r="D45" s="409"/>
      <c r="E45" s="406"/>
      <c r="F45" s="406"/>
      <c r="G45" s="408">
        <f t="shared" si="1"/>
        <v>0</v>
      </c>
      <c r="H45" s="448"/>
      <c r="I45" s="409"/>
      <c r="J45" s="406"/>
      <c r="K45" s="406"/>
      <c r="L45" s="408">
        <f t="shared" si="2"/>
        <v>0</v>
      </c>
      <c r="M45" s="408">
        <f t="shared" si="0"/>
        <v>0</v>
      </c>
    </row>
    <row r="46" spans="1:13" ht="12.75">
      <c r="A46" s="92"/>
      <c r="B46" s="249"/>
      <c r="C46" s="313"/>
      <c r="D46" s="409"/>
      <c r="E46" s="406"/>
      <c r="F46" s="406"/>
      <c r="G46" s="408">
        <f t="shared" si="1"/>
        <v>0</v>
      </c>
      <c r="H46" s="448"/>
      <c r="I46" s="409"/>
      <c r="J46" s="406"/>
      <c r="K46" s="406"/>
      <c r="L46" s="408">
        <f t="shared" si="2"/>
        <v>0</v>
      </c>
      <c r="M46" s="408">
        <f t="shared" si="0"/>
        <v>0</v>
      </c>
    </row>
    <row r="47" spans="1:13" ht="12.75">
      <c r="A47" s="92"/>
      <c r="B47" s="251"/>
      <c r="C47" s="258" t="s">
        <v>242</v>
      </c>
      <c r="D47" s="410">
        <f>SUM(D10:D46)</f>
        <v>65241141.629999995</v>
      </c>
      <c r="E47" s="407">
        <f>SUM(E10:E46)</f>
        <v>4467147.8</v>
      </c>
      <c r="F47" s="407">
        <f>SUM(F10:F46)</f>
        <v>25023.6</v>
      </c>
      <c r="G47" s="407">
        <f>SUM(G10:G46)</f>
        <v>69683265.83000003</v>
      </c>
      <c r="H47" s="448"/>
      <c r="I47" s="410">
        <f>SUM(I10:I46)</f>
        <v>37247108.80999999</v>
      </c>
      <c r="J47" s="407">
        <f>SUM(J10:J46)</f>
        <v>2283832.25</v>
      </c>
      <c r="K47" s="407">
        <f>SUM(K10:K46)</f>
        <v>25023.6</v>
      </c>
      <c r="L47" s="407">
        <f>SUM(L10:L46)</f>
        <v>39505917.46</v>
      </c>
      <c r="M47" s="407">
        <f>SUM(M10:M46)</f>
        <v>30177348.369999997</v>
      </c>
    </row>
    <row r="48" spans="1:13" ht="12.75">
      <c r="A48" s="92"/>
      <c r="B48" s="251"/>
      <c r="C48" s="250"/>
      <c r="D48" s="409"/>
      <c r="E48" s="408"/>
      <c r="F48" s="408"/>
      <c r="G48" s="408"/>
      <c r="H48" s="448"/>
      <c r="I48" s="409"/>
      <c r="J48" s="408"/>
      <c r="K48" s="408"/>
      <c r="L48" s="408"/>
      <c r="M48" s="408"/>
    </row>
    <row r="49" spans="1:13" ht="12.75">
      <c r="A49" s="92" t="s">
        <v>225</v>
      </c>
      <c r="B49" s="251"/>
      <c r="C49" s="250" t="s">
        <v>277</v>
      </c>
      <c r="D49" s="409">
        <v>0</v>
      </c>
      <c r="E49" s="406"/>
      <c r="F49" s="406"/>
      <c r="G49" s="408">
        <f>D49+E49-F49</f>
        <v>0</v>
      </c>
      <c r="H49" s="448"/>
      <c r="I49" s="409">
        <v>0</v>
      </c>
      <c r="J49" s="406">
        <v>0</v>
      </c>
      <c r="K49" s="406">
        <v>0</v>
      </c>
      <c r="L49" s="408">
        <f>I49+J49-K49</f>
        <v>0</v>
      </c>
      <c r="M49" s="408">
        <f>G49-L49</f>
        <v>0</v>
      </c>
    </row>
    <row r="50" spans="1:13" ht="13.5" thickBot="1">
      <c r="A50" s="92"/>
      <c r="B50" s="251"/>
      <c r="C50" s="258" t="s">
        <v>243</v>
      </c>
      <c r="D50" s="407">
        <f>SUM(D47:D49)</f>
        <v>65241141.629999995</v>
      </c>
      <c r="E50" s="407">
        <f>SUM(E47:E49)</f>
        <v>4467147.8</v>
      </c>
      <c r="F50" s="407">
        <f>SUM(F47:F49)</f>
        <v>25023.6</v>
      </c>
      <c r="G50" s="407">
        <f>SUM(G47:G49)</f>
        <v>69683265.83000003</v>
      </c>
      <c r="H50" s="449"/>
      <c r="I50" s="407">
        <f>SUM(I47:I49)</f>
        <v>37247108.80999999</v>
      </c>
      <c r="J50" s="407">
        <f>SUM(J47:J49)</f>
        <v>2283832.25</v>
      </c>
      <c r="K50" s="407">
        <f>SUM(K47:K49)</f>
        <v>25023.6</v>
      </c>
      <c r="L50" s="407">
        <f>SUM(L47:L49)</f>
        <v>39505917.46</v>
      </c>
      <c r="M50" s="407">
        <f>SUM(M47:M49)</f>
        <v>30177348.369999997</v>
      </c>
    </row>
    <row r="51" spans="1:13" ht="13.5" thickTop="1">
      <c r="A51" s="253"/>
      <c r="D51" s="241"/>
      <c r="F51" s="241"/>
      <c r="G51" s="241"/>
      <c r="H51" s="237"/>
      <c r="I51" s="237"/>
      <c r="J51" s="237"/>
      <c r="K51" s="237"/>
      <c r="L51" s="237"/>
      <c r="M51" s="237"/>
    </row>
    <row r="52" spans="1:13" ht="12.75">
      <c r="A52" s="253"/>
      <c r="D52" s="241"/>
      <c r="E52" s="241"/>
      <c r="F52" s="241"/>
      <c r="G52" s="241"/>
      <c r="H52" s="450" t="s">
        <v>278</v>
      </c>
      <c r="I52" s="450"/>
      <c r="J52" s="450"/>
      <c r="K52" s="333"/>
      <c r="L52" s="333"/>
      <c r="M52" s="237"/>
    </row>
    <row r="53" spans="1:13" ht="12.75">
      <c r="A53" s="314">
        <v>10</v>
      </c>
      <c r="B53" s="249">
        <f>B33</f>
        <v>1935</v>
      </c>
      <c r="C53" s="250" t="s">
        <v>279</v>
      </c>
      <c r="D53" s="241"/>
      <c r="E53" s="241"/>
      <c r="F53" s="241"/>
      <c r="G53" s="241"/>
      <c r="H53" s="450" t="s">
        <v>279</v>
      </c>
      <c r="I53" s="450"/>
      <c r="J53" s="334">
        <v>0</v>
      </c>
      <c r="K53" s="333"/>
      <c r="L53" s="333"/>
      <c r="M53" s="237"/>
    </row>
    <row r="54" spans="1:13" ht="12.75">
      <c r="A54" s="314">
        <v>10</v>
      </c>
      <c r="B54" s="249">
        <v>1955</v>
      </c>
      <c r="C54" s="250" t="s">
        <v>660</v>
      </c>
      <c r="E54" s="241"/>
      <c r="H54" s="450" t="s">
        <v>818</v>
      </c>
      <c r="I54" s="450"/>
      <c r="J54" s="334">
        <v>0</v>
      </c>
      <c r="K54" s="333"/>
      <c r="L54" s="333"/>
      <c r="M54" s="237"/>
    </row>
    <row r="55" spans="8:13" ht="13.5" thickBot="1">
      <c r="H55" s="450" t="s">
        <v>280</v>
      </c>
      <c r="I55" s="450"/>
      <c r="J55" s="335">
        <f>J50-J53-J54</f>
        <v>2283832.25</v>
      </c>
      <c r="K55" s="333"/>
      <c r="L55" s="335">
        <f>L50-L53-L54</f>
        <v>39505917.46</v>
      </c>
      <c r="M55" s="237"/>
    </row>
    <row r="56" spans="8:13" ht="13.5" thickTop="1">
      <c r="H56" s="333"/>
      <c r="I56" s="333"/>
      <c r="J56" s="333"/>
      <c r="K56" s="333"/>
      <c r="L56" s="333"/>
      <c r="M56" s="237"/>
    </row>
    <row r="57" spans="8:13" ht="12.75">
      <c r="H57" s="333"/>
      <c r="I57" s="333" t="s">
        <v>409</v>
      </c>
      <c r="J57" s="333">
        <f>+'2006 Income Statement'!B183</f>
        <v>2283832.25</v>
      </c>
      <c r="K57" s="333"/>
      <c r="L57" s="333">
        <f>-'2006 Balance Sheet'!B152</f>
        <v>39505917.46</v>
      </c>
      <c r="M57" s="237"/>
    </row>
    <row r="58" spans="8:13" ht="12.75">
      <c r="H58" s="333"/>
      <c r="I58" s="333" t="s">
        <v>410</v>
      </c>
      <c r="J58" s="333">
        <f>+J55-J57</f>
        <v>0</v>
      </c>
      <c r="K58" s="333"/>
      <c r="L58" s="333">
        <f>+L55-L57</f>
        <v>0</v>
      </c>
      <c r="M58" s="237"/>
    </row>
    <row r="59" spans="8:13" ht="12.75">
      <c r="H59" s="333"/>
      <c r="I59" s="333"/>
      <c r="J59" s="333"/>
      <c r="K59" s="333"/>
      <c r="L59" s="333"/>
      <c r="M59" s="237"/>
    </row>
    <row r="60" spans="8:13" ht="12.75">
      <c r="H60" s="237"/>
      <c r="I60" s="237"/>
      <c r="J60" s="237"/>
      <c r="K60" s="237"/>
      <c r="L60" s="237"/>
      <c r="M60" s="237"/>
    </row>
    <row r="61" spans="4:13" ht="12.75">
      <c r="D61" s="336"/>
      <c r="E61" s="241"/>
      <c r="F61" s="241"/>
      <c r="G61" s="241"/>
      <c r="H61" s="237"/>
      <c r="I61" s="336"/>
      <c r="J61" s="241"/>
      <c r="K61" s="241"/>
      <c r="L61" s="241"/>
      <c r="M61" s="237"/>
    </row>
    <row r="62" spans="3:13" ht="12.75">
      <c r="C62" s="235"/>
      <c r="D62" s="336"/>
      <c r="E62" s="241"/>
      <c r="F62" s="241"/>
      <c r="G62" s="241"/>
      <c r="H62" s="237"/>
      <c r="I62" s="336"/>
      <c r="J62" s="241"/>
      <c r="K62" s="241"/>
      <c r="L62" s="241"/>
      <c r="M62" s="238"/>
    </row>
    <row r="63" spans="3:13" ht="12.75">
      <c r="C63" s="235"/>
      <c r="D63" s="336"/>
      <c r="E63" s="241"/>
      <c r="F63" s="241"/>
      <c r="G63" s="241"/>
      <c r="H63" s="237"/>
      <c r="I63" s="336"/>
      <c r="J63" s="241"/>
      <c r="K63" s="241"/>
      <c r="L63" s="241"/>
      <c r="M63" s="238"/>
    </row>
    <row r="64" spans="3:13" ht="12.75">
      <c r="C64" s="235"/>
      <c r="D64" s="336"/>
      <c r="E64" s="236"/>
      <c r="F64" s="236"/>
      <c r="G64" s="241"/>
      <c r="H64" s="237"/>
      <c r="I64" s="336"/>
      <c r="J64" s="236"/>
      <c r="K64" s="236"/>
      <c r="L64" s="241"/>
      <c r="M64" s="238"/>
    </row>
    <row r="65" spans="3:13" ht="12.75">
      <c r="C65" s="235"/>
      <c r="D65" s="241"/>
      <c r="E65" s="241"/>
      <c r="F65" s="241"/>
      <c r="G65" s="241"/>
      <c r="H65" s="237"/>
      <c r="I65" s="238"/>
      <c r="J65" s="238"/>
      <c r="K65" s="238"/>
      <c r="L65" s="238"/>
      <c r="M65" s="238"/>
    </row>
    <row r="66" spans="4:7" ht="12.75">
      <c r="D66" s="336" t="s">
        <v>866</v>
      </c>
      <c r="E66" s="241"/>
      <c r="F66" s="241"/>
      <c r="G66" s="241"/>
    </row>
    <row r="67" spans="4:7" ht="12.75">
      <c r="D67" s="336" t="s">
        <v>869</v>
      </c>
      <c r="E67" s="241"/>
      <c r="F67" s="241"/>
      <c r="G67" s="241">
        <v>72492156</v>
      </c>
    </row>
    <row r="68" spans="4:7" ht="12.75">
      <c r="D68" s="336" t="s">
        <v>867</v>
      </c>
      <c r="E68" s="241"/>
      <c r="F68" s="241"/>
      <c r="G68" s="241">
        <f>+G50-G44</f>
        <v>72492155.59000003</v>
      </c>
    </row>
    <row r="69" spans="4:7" ht="13.5" thickBot="1">
      <c r="D69" s="336" t="s">
        <v>868</v>
      </c>
      <c r="E69" s="236"/>
      <c r="F69" s="236"/>
      <c r="G69" s="337">
        <f>+G67-G68</f>
        <v>0.4099999666213989</v>
      </c>
    </row>
    <row r="71" spans="4:7" ht="12.75">
      <c r="D71" s="338"/>
      <c r="E71" s="236"/>
      <c r="F71" s="236"/>
      <c r="G71" s="241"/>
    </row>
    <row r="72" spans="4:7" ht="12.75">
      <c r="D72" s="338"/>
      <c r="E72" s="236"/>
      <c r="F72" s="236"/>
      <c r="G72" s="241"/>
    </row>
    <row r="73" spans="4:7" ht="12.75">
      <c r="D73" s="336"/>
      <c r="E73" s="236"/>
      <c r="F73" s="236"/>
      <c r="G73" s="241"/>
    </row>
    <row r="74" spans="4:7" ht="12.75">
      <c r="D74" s="336"/>
      <c r="E74" s="237"/>
      <c r="F74" s="237"/>
      <c r="G74" s="237"/>
    </row>
    <row r="75" spans="4:7" ht="12.75">
      <c r="D75" s="336"/>
      <c r="E75" s="237"/>
      <c r="F75" s="237"/>
      <c r="G75" s="237"/>
    </row>
    <row r="76" ht="12.75">
      <c r="D76" s="336"/>
    </row>
    <row r="77" ht="12.75">
      <c r="D77" s="336"/>
    </row>
    <row r="78" ht="12.75">
      <c r="D78" s="336"/>
    </row>
    <row r="79" ht="12.75">
      <c r="D79" s="336"/>
    </row>
    <row r="80" ht="12.75">
      <c r="D80" s="336"/>
    </row>
    <row r="81" ht="12.75">
      <c r="D81" s="336"/>
    </row>
    <row r="82" ht="12.75">
      <c r="D82" s="336"/>
    </row>
  </sheetData>
  <mergeCells count="26">
    <mergeCell ref="A8:A9"/>
    <mergeCell ref="B8:B9"/>
    <mergeCell ref="C8:C9"/>
    <mergeCell ref="D8:D9"/>
    <mergeCell ref="M8:M9"/>
    <mergeCell ref="E8:E9"/>
    <mergeCell ref="F8:F9"/>
    <mergeCell ref="G8:G9"/>
    <mergeCell ref="I8:I9"/>
    <mergeCell ref="H55:I55"/>
    <mergeCell ref="J8:J9"/>
    <mergeCell ref="K8:K9"/>
    <mergeCell ref="L8:L9"/>
    <mergeCell ref="H8:H50"/>
    <mergeCell ref="H52:J52"/>
    <mergeCell ref="H53:I53"/>
    <mergeCell ref="H54:I54"/>
    <mergeCell ref="A1:M1"/>
    <mergeCell ref="A2:M2"/>
    <mergeCell ref="D6:G6"/>
    <mergeCell ref="D7:G7"/>
    <mergeCell ref="I7:L7"/>
    <mergeCell ref="I6:L6"/>
    <mergeCell ref="A3:C3"/>
    <mergeCell ref="A4:C4"/>
    <mergeCell ref="A5:C5"/>
  </mergeCells>
  <printOptions horizontalCentered="1"/>
  <pageMargins left="0.35" right="0.35" top="0.35" bottom="0.35" header="0.2" footer="0.2"/>
  <pageSetup fitToHeight="1" fitToWidth="1" horizontalDpi="355" verticalDpi="355" orientation="landscape" scale="81" r:id="rId4"/>
  <headerFooter alignWithMargins="0">
    <oddFooter>&amp;L&amp;A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SheetLayoutView="100" workbookViewId="0" topLeftCell="A1">
      <pane xSplit="3" ySplit="9" topLeftCell="D10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D10" sqref="D10"/>
    </sheetView>
  </sheetViews>
  <sheetFormatPr defaultColWidth="9.140625" defaultRowHeight="12.75"/>
  <cols>
    <col min="1" max="1" width="7.57421875" style="25" customWidth="1"/>
    <col min="2" max="2" width="7.57421875" style="240" customWidth="1"/>
    <col min="3" max="3" width="42.140625" style="239" customWidth="1"/>
    <col min="4" max="4" width="12.140625" style="239" customWidth="1"/>
    <col min="5" max="6" width="10.7109375" style="239" customWidth="1"/>
    <col min="7" max="7" width="12.140625" style="239" customWidth="1"/>
    <col min="8" max="8" width="0.9921875" style="239" customWidth="1"/>
    <col min="9" max="9" width="12.140625" style="239" customWidth="1"/>
    <col min="10" max="10" width="11.7109375" style="239" bestFit="1" customWidth="1"/>
    <col min="11" max="11" width="10.7109375" style="239" customWidth="1"/>
    <col min="12" max="12" width="15.8515625" style="239" bestFit="1" customWidth="1"/>
    <col min="13" max="13" width="12.140625" style="239" customWidth="1"/>
  </cols>
  <sheetData>
    <row r="1" spans="1:13" ht="12.75">
      <c r="A1" s="441" t="str">
        <f>'Trial Balance'!A1:J1</f>
        <v>North Bay Hydro Distribution Ltd.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13" ht="12.75">
      <c r="A2" s="441" t="str">
        <f>'Trial Balance'!A2:J2</f>
        <v>License Number ED-2003-0024, File Number EB-2009-0270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1:13" ht="12.75">
      <c r="A3" s="444"/>
      <c r="B3" s="444"/>
      <c r="C3" s="444"/>
      <c r="D3" s="236"/>
      <c r="E3" s="236"/>
      <c r="F3" s="236"/>
      <c r="G3" s="236"/>
      <c r="H3" s="237"/>
      <c r="I3" s="238"/>
      <c r="J3" s="238"/>
      <c r="K3" s="238"/>
      <c r="L3" s="238"/>
      <c r="M3" s="238"/>
    </row>
    <row r="4" spans="1:13" ht="12.75">
      <c r="A4" s="444" t="s">
        <v>231</v>
      </c>
      <c r="B4" s="444"/>
      <c r="C4" s="444"/>
      <c r="D4" s="236"/>
      <c r="E4" s="236"/>
      <c r="F4" s="236"/>
      <c r="H4" s="237"/>
      <c r="I4" s="238"/>
      <c r="J4" s="238"/>
      <c r="K4" s="238"/>
      <c r="L4" s="238"/>
      <c r="M4" s="238"/>
    </row>
    <row r="5" spans="1:13" ht="12.75">
      <c r="A5" s="444" t="s">
        <v>205</v>
      </c>
      <c r="B5" s="444"/>
      <c r="C5" s="444"/>
      <c r="D5" s="236"/>
      <c r="E5" s="236"/>
      <c r="F5" s="236"/>
      <c r="H5" s="237"/>
      <c r="I5" s="238"/>
      <c r="J5" s="238"/>
      <c r="K5" s="238"/>
      <c r="L5" s="238"/>
      <c r="M5" s="238"/>
    </row>
    <row r="6" spans="4:13" ht="12.75">
      <c r="D6" s="442" t="s">
        <v>274</v>
      </c>
      <c r="E6" s="442"/>
      <c r="F6" s="442"/>
      <c r="G6" s="442"/>
      <c r="H6" s="237"/>
      <c r="I6" s="442" t="s">
        <v>275</v>
      </c>
      <c r="J6" s="442"/>
      <c r="K6" s="442"/>
      <c r="L6" s="442"/>
      <c r="M6" s="238"/>
    </row>
    <row r="7" spans="3:13" ht="12.75">
      <c r="C7" s="235"/>
      <c r="D7" s="443"/>
      <c r="E7" s="443"/>
      <c r="F7" s="443"/>
      <c r="G7" s="443"/>
      <c r="H7" s="237"/>
      <c r="I7" s="443"/>
      <c r="J7" s="443"/>
      <c r="K7" s="443"/>
      <c r="L7" s="443"/>
      <c r="M7" s="238"/>
    </row>
    <row r="8" spans="1:13" ht="12.75">
      <c r="A8" s="446" t="s">
        <v>223</v>
      </c>
      <c r="B8" s="446" t="s">
        <v>516</v>
      </c>
      <c r="C8" s="446" t="s">
        <v>189</v>
      </c>
      <c r="D8" s="446" t="s">
        <v>239</v>
      </c>
      <c r="E8" s="446" t="s">
        <v>340</v>
      </c>
      <c r="F8" s="446" t="s">
        <v>341</v>
      </c>
      <c r="G8" s="446" t="s">
        <v>240</v>
      </c>
      <c r="H8" s="448"/>
      <c r="I8" s="446" t="s">
        <v>239</v>
      </c>
      <c r="J8" s="446" t="s">
        <v>340</v>
      </c>
      <c r="K8" s="446" t="s">
        <v>341</v>
      </c>
      <c r="L8" s="446" t="s">
        <v>240</v>
      </c>
      <c r="M8" s="446" t="s">
        <v>241</v>
      </c>
    </row>
    <row r="9" spans="1:13" ht="12.75">
      <c r="A9" s="447"/>
      <c r="B9" s="447"/>
      <c r="C9" s="447"/>
      <c r="D9" s="447" t="s">
        <v>276</v>
      </c>
      <c r="E9" s="447" t="s">
        <v>340</v>
      </c>
      <c r="F9" s="447"/>
      <c r="G9" s="447"/>
      <c r="H9" s="448"/>
      <c r="I9" s="447" t="s">
        <v>276</v>
      </c>
      <c r="J9" s="447" t="s">
        <v>340</v>
      </c>
      <c r="K9" s="447"/>
      <c r="L9" s="447"/>
      <c r="M9" s="447"/>
    </row>
    <row r="10" spans="1:13" ht="12.75">
      <c r="A10" s="252" t="str">
        <f>+'FA Continuity 2006'!A10</f>
        <v>N/A</v>
      </c>
      <c r="B10" s="249">
        <f>+'FA Continuity 2006'!B10</f>
        <v>1805</v>
      </c>
      <c r="C10" s="250" t="str">
        <f>+'FA Continuity 2006'!C10</f>
        <v>Land</v>
      </c>
      <c r="D10" s="409">
        <f>'FA Continuity 2006'!G10</f>
        <v>311178.69</v>
      </c>
      <c r="E10" s="406"/>
      <c r="F10" s="406"/>
      <c r="G10" s="408">
        <f>D10+E10-F10</f>
        <v>311178.69</v>
      </c>
      <c r="H10" s="448"/>
      <c r="I10" s="409">
        <f>'FA Continuity 2006'!L10</f>
        <v>0</v>
      </c>
      <c r="J10" s="406"/>
      <c r="K10" s="406"/>
      <c r="L10" s="408">
        <f>I10+J10-K10</f>
        <v>0</v>
      </c>
      <c r="M10" s="408">
        <f>G10-L10</f>
        <v>311178.69</v>
      </c>
    </row>
    <row r="11" spans="1:13" ht="12.75">
      <c r="A11" s="252" t="str">
        <f>+'FA Continuity 2006'!A11</f>
        <v>CEC</v>
      </c>
      <c r="B11" s="249">
        <f>+'FA Continuity 2006'!B11</f>
        <v>1806</v>
      </c>
      <c r="C11" s="250" t="str">
        <f>+'FA Continuity 2006'!C11</f>
        <v>Land Rights</v>
      </c>
      <c r="D11" s="409">
        <f>'FA Continuity 2006'!G11</f>
        <v>0</v>
      </c>
      <c r="E11" s="406"/>
      <c r="F11" s="406"/>
      <c r="G11" s="408">
        <f aca="true" t="shared" si="0" ref="G11:G46">D11+E11-F11</f>
        <v>0</v>
      </c>
      <c r="H11" s="448"/>
      <c r="I11" s="409">
        <f>'FA Continuity 2006'!L11</f>
        <v>0</v>
      </c>
      <c r="J11" s="406"/>
      <c r="K11" s="406"/>
      <c r="L11" s="408">
        <f aca="true" t="shared" si="1" ref="L11:L46">I11+J11-K11</f>
        <v>0</v>
      </c>
      <c r="M11" s="408">
        <f aca="true" t="shared" si="2" ref="M11:M46">G11-L11</f>
        <v>0</v>
      </c>
    </row>
    <row r="12" spans="1:13" ht="12.75">
      <c r="A12" s="252">
        <f>+'FA Continuity 2006'!A12</f>
        <v>1</v>
      </c>
      <c r="B12" s="249">
        <f>+'FA Continuity 2006'!B12</f>
        <v>1808</v>
      </c>
      <c r="C12" s="250" t="str">
        <f>+'FA Continuity 2006'!C12</f>
        <v>Buildings and Fixtures</v>
      </c>
      <c r="D12" s="409">
        <f>'FA Continuity 2006'!G12</f>
        <v>767945.81</v>
      </c>
      <c r="E12" s="406"/>
      <c r="F12" s="406"/>
      <c r="G12" s="408">
        <f t="shared" si="0"/>
        <v>767945.81</v>
      </c>
      <c r="H12" s="448"/>
      <c r="I12" s="409">
        <f>'FA Continuity 2006'!L12</f>
        <v>239585.81</v>
      </c>
      <c r="J12" s="406">
        <v>13455</v>
      </c>
      <c r="K12" s="406"/>
      <c r="L12" s="408">
        <f t="shared" si="1"/>
        <v>253040.81</v>
      </c>
      <c r="M12" s="408">
        <f t="shared" si="2"/>
        <v>514905.00000000006</v>
      </c>
    </row>
    <row r="13" spans="1:13" ht="12.75">
      <c r="A13" s="252">
        <f>+'FA Continuity 2006'!A13</f>
        <v>0</v>
      </c>
      <c r="B13" s="249">
        <f>+'FA Continuity 2006'!B13</f>
        <v>1810</v>
      </c>
      <c r="C13" s="250" t="str">
        <f>+'FA Continuity 2006'!C13</f>
        <v>Leasehold Improvements</v>
      </c>
      <c r="D13" s="409">
        <f>'FA Continuity 2006'!G13</f>
        <v>0</v>
      </c>
      <c r="E13" s="406"/>
      <c r="F13" s="406"/>
      <c r="G13" s="408">
        <f t="shared" si="0"/>
        <v>0</v>
      </c>
      <c r="H13" s="448"/>
      <c r="I13" s="409">
        <f>'FA Continuity 2006'!L13</f>
        <v>0</v>
      </c>
      <c r="J13" s="406"/>
      <c r="K13" s="406"/>
      <c r="L13" s="408">
        <f t="shared" si="1"/>
        <v>0</v>
      </c>
      <c r="M13" s="408">
        <f t="shared" si="2"/>
        <v>0</v>
      </c>
    </row>
    <row r="14" spans="1:13" ht="12.75">
      <c r="A14" s="252">
        <f>+'FA Continuity 2006'!A14</f>
        <v>0</v>
      </c>
      <c r="B14" s="249">
        <f>+'FA Continuity 2006'!B14</f>
        <v>1815</v>
      </c>
      <c r="C14" s="250" t="str">
        <f>+'FA Continuity 2006'!C14</f>
        <v>Transformer Station Equipment -  &gt; 50 kV</v>
      </c>
      <c r="D14" s="409">
        <f>'FA Continuity 2006'!G14</f>
        <v>0</v>
      </c>
      <c r="E14" s="406"/>
      <c r="F14" s="406"/>
      <c r="G14" s="408">
        <f t="shared" si="0"/>
        <v>0</v>
      </c>
      <c r="H14" s="448"/>
      <c r="I14" s="409">
        <f>'FA Continuity 2006'!L14</f>
        <v>0</v>
      </c>
      <c r="J14" s="406"/>
      <c r="K14" s="406"/>
      <c r="L14" s="408">
        <f t="shared" si="1"/>
        <v>0</v>
      </c>
      <c r="M14" s="408">
        <f t="shared" si="2"/>
        <v>0</v>
      </c>
    </row>
    <row r="15" spans="1:13" ht="12.75">
      <c r="A15" s="252">
        <f>+'FA Continuity 2006'!A15</f>
        <v>1</v>
      </c>
      <c r="B15" s="249">
        <f>+'FA Continuity 2006'!B15</f>
        <v>1820</v>
      </c>
      <c r="C15" s="250" t="str">
        <f>+'FA Continuity 2006'!C15</f>
        <v>Distribution Station Equipment - &lt; 50 kV</v>
      </c>
      <c r="D15" s="409">
        <f>'FA Continuity 2006'!G15</f>
        <v>7671375.09</v>
      </c>
      <c r="E15" s="406">
        <v>93080.13</v>
      </c>
      <c r="F15" s="406">
        <v>74046.42</v>
      </c>
      <c r="G15" s="408">
        <f t="shared" si="0"/>
        <v>7690408.8</v>
      </c>
      <c r="H15" s="448"/>
      <c r="I15" s="409">
        <f>'FA Continuity 2006'!L15</f>
        <v>2838465.9299999997</v>
      </c>
      <c r="J15" s="406">
        <v>281582.23</v>
      </c>
      <c r="K15" s="406"/>
      <c r="L15" s="408">
        <f t="shared" si="1"/>
        <v>3120048.1599999997</v>
      </c>
      <c r="M15" s="408">
        <f t="shared" si="2"/>
        <v>4570360.640000001</v>
      </c>
    </row>
    <row r="16" spans="1:13" ht="12.75">
      <c r="A16" s="252">
        <f>+'FA Continuity 2006'!A16</f>
        <v>0</v>
      </c>
      <c r="B16" s="249">
        <f>+'FA Continuity 2006'!B16</f>
        <v>1825</v>
      </c>
      <c r="C16" s="250" t="str">
        <f>+'FA Continuity 2006'!C16</f>
        <v>Storage Battery Equipment</v>
      </c>
      <c r="D16" s="409">
        <f>'FA Continuity 2006'!G16</f>
        <v>0</v>
      </c>
      <c r="E16" s="406"/>
      <c r="F16" s="406"/>
      <c r="G16" s="408">
        <f t="shared" si="0"/>
        <v>0</v>
      </c>
      <c r="H16" s="448"/>
      <c r="I16" s="409">
        <f>'FA Continuity 2006'!L16</f>
        <v>0</v>
      </c>
      <c r="J16" s="406"/>
      <c r="K16" s="406"/>
      <c r="L16" s="408">
        <f t="shared" si="1"/>
        <v>0</v>
      </c>
      <c r="M16" s="408">
        <f t="shared" si="2"/>
        <v>0</v>
      </c>
    </row>
    <row r="17" spans="1:13" ht="12.75">
      <c r="A17" s="252">
        <f>+'FA Continuity 2006'!A17</f>
        <v>1</v>
      </c>
      <c r="B17" s="249">
        <f>+'FA Continuity 2006'!B17</f>
        <v>1830</v>
      </c>
      <c r="C17" s="250" t="str">
        <f>+'FA Continuity 2006'!C17</f>
        <v>Poles, Towers and Fixtures</v>
      </c>
      <c r="D17" s="409">
        <f>'FA Continuity 2006'!G17</f>
        <v>14290708.61</v>
      </c>
      <c r="E17" s="406">
        <v>512323.09</v>
      </c>
      <c r="F17" s="406"/>
      <c r="G17" s="408">
        <f t="shared" si="0"/>
        <v>14803031.7</v>
      </c>
      <c r="H17" s="448"/>
      <c r="I17" s="409">
        <f>'FA Continuity 2006'!L17</f>
        <v>8360632.850000001</v>
      </c>
      <c r="J17" s="406">
        <v>460040.61</v>
      </c>
      <c r="K17" s="406"/>
      <c r="L17" s="408">
        <f t="shared" si="1"/>
        <v>8820673.46</v>
      </c>
      <c r="M17" s="408">
        <f t="shared" si="2"/>
        <v>5982358.239999998</v>
      </c>
    </row>
    <row r="18" spans="1:13" ht="12.75">
      <c r="A18" s="252">
        <f>+'FA Continuity 2006'!A18</f>
        <v>1</v>
      </c>
      <c r="B18" s="249">
        <f>+'FA Continuity 2006'!B18</f>
        <v>1835</v>
      </c>
      <c r="C18" s="250" t="str">
        <f>+'FA Continuity 2006'!C18</f>
        <v>Overhead Conductors and Devices</v>
      </c>
      <c r="D18" s="409">
        <f>'FA Continuity 2006'!G18</f>
        <v>11328699.99</v>
      </c>
      <c r="E18" s="406">
        <v>564436.3</v>
      </c>
      <c r="F18" s="406"/>
      <c r="G18" s="408">
        <f t="shared" si="0"/>
        <v>11893136.290000001</v>
      </c>
      <c r="H18" s="448"/>
      <c r="I18" s="409">
        <f>'FA Continuity 2006'!L18</f>
        <v>6258160.0600000005</v>
      </c>
      <c r="J18" s="406">
        <v>379732.8</v>
      </c>
      <c r="K18" s="406"/>
      <c r="L18" s="408">
        <f t="shared" si="1"/>
        <v>6637892.86</v>
      </c>
      <c r="M18" s="408">
        <f t="shared" si="2"/>
        <v>5255243.430000001</v>
      </c>
    </row>
    <row r="19" spans="1:13" ht="12.75">
      <c r="A19" s="252">
        <f>+'FA Continuity 2006'!A19</f>
        <v>1</v>
      </c>
      <c r="B19" s="249">
        <f>+'FA Continuity 2006'!B19</f>
        <v>1840</v>
      </c>
      <c r="C19" s="250" t="str">
        <f>+'FA Continuity 2006'!C19</f>
        <v>Underground Conduit</v>
      </c>
      <c r="D19" s="409">
        <f>'FA Continuity 2006'!G19</f>
        <v>292033.18</v>
      </c>
      <c r="E19" s="406">
        <v>38552.63</v>
      </c>
      <c r="F19" s="406"/>
      <c r="G19" s="408">
        <f t="shared" si="0"/>
        <v>330585.81</v>
      </c>
      <c r="H19" s="448"/>
      <c r="I19" s="409">
        <f>'FA Continuity 2006'!L19</f>
        <v>42111.68</v>
      </c>
      <c r="J19" s="406">
        <v>13225.63</v>
      </c>
      <c r="K19" s="406"/>
      <c r="L19" s="408">
        <f t="shared" si="1"/>
        <v>55337.31</v>
      </c>
      <c r="M19" s="408">
        <f t="shared" si="2"/>
        <v>275248.5</v>
      </c>
    </row>
    <row r="20" spans="1:13" ht="12.75">
      <c r="A20" s="252">
        <f>+'FA Continuity 2006'!A20</f>
        <v>1</v>
      </c>
      <c r="B20" s="249">
        <f>+'FA Continuity 2006'!B20</f>
        <v>1845</v>
      </c>
      <c r="C20" s="250" t="str">
        <f>+'FA Continuity 2006'!C20</f>
        <v>Underground Conductors and Devices</v>
      </c>
      <c r="D20" s="409">
        <f>'FA Continuity 2006'!G20</f>
        <v>5565882.98</v>
      </c>
      <c r="E20" s="406">
        <v>189466.63</v>
      </c>
      <c r="F20" s="406"/>
      <c r="G20" s="408">
        <f t="shared" si="0"/>
        <v>5755349.61</v>
      </c>
      <c r="H20" s="448"/>
      <c r="I20" s="409">
        <f>'FA Continuity 2006'!L20</f>
        <v>3318342.18</v>
      </c>
      <c r="J20" s="406">
        <v>208636.86</v>
      </c>
      <c r="K20" s="406"/>
      <c r="L20" s="408">
        <f t="shared" si="1"/>
        <v>3526979.04</v>
      </c>
      <c r="M20" s="408">
        <f t="shared" si="2"/>
        <v>2228370.5700000003</v>
      </c>
    </row>
    <row r="21" spans="1:13" ht="12.75">
      <c r="A21" s="252">
        <f>+'FA Continuity 2006'!A21</f>
        <v>1</v>
      </c>
      <c r="B21" s="249">
        <f>+'FA Continuity 2006'!B21</f>
        <v>1850</v>
      </c>
      <c r="C21" s="250" t="str">
        <f>+'FA Continuity 2006'!C21</f>
        <v>Line Transformers</v>
      </c>
      <c r="D21" s="409">
        <f>'FA Continuity 2006'!G21</f>
        <v>12482404</v>
      </c>
      <c r="E21" s="406">
        <v>280958.03</v>
      </c>
      <c r="F21" s="406">
        <v>13144.27</v>
      </c>
      <c r="G21" s="408">
        <f t="shared" si="0"/>
        <v>12750217.76</v>
      </c>
      <c r="H21" s="448"/>
      <c r="I21" s="409">
        <f>'FA Continuity 2006'!L21</f>
        <v>6890461.720000001</v>
      </c>
      <c r="J21" s="406">
        <v>382039.74</v>
      </c>
      <c r="K21" s="406">
        <v>525.76</v>
      </c>
      <c r="L21" s="408">
        <f t="shared" si="1"/>
        <v>7271975.700000001</v>
      </c>
      <c r="M21" s="408">
        <f t="shared" si="2"/>
        <v>5478242.059999999</v>
      </c>
    </row>
    <row r="22" spans="1:13" ht="12.75">
      <c r="A22" s="252">
        <f>+'FA Continuity 2006'!A22</f>
        <v>1</v>
      </c>
      <c r="B22" s="249">
        <f>+'FA Continuity 2006'!B22</f>
        <v>1855</v>
      </c>
      <c r="C22" s="250" t="str">
        <f>+'FA Continuity 2006'!C22</f>
        <v>Services</v>
      </c>
      <c r="D22" s="409">
        <f>'FA Continuity 2006'!G22</f>
        <v>8437243.85</v>
      </c>
      <c r="E22" s="406">
        <v>510834.35</v>
      </c>
      <c r="F22" s="406"/>
      <c r="G22" s="408">
        <f t="shared" si="0"/>
        <v>8948078.2</v>
      </c>
      <c r="H22" s="448"/>
      <c r="I22" s="409">
        <f>'FA Continuity 2006'!L22</f>
        <v>3925223.9800000004</v>
      </c>
      <c r="J22" s="406">
        <v>322237.41</v>
      </c>
      <c r="K22" s="406"/>
      <c r="L22" s="408">
        <f t="shared" si="1"/>
        <v>4247461.390000001</v>
      </c>
      <c r="M22" s="408">
        <f t="shared" si="2"/>
        <v>4700616.809999999</v>
      </c>
    </row>
    <row r="23" spans="1:13" ht="12.75">
      <c r="A23" s="252">
        <f>+'FA Continuity 2006'!A23</f>
        <v>1</v>
      </c>
      <c r="B23" s="249">
        <f>+'FA Continuity 2006'!B23</f>
        <v>1860</v>
      </c>
      <c r="C23" s="250" t="str">
        <f>+'FA Continuity 2006'!C23</f>
        <v>Meters</v>
      </c>
      <c r="D23" s="409">
        <f>'FA Continuity 2006'!G23</f>
        <v>3427133.0799999996</v>
      </c>
      <c r="E23" s="406">
        <v>48594.77</v>
      </c>
      <c r="F23" s="406"/>
      <c r="G23" s="408">
        <f t="shared" si="0"/>
        <v>3475727.8499999996</v>
      </c>
      <c r="H23" s="448"/>
      <c r="I23" s="409">
        <f>'FA Continuity 2006'!L23</f>
        <v>2086426.77</v>
      </c>
      <c r="J23" s="406">
        <v>100370.76</v>
      </c>
      <c r="K23" s="406"/>
      <c r="L23" s="408">
        <f t="shared" si="1"/>
        <v>2186797.53</v>
      </c>
      <c r="M23" s="408">
        <f t="shared" si="2"/>
        <v>1288930.3199999998</v>
      </c>
    </row>
    <row r="24" spans="1:13" ht="12.75">
      <c r="A24" s="252">
        <f>+'FA Continuity 2006'!A24</f>
        <v>0</v>
      </c>
      <c r="B24" s="249">
        <f>+'FA Continuity 2006'!B24</f>
        <v>1865</v>
      </c>
      <c r="C24" s="250" t="str">
        <f>+'FA Continuity 2006'!C24</f>
        <v>Other Installations on Customer's Premises</v>
      </c>
      <c r="D24" s="409">
        <f>'FA Continuity 2006'!G24</f>
        <v>0</v>
      </c>
      <c r="E24" s="406"/>
      <c r="F24" s="406"/>
      <c r="G24" s="408">
        <f t="shared" si="0"/>
        <v>0</v>
      </c>
      <c r="H24" s="448"/>
      <c r="I24" s="409">
        <f>'FA Continuity 2006'!L24</f>
        <v>0</v>
      </c>
      <c r="J24" s="406"/>
      <c r="K24" s="406"/>
      <c r="L24" s="408">
        <f t="shared" si="1"/>
        <v>0</v>
      </c>
      <c r="M24" s="408">
        <f t="shared" si="2"/>
        <v>0</v>
      </c>
    </row>
    <row r="25" spans="1:13" ht="12.75">
      <c r="A25" s="252" t="str">
        <f>+'FA Continuity 2006'!A25</f>
        <v>N/A</v>
      </c>
      <c r="B25" s="249">
        <f>+'FA Continuity 2006'!B25</f>
        <v>1905</v>
      </c>
      <c r="C25" s="250" t="str">
        <f>+'FA Continuity 2006'!C25</f>
        <v>Land</v>
      </c>
      <c r="D25" s="409">
        <f>'FA Continuity 2006'!G25</f>
        <v>86550.51</v>
      </c>
      <c r="E25" s="406"/>
      <c r="F25" s="406"/>
      <c r="G25" s="408">
        <f t="shared" si="0"/>
        <v>86550.51</v>
      </c>
      <c r="H25" s="448"/>
      <c r="I25" s="409">
        <f>'FA Continuity 2006'!L25</f>
        <v>0</v>
      </c>
      <c r="J25" s="406"/>
      <c r="K25" s="406"/>
      <c r="L25" s="408">
        <f t="shared" si="1"/>
        <v>0</v>
      </c>
      <c r="M25" s="408">
        <f t="shared" si="2"/>
        <v>86550.51</v>
      </c>
    </row>
    <row r="26" spans="1:13" ht="12.75">
      <c r="A26" s="252" t="str">
        <f>+'FA Continuity 2006'!A26</f>
        <v>CEC</v>
      </c>
      <c r="B26" s="249">
        <f>+'FA Continuity 2006'!B26</f>
        <v>1906</v>
      </c>
      <c r="C26" s="250" t="str">
        <f>+'FA Continuity 2006'!C26</f>
        <v>Land Rights</v>
      </c>
      <c r="D26" s="409">
        <f>'FA Continuity 2006'!G26</f>
        <v>0</v>
      </c>
      <c r="E26" s="406"/>
      <c r="F26" s="406"/>
      <c r="G26" s="408">
        <f t="shared" si="0"/>
        <v>0</v>
      </c>
      <c r="H26" s="448"/>
      <c r="I26" s="409">
        <f>'FA Continuity 2006'!L26</f>
        <v>0</v>
      </c>
      <c r="J26" s="406"/>
      <c r="K26" s="406"/>
      <c r="L26" s="408">
        <f t="shared" si="1"/>
        <v>0</v>
      </c>
      <c r="M26" s="408">
        <f t="shared" si="2"/>
        <v>0</v>
      </c>
    </row>
    <row r="27" spans="1:13" ht="12.75">
      <c r="A27" s="252">
        <f>+'FA Continuity 2006'!A27</f>
        <v>1</v>
      </c>
      <c r="B27" s="249">
        <f>+'FA Continuity 2006'!B27</f>
        <v>1908</v>
      </c>
      <c r="C27" s="250" t="str">
        <f>+'FA Continuity 2006'!C27</f>
        <v>Buildings and Fixtures</v>
      </c>
      <c r="D27" s="409">
        <f>'FA Continuity 2006'!G27</f>
        <v>1564994.12</v>
      </c>
      <c r="E27" s="406">
        <v>13733.48</v>
      </c>
      <c r="F27" s="406"/>
      <c r="G27" s="408">
        <f t="shared" si="0"/>
        <v>1578727.6</v>
      </c>
      <c r="H27" s="448"/>
      <c r="I27" s="409">
        <f>'FA Continuity 2006'!L27</f>
        <v>877556.37</v>
      </c>
      <c r="J27" s="406">
        <v>62951.87</v>
      </c>
      <c r="K27" s="406"/>
      <c r="L27" s="408">
        <f t="shared" si="1"/>
        <v>940508.24</v>
      </c>
      <c r="M27" s="408">
        <f t="shared" si="2"/>
        <v>638219.3600000001</v>
      </c>
    </row>
    <row r="28" spans="1:13" ht="12.75">
      <c r="A28" s="252">
        <f>+'FA Continuity 2006'!A28</f>
        <v>0</v>
      </c>
      <c r="B28" s="249">
        <f>+'FA Continuity 2006'!B28</f>
        <v>1910</v>
      </c>
      <c r="C28" s="250" t="str">
        <f>+'FA Continuity 2006'!C28</f>
        <v>Leasehold Improvements</v>
      </c>
      <c r="D28" s="409">
        <f>'FA Continuity 2006'!G28</f>
        <v>0</v>
      </c>
      <c r="E28" s="406"/>
      <c r="F28" s="406"/>
      <c r="G28" s="408">
        <f t="shared" si="0"/>
        <v>0</v>
      </c>
      <c r="H28" s="448"/>
      <c r="I28" s="409">
        <f>'FA Continuity 2006'!L28</f>
        <v>0</v>
      </c>
      <c r="J28" s="406"/>
      <c r="K28" s="406"/>
      <c r="L28" s="408">
        <f t="shared" si="1"/>
        <v>0</v>
      </c>
      <c r="M28" s="408">
        <f t="shared" si="2"/>
        <v>0</v>
      </c>
    </row>
    <row r="29" spans="1:13" ht="12.75">
      <c r="A29" s="252">
        <f>+'FA Continuity 2006'!A29</f>
        <v>8</v>
      </c>
      <c r="B29" s="249">
        <f>+'FA Continuity 2006'!B29</f>
        <v>1915</v>
      </c>
      <c r="C29" s="250" t="str">
        <f>+'FA Continuity 2006'!C29</f>
        <v>Office Furniture and Equipment</v>
      </c>
      <c r="D29" s="409">
        <f>'FA Continuity 2006'!G29</f>
        <v>277235.01999999996</v>
      </c>
      <c r="E29" s="406">
        <v>18512.08</v>
      </c>
      <c r="F29" s="406"/>
      <c r="G29" s="408">
        <f t="shared" si="0"/>
        <v>295747.1</v>
      </c>
      <c r="H29" s="448"/>
      <c r="I29" s="409">
        <f>'FA Continuity 2006'!L29</f>
        <v>258483.02000000002</v>
      </c>
      <c r="J29" s="406">
        <v>5930.08</v>
      </c>
      <c r="K29" s="406"/>
      <c r="L29" s="408">
        <f t="shared" si="1"/>
        <v>264413.10000000003</v>
      </c>
      <c r="M29" s="408">
        <f t="shared" si="2"/>
        <v>31333.99999999994</v>
      </c>
    </row>
    <row r="30" spans="1:13" ht="12.75">
      <c r="A30" s="252">
        <f>+'FA Continuity 2006'!A30</f>
        <v>45</v>
      </c>
      <c r="B30" s="249">
        <f>+'FA Continuity 2006'!B30</f>
        <v>1920</v>
      </c>
      <c r="C30" s="250" t="str">
        <f>+'FA Continuity 2006'!C30</f>
        <v>Computer Equipment - Hardware</v>
      </c>
      <c r="D30" s="409">
        <f>'FA Continuity 2006'!G30</f>
        <v>509168.57999999996</v>
      </c>
      <c r="E30" s="406">
        <v>15163.03</v>
      </c>
      <c r="F30" s="406"/>
      <c r="G30" s="408">
        <f t="shared" si="0"/>
        <v>524331.61</v>
      </c>
      <c r="H30" s="448"/>
      <c r="I30" s="409">
        <f>'FA Continuity 2006'!L30</f>
        <v>391198.57999999996</v>
      </c>
      <c r="J30" s="406">
        <v>47322.03</v>
      </c>
      <c r="K30" s="406"/>
      <c r="L30" s="408">
        <f t="shared" si="1"/>
        <v>438520.61</v>
      </c>
      <c r="M30" s="408">
        <f t="shared" si="2"/>
        <v>85811</v>
      </c>
    </row>
    <row r="31" spans="1:13" ht="12.75">
      <c r="A31" s="252">
        <f>+'FA Continuity 2006'!A31</f>
        <v>12</v>
      </c>
      <c r="B31" s="249">
        <f>+'FA Continuity 2006'!B31</f>
        <v>1925</v>
      </c>
      <c r="C31" s="250" t="str">
        <f>+'FA Continuity 2006'!C31</f>
        <v>Computer Software</v>
      </c>
      <c r="D31" s="409">
        <f>'FA Continuity 2006'!G31</f>
        <v>807891.51</v>
      </c>
      <c r="E31" s="406">
        <v>47007.3</v>
      </c>
      <c r="F31" s="406"/>
      <c r="G31" s="408">
        <f t="shared" si="0"/>
        <v>854898.81</v>
      </c>
      <c r="H31" s="448"/>
      <c r="I31" s="409">
        <f>'FA Continuity 2006'!L31</f>
        <v>781922.51</v>
      </c>
      <c r="J31" s="406">
        <v>19503.3</v>
      </c>
      <c r="K31" s="406"/>
      <c r="L31" s="408">
        <f t="shared" si="1"/>
        <v>801425.81</v>
      </c>
      <c r="M31" s="408">
        <f t="shared" si="2"/>
        <v>53473</v>
      </c>
    </row>
    <row r="32" spans="1:13" ht="12.75">
      <c r="A32" s="252">
        <f>+'FA Continuity 2006'!A32</f>
        <v>10</v>
      </c>
      <c r="B32" s="249">
        <f>+'FA Continuity 2006'!B32</f>
        <v>1930</v>
      </c>
      <c r="C32" s="250" t="str">
        <f>+'FA Continuity 2006'!C32</f>
        <v>Transportation Equipment</v>
      </c>
      <c r="D32" s="409">
        <f>'FA Continuity 2006'!G32</f>
        <v>1762436.8399999999</v>
      </c>
      <c r="E32" s="406">
        <v>98326.58</v>
      </c>
      <c r="F32" s="406">
        <v>30279.96</v>
      </c>
      <c r="G32" s="408">
        <f t="shared" si="0"/>
        <v>1830483.46</v>
      </c>
      <c r="H32" s="448"/>
      <c r="I32" s="409">
        <f>'FA Continuity 2006'!L32</f>
        <v>1495556.1</v>
      </c>
      <c r="J32" s="406">
        <v>58809.23</v>
      </c>
      <c r="K32" s="406">
        <v>30279.96</v>
      </c>
      <c r="L32" s="408">
        <f t="shared" si="1"/>
        <v>1524085.37</v>
      </c>
      <c r="M32" s="408">
        <f t="shared" si="2"/>
        <v>306398.08999999985</v>
      </c>
    </row>
    <row r="33" spans="1:13" ht="12.75">
      <c r="A33" s="252">
        <f>+'FA Continuity 2006'!A33</f>
        <v>10</v>
      </c>
      <c r="B33" s="249">
        <f>+'FA Continuity 2006'!B33</f>
        <v>1935</v>
      </c>
      <c r="C33" s="250" t="str">
        <f>+'FA Continuity 2006'!C33</f>
        <v>Stores Equipment</v>
      </c>
      <c r="D33" s="409">
        <f>'FA Continuity 2006'!G33</f>
        <v>75195.87</v>
      </c>
      <c r="E33" s="406"/>
      <c r="F33" s="406"/>
      <c r="G33" s="408">
        <f t="shared" si="0"/>
        <v>75195.87</v>
      </c>
      <c r="H33" s="448"/>
      <c r="I33" s="409">
        <f>'FA Continuity 2006'!L33</f>
        <v>71382.78</v>
      </c>
      <c r="J33" s="406">
        <v>3813.09</v>
      </c>
      <c r="K33" s="406"/>
      <c r="L33" s="408">
        <f t="shared" si="1"/>
        <v>75195.87</v>
      </c>
      <c r="M33" s="408">
        <f t="shared" si="2"/>
        <v>0</v>
      </c>
    </row>
    <row r="34" spans="1:13" ht="12.75">
      <c r="A34" s="252">
        <f>+'FA Continuity 2006'!A34</f>
        <v>8</v>
      </c>
      <c r="B34" s="249">
        <f>+'FA Continuity 2006'!B34</f>
        <v>1940</v>
      </c>
      <c r="C34" s="250" t="str">
        <f>+'FA Continuity 2006'!C34</f>
        <v>Tools, Shop and Garage Equipment</v>
      </c>
      <c r="D34" s="409">
        <f>'FA Continuity 2006'!G34</f>
        <v>984180.5</v>
      </c>
      <c r="E34" s="406">
        <v>27652.6</v>
      </c>
      <c r="F34" s="406"/>
      <c r="G34" s="408">
        <f t="shared" si="0"/>
        <v>1011833.1</v>
      </c>
      <c r="H34" s="448"/>
      <c r="I34" s="409">
        <f>'FA Continuity 2006'!L34</f>
        <v>857298.5</v>
      </c>
      <c r="J34" s="406">
        <v>22362.6</v>
      </c>
      <c r="K34" s="406"/>
      <c r="L34" s="408">
        <f t="shared" si="1"/>
        <v>879661.1</v>
      </c>
      <c r="M34" s="408">
        <f t="shared" si="2"/>
        <v>132172</v>
      </c>
    </row>
    <row r="35" spans="1:13" ht="12.75">
      <c r="A35" s="252">
        <f>+'FA Continuity 2006'!A35</f>
        <v>0</v>
      </c>
      <c r="B35" s="249">
        <f>+'FA Continuity 2006'!B35</f>
        <v>1945</v>
      </c>
      <c r="C35" s="250" t="str">
        <f>+'FA Continuity 2006'!C35</f>
        <v>Measurement and Testing Equipment</v>
      </c>
      <c r="D35" s="409">
        <f>'FA Continuity 2006'!G35</f>
        <v>0</v>
      </c>
      <c r="E35" s="406"/>
      <c r="F35" s="406"/>
      <c r="G35" s="408">
        <f t="shared" si="0"/>
        <v>0</v>
      </c>
      <c r="H35" s="448"/>
      <c r="I35" s="409">
        <f>'FA Continuity 2006'!L35</f>
        <v>0</v>
      </c>
      <c r="J35" s="406"/>
      <c r="K35" s="406"/>
      <c r="L35" s="408">
        <f t="shared" si="1"/>
        <v>0</v>
      </c>
      <c r="M35" s="408">
        <f t="shared" si="2"/>
        <v>0</v>
      </c>
    </row>
    <row r="36" spans="1:13" ht="12.75">
      <c r="A36" s="252">
        <f>+'FA Continuity 2006'!A36</f>
        <v>0</v>
      </c>
      <c r="B36" s="249">
        <f>+'FA Continuity 2006'!B36</f>
        <v>1950</v>
      </c>
      <c r="C36" s="250" t="str">
        <f>+'FA Continuity 2006'!C36</f>
        <v>Power Operated Equipment</v>
      </c>
      <c r="D36" s="409">
        <f>'FA Continuity 2006'!G36</f>
        <v>0</v>
      </c>
      <c r="E36" s="406"/>
      <c r="F36" s="406"/>
      <c r="G36" s="408">
        <f t="shared" si="0"/>
        <v>0</v>
      </c>
      <c r="H36" s="448"/>
      <c r="I36" s="409">
        <f>'FA Continuity 2006'!L36</f>
        <v>0</v>
      </c>
      <c r="J36" s="406"/>
      <c r="K36" s="406"/>
      <c r="L36" s="408">
        <f t="shared" si="1"/>
        <v>0</v>
      </c>
      <c r="M36" s="408">
        <f t="shared" si="2"/>
        <v>0</v>
      </c>
    </row>
    <row r="37" spans="1:13" ht="12.75">
      <c r="A37" s="252">
        <f>+'FA Continuity 2006'!A37</f>
        <v>10</v>
      </c>
      <c r="B37" s="249">
        <f>+'FA Continuity 2006'!B37</f>
        <v>1955</v>
      </c>
      <c r="C37" s="250" t="str">
        <f>+'FA Continuity 2006'!C37</f>
        <v>Communication Equipment</v>
      </c>
      <c r="D37" s="409">
        <f>'FA Continuity 2006'!G37</f>
        <v>84242.26000000001</v>
      </c>
      <c r="E37" s="406">
        <v>755.98</v>
      </c>
      <c r="F37" s="406"/>
      <c r="G37" s="408">
        <f t="shared" si="0"/>
        <v>84998.24</v>
      </c>
      <c r="H37" s="448"/>
      <c r="I37" s="409">
        <f>'FA Continuity 2006'!L37</f>
        <v>42543.310000000005</v>
      </c>
      <c r="J37" s="406">
        <v>8499.82</v>
      </c>
      <c r="K37" s="406"/>
      <c r="L37" s="408">
        <f t="shared" si="1"/>
        <v>51043.130000000005</v>
      </c>
      <c r="M37" s="408">
        <f t="shared" si="2"/>
        <v>33955.11</v>
      </c>
    </row>
    <row r="38" spans="1:13" ht="12.75">
      <c r="A38" s="252">
        <f>+'FA Continuity 2006'!A38</f>
        <v>0</v>
      </c>
      <c r="B38" s="249">
        <f>+'FA Continuity 2006'!B38</f>
        <v>1960</v>
      </c>
      <c r="C38" s="250" t="str">
        <f>+'FA Continuity 2006'!C38</f>
        <v>Miscellaneous Equipment</v>
      </c>
      <c r="D38" s="409">
        <f>'FA Continuity 2006'!G38</f>
        <v>12091.68</v>
      </c>
      <c r="E38" s="406">
        <v>3217.32</v>
      </c>
      <c r="F38" s="406"/>
      <c r="G38" s="408">
        <f t="shared" si="0"/>
        <v>15309</v>
      </c>
      <c r="H38" s="448"/>
      <c r="I38" s="409">
        <f>'FA Continuity 2006'!L38</f>
        <v>1209.15</v>
      </c>
      <c r="J38" s="406">
        <v>1530.92</v>
      </c>
      <c r="K38" s="406"/>
      <c r="L38" s="408">
        <f t="shared" si="1"/>
        <v>2740.07</v>
      </c>
      <c r="M38" s="408">
        <f t="shared" si="2"/>
        <v>12568.93</v>
      </c>
    </row>
    <row r="39" spans="1:13" ht="12.75">
      <c r="A39" s="252">
        <f>+'FA Continuity 2006'!A39</f>
        <v>0</v>
      </c>
      <c r="B39" s="249">
        <f>+'FA Continuity 2006'!B39</f>
        <v>1970</v>
      </c>
      <c r="C39" s="250" t="str">
        <f>+'FA Continuity 2006'!C39</f>
        <v>Load Management Controls - Customer Premises </v>
      </c>
      <c r="D39" s="409">
        <f>'FA Continuity 2006'!G39</f>
        <v>403930.62</v>
      </c>
      <c r="E39" s="406"/>
      <c r="F39" s="406"/>
      <c r="G39" s="408">
        <f t="shared" si="0"/>
        <v>403930.62</v>
      </c>
      <c r="H39" s="448"/>
      <c r="I39" s="409">
        <f>'FA Continuity 2006'!L39</f>
        <v>403930.62</v>
      </c>
      <c r="J39" s="406"/>
      <c r="K39" s="406"/>
      <c r="L39" s="408">
        <f t="shared" si="1"/>
        <v>403930.62</v>
      </c>
      <c r="M39" s="408">
        <f t="shared" si="2"/>
        <v>0</v>
      </c>
    </row>
    <row r="40" spans="1:13" ht="12.75">
      <c r="A40" s="252">
        <f>+'FA Continuity 2006'!A40</f>
        <v>0</v>
      </c>
      <c r="B40" s="249">
        <f>+'FA Continuity 2006'!B40</f>
        <v>1975</v>
      </c>
      <c r="C40" s="250" t="str">
        <f>+'FA Continuity 2006'!C40</f>
        <v>Load Management Controls - Utility Premises</v>
      </c>
      <c r="D40" s="409">
        <f>'FA Continuity 2006'!G40</f>
        <v>165151.45</v>
      </c>
      <c r="E40" s="406"/>
      <c r="F40" s="406"/>
      <c r="G40" s="408">
        <f t="shared" si="0"/>
        <v>165151.45</v>
      </c>
      <c r="H40" s="448"/>
      <c r="I40" s="409">
        <f>'FA Continuity 2006'!L40</f>
        <v>165151.45</v>
      </c>
      <c r="J40" s="406"/>
      <c r="K40" s="406"/>
      <c r="L40" s="408">
        <f t="shared" si="1"/>
        <v>165151.45</v>
      </c>
      <c r="M40" s="408">
        <f t="shared" si="2"/>
        <v>0</v>
      </c>
    </row>
    <row r="41" spans="1:13" ht="12.75">
      <c r="A41" s="252">
        <f>+'FA Continuity 2006'!A41</f>
        <v>0</v>
      </c>
      <c r="B41" s="249">
        <f>+'FA Continuity 2006'!B41</f>
        <v>1980</v>
      </c>
      <c r="C41" s="250" t="str">
        <f>+'FA Continuity 2006'!C41</f>
        <v>System Supervisory Equipment</v>
      </c>
      <c r="D41" s="409">
        <f>'FA Continuity 2006'!G41</f>
        <v>1125295.3399999999</v>
      </c>
      <c r="E41" s="406">
        <v>10809.82</v>
      </c>
      <c r="F41" s="406"/>
      <c r="G41" s="408">
        <f t="shared" si="0"/>
        <v>1136105.16</v>
      </c>
      <c r="H41" s="448"/>
      <c r="I41" s="409">
        <f>'FA Continuity 2006'!L41</f>
        <v>659861.34</v>
      </c>
      <c r="J41" s="406">
        <v>75751.82</v>
      </c>
      <c r="K41" s="406"/>
      <c r="L41" s="408">
        <f t="shared" si="1"/>
        <v>735613.1599999999</v>
      </c>
      <c r="M41" s="408">
        <f t="shared" si="2"/>
        <v>400492</v>
      </c>
    </row>
    <row r="42" spans="1:13" ht="12.75">
      <c r="A42" s="252">
        <f>+'FA Continuity 2006'!A42</f>
        <v>0</v>
      </c>
      <c r="B42" s="249">
        <f>+'FA Continuity 2006'!B42</f>
        <v>1985</v>
      </c>
      <c r="C42" s="250" t="str">
        <f>+'FA Continuity 2006'!C42</f>
        <v>Sentinel Lighting Rentals</v>
      </c>
      <c r="D42" s="409">
        <f>'FA Continuity 2006'!G42</f>
        <v>0</v>
      </c>
      <c r="E42" s="406"/>
      <c r="F42" s="406"/>
      <c r="G42" s="408">
        <f t="shared" si="0"/>
        <v>0</v>
      </c>
      <c r="H42" s="448"/>
      <c r="I42" s="409">
        <f>'FA Continuity 2006'!L42</f>
        <v>0</v>
      </c>
      <c r="J42" s="406"/>
      <c r="K42" s="406"/>
      <c r="L42" s="408">
        <f t="shared" si="1"/>
        <v>0</v>
      </c>
      <c r="M42" s="408">
        <f t="shared" si="2"/>
        <v>0</v>
      </c>
    </row>
    <row r="43" spans="1:13" ht="12.75">
      <c r="A43" s="252">
        <f>+'FA Continuity 2006'!A43</f>
        <v>0</v>
      </c>
      <c r="B43" s="249">
        <f>+'FA Continuity 2006'!B43</f>
        <v>1990</v>
      </c>
      <c r="C43" s="250" t="str">
        <f>+'FA Continuity 2006'!C43</f>
        <v>Other Tangible Property</v>
      </c>
      <c r="D43" s="409">
        <f>'FA Continuity 2006'!G43</f>
        <v>59186.01</v>
      </c>
      <c r="E43" s="406">
        <v>-6125.73</v>
      </c>
      <c r="F43" s="406"/>
      <c r="G43" s="408">
        <f t="shared" si="0"/>
        <v>53060.28</v>
      </c>
      <c r="H43" s="448"/>
      <c r="I43" s="409">
        <f>'FA Continuity 2006'!L43</f>
        <v>0</v>
      </c>
      <c r="J43" s="406"/>
      <c r="K43" s="406"/>
      <c r="L43" s="408">
        <f t="shared" si="1"/>
        <v>0</v>
      </c>
      <c r="M43" s="408">
        <f t="shared" si="2"/>
        <v>53060.28</v>
      </c>
    </row>
    <row r="44" spans="1:13" ht="12.75">
      <c r="A44" s="252">
        <f>+'FA Continuity 2006'!A44</f>
        <v>1</v>
      </c>
      <c r="B44" s="249">
        <f>+'FA Continuity 2006'!B44</f>
        <v>1995</v>
      </c>
      <c r="C44" s="250" t="str">
        <f>+'FA Continuity 2006'!C44</f>
        <v>Contributions and Grants</v>
      </c>
      <c r="D44" s="409">
        <f>'FA Continuity 2006'!G44</f>
        <v>-2808889.76</v>
      </c>
      <c r="E44" s="406">
        <v>-1007044.92</v>
      </c>
      <c r="F44" s="406"/>
      <c r="G44" s="408">
        <f t="shared" si="0"/>
        <v>-3815934.6799999997</v>
      </c>
      <c r="H44" s="448"/>
      <c r="I44" s="409">
        <f>'FA Continuity 2006'!L44</f>
        <v>-459587.25</v>
      </c>
      <c r="J44" s="406">
        <v>-152609.92</v>
      </c>
      <c r="K44" s="406"/>
      <c r="L44" s="408">
        <f t="shared" si="1"/>
        <v>-612197.17</v>
      </c>
      <c r="M44" s="408">
        <f t="shared" si="2"/>
        <v>-3203737.51</v>
      </c>
    </row>
    <row r="45" spans="1:13" ht="12.75">
      <c r="A45" s="252">
        <f>+'FA Continuity 2006'!A45</f>
        <v>0</v>
      </c>
      <c r="B45" s="249">
        <f>+'FA Continuity 2006'!B45</f>
        <v>0</v>
      </c>
      <c r="C45" s="250">
        <f>+'FA Continuity 2006'!C45</f>
        <v>0</v>
      </c>
      <c r="D45" s="409">
        <f>'FA Continuity 2006'!G45</f>
        <v>0</v>
      </c>
      <c r="E45" s="406"/>
      <c r="F45" s="406"/>
      <c r="G45" s="408">
        <f t="shared" si="0"/>
        <v>0</v>
      </c>
      <c r="H45" s="448"/>
      <c r="I45" s="409">
        <f>'FA Continuity 2006'!L45</f>
        <v>0</v>
      </c>
      <c r="J45" s="406"/>
      <c r="K45" s="406"/>
      <c r="L45" s="408">
        <f t="shared" si="1"/>
        <v>0</v>
      </c>
      <c r="M45" s="408">
        <f t="shared" si="2"/>
        <v>0</v>
      </c>
    </row>
    <row r="46" spans="1:13" ht="12.75">
      <c r="A46" s="252">
        <f>+'FA Continuity 2006'!A46</f>
        <v>0</v>
      </c>
      <c r="B46" s="249">
        <f>+'FA Continuity 2006'!B46</f>
        <v>0</v>
      </c>
      <c r="C46" s="250">
        <f>+'FA Continuity 2006'!C46</f>
        <v>0</v>
      </c>
      <c r="D46" s="409">
        <f>'FA Continuity 2006'!G46</f>
        <v>0</v>
      </c>
      <c r="E46" s="406"/>
      <c r="F46" s="406"/>
      <c r="G46" s="408">
        <f t="shared" si="0"/>
        <v>0</v>
      </c>
      <c r="H46" s="448"/>
      <c r="I46" s="409">
        <f>'FA Continuity 2006'!L46</f>
        <v>0</v>
      </c>
      <c r="J46" s="406"/>
      <c r="K46" s="406"/>
      <c r="L46" s="408">
        <f t="shared" si="1"/>
        <v>0</v>
      </c>
      <c r="M46" s="408">
        <f t="shared" si="2"/>
        <v>0</v>
      </c>
    </row>
    <row r="47" spans="1:13" ht="12.75">
      <c r="A47" s="252"/>
      <c r="B47" s="251"/>
      <c r="C47" s="258" t="s">
        <v>242</v>
      </c>
      <c r="D47" s="407">
        <f>SUM(D10:D46)</f>
        <v>69683265.83000003</v>
      </c>
      <c r="E47" s="407">
        <f>SUM(E10:E46)</f>
        <v>1460253.4699999993</v>
      </c>
      <c r="F47" s="407">
        <f>SUM(F10:F46)</f>
        <v>117470.65</v>
      </c>
      <c r="G47" s="407">
        <f>SUM(G10:G46)</f>
        <v>71026048.64999998</v>
      </c>
      <c r="H47" s="448"/>
      <c r="I47" s="407">
        <f>SUM(I10:I46)</f>
        <v>39505917.46</v>
      </c>
      <c r="J47" s="407">
        <f>SUM(J10:J46)</f>
        <v>2315185.879999999</v>
      </c>
      <c r="K47" s="407">
        <f>SUM(K10:K46)</f>
        <v>30805.719999999998</v>
      </c>
      <c r="L47" s="407">
        <f>SUM(L10:L46)</f>
        <v>41790297.62</v>
      </c>
      <c r="M47" s="407">
        <f>SUM(M10:M46)</f>
        <v>29235751.03</v>
      </c>
    </row>
    <row r="48" spans="1:13" ht="12.75">
      <c r="A48" s="252"/>
      <c r="B48" s="251"/>
      <c r="C48" s="250"/>
      <c r="D48" s="408"/>
      <c r="E48" s="408"/>
      <c r="F48" s="408"/>
      <c r="G48" s="408"/>
      <c r="H48" s="448"/>
      <c r="I48" s="408"/>
      <c r="J48" s="408"/>
      <c r="K48" s="408"/>
      <c r="L48" s="408"/>
      <c r="M48" s="408"/>
    </row>
    <row r="49" spans="1:13" ht="12.75">
      <c r="A49" s="252" t="str">
        <f>+'FA Continuity 2006'!A49</f>
        <v>WIP</v>
      </c>
      <c r="B49" s="249">
        <f>+'FA Continuity 2006'!B49</f>
        <v>0</v>
      </c>
      <c r="C49" s="250" t="str">
        <f>+'FA Continuity 2006'!C49</f>
        <v>Work in Process</v>
      </c>
      <c r="D49" s="409">
        <f>'FA Continuity 2006'!G49</f>
        <v>0</v>
      </c>
      <c r="E49" s="406"/>
      <c r="F49" s="406"/>
      <c r="G49" s="408">
        <f>D49+E49-F49</f>
        <v>0</v>
      </c>
      <c r="H49" s="448"/>
      <c r="I49" s="409">
        <f>'FA Continuity 2006'!L49</f>
        <v>0</v>
      </c>
      <c r="J49" s="406">
        <v>0</v>
      </c>
      <c r="K49" s="406">
        <v>0</v>
      </c>
      <c r="L49" s="408">
        <f>I49+J49-K49</f>
        <v>0</v>
      </c>
      <c r="M49" s="408">
        <f>G49-L49</f>
        <v>0</v>
      </c>
    </row>
    <row r="50" spans="1:13" ht="13.5" thickBot="1">
      <c r="A50" s="252"/>
      <c r="B50" s="251"/>
      <c r="C50" s="258" t="s">
        <v>243</v>
      </c>
      <c r="D50" s="407">
        <f>SUM(D47:D49)</f>
        <v>69683265.83000003</v>
      </c>
      <c r="E50" s="407">
        <f>SUM(E47:E49)</f>
        <v>1460253.4699999993</v>
      </c>
      <c r="F50" s="407">
        <f>SUM(F47:F49)</f>
        <v>117470.65</v>
      </c>
      <c r="G50" s="407">
        <f>SUM(G47:G49)</f>
        <v>71026048.64999998</v>
      </c>
      <c r="H50" s="449"/>
      <c r="I50" s="407">
        <f>SUM(I47:I49)</f>
        <v>39505917.46</v>
      </c>
      <c r="J50" s="407">
        <f>SUM(J47:J49)</f>
        <v>2315185.879999999</v>
      </c>
      <c r="K50" s="407">
        <f>SUM(K47:K49)</f>
        <v>30805.719999999998</v>
      </c>
      <c r="L50" s="407">
        <f>SUM(L47:L49)</f>
        <v>41790297.62</v>
      </c>
      <c r="M50" s="407">
        <f>SUM(M47:M49)</f>
        <v>29235751.03</v>
      </c>
    </row>
    <row r="51" spans="1:13" ht="13.5" thickTop="1">
      <c r="A51" s="253"/>
      <c r="D51" s="241"/>
      <c r="E51" s="241"/>
      <c r="F51" s="241"/>
      <c r="G51" s="241"/>
      <c r="H51" s="237"/>
      <c r="I51" s="237"/>
      <c r="J51" s="237"/>
      <c r="K51" s="237"/>
      <c r="L51" s="237"/>
      <c r="M51" s="237"/>
    </row>
    <row r="52" spans="1:13" ht="12.75">
      <c r="A52" s="240"/>
      <c r="D52" s="241"/>
      <c r="E52" s="241"/>
      <c r="F52" s="241"/>
      <c r="G52" s="241"/>
      <c r="H52" s="451" t="s">
        <v>278</v>
      </c>
      <c r="I52" s="451"/>
      <c r="J52" s="451"/>
      <c r="K52" s="237"/>
      <c r="L52" s="237"/>
      <c r="M52" s="237"/>
    </row>
    <row r="53" spans="1:13" ht="12.75">
      <c r="A53" s="249"/>
      <c r="B53" s="249">
        <f>B33</f>
        <v>1935</v>
      </c>
      <c r="C53" s="250" t="s">
        <v>279</v>
      </c>
      <c r="D53" s="241"/>
      <c r="E53" s="241"/>
      <c r="F53" s="241"/>
      <c r="G53" s="241"/>
      <c r="H53" s="451" t="s">
        <v>279</v>
      </c>
      <c r="I53" s="451"/>
      <c r="J53" s="256">
        <v>0</v>
      </c>
      <c r="K53" s="237"/>
      <c r="L53" s="237"/>
      <c r="M53" s="237"/>
    </row>
    <row r="54" spans="1:13" ht="12.75">
      <c r="A54" s="249"/>
      <c r="B54" s="249">
        <f>B34</f>
        <v>1940</v>
      </c>
      <c r="C54" s="250" t="s">
        <v>551</v>
      </c>
      <c r="H54" s="451" t="s">
        <v>818</v>
      </c>
      <c r="I54" s="451"/>
      <c r="J54" s="256">
        <v>0</v>
      </c>
      <c r="K54" s="237"/>
      <c r="L54" s="237"/>
      <c r="M54" s="237"/>
    </row>
    <row r="55" spans="1:13" ht="13.5" thickBot="1">
      <c r="A55" s="240"/>
      <c r="D55" s="336"/>
      <c r="E55" s="241"/>
      <c r="F55" s="241"/>
      <c r="G55" s="241"/>
      <c r="H55" s="451" t="s">
        <v>280</v>
      </c>
      <c r="I55" s="451"/>
      <c r="J55" s="257">
        <f>J50-J53-J54</f>
        <v>2315185.879999999</v>
      </c>
      <c r="K55" s="237"/>
      <c r="L55" s="257">
        <f>L50-L53-L54</f>
        <v>41790297.62</v>
      </c>
      <c r="M55" s="237"/>
    </row>
    <row r="56" spans="1:13" ht="13.5" thickTop="1">
      <c r="A56" s="240"/>
      <c r="D56" s="336"/>
      <c r="E56" s="241"/>
      <c r="F56" s="241"/>
      <c r="G56" s="241"/>
      <c r="H56" s="237"/>
      <c r="I56" s="237"/>
      <c r="J56" s="237"/>
      <c r="K56" s="237"/>
      <c r="L56" s="237"/>
      <c r="M56" s="237"/>
    </row>
    <row r="57" spans="1:13" ht="12.75">
      <c r="A57" s="240"/>
      <c r="D57" s="336"/>
      <c r="E57" s="241"/>
      <c r="F57" s="241"/>
      <c r="G57" s="241"/>
      <c r="H57" s="237"/>
      <c r="I57" s="237" t="s">
        <v>409</v>
      </c>
      <c r="J57" s="237">
        <f>+'2007 Income Statement'!B183</f>
        <v>2315185.879999999</v>
      </c>
      <c r="K57" s="237"/>
      <c r="L57" s="237">
        <f>-'2007 Balance Sheet'!B152</f>
        <v>41790297.62</v>
      </c>
      <c r="M57" s="237"/>
    </row>
    <row r="58" spans="1:13" ht="12.75">
      <c r="A58" s="240"/>
      <c r="D58" s="336"/>
      <c r="E58" s="236"/>
      <c r="F58" s="236"/>
      <c r="G58" s="241"/>
      <c r="H58" s="237"/>
      <c r="I58" s="237" t="s">
        <v>410</v>
      </c>
      <c r="J58" s="237">
        <f>+J55-J57</f>
        <v>0</v>
      </c>
      <c r="K58" s="237"/>
      <c r="L58" s="237">
        <f>+L55-L57</f>
        <v>0</v>
      </c>
      <c r="M58" s="237"/>
    </row>
    <row r="59" spans="4:13" ht="12.75">
      <c r="D59" s="241"/>
      <c r="E59" s="241"/>
      <c r="F59" s="241"/>
      <c r="G59" s="241"/>
      <c r="H59" s="237"/>
      <c r="I59" s="237"/>
      <c r="J59" s="237"/>
      <c r="K59" s="237"/>
      <c r="L59" s="237"/>
      <c r="M59" s="237"/>
    </row>
    <row r="60" spans="4:13" ht="12.75">
      <c r="D60" s="336"/>
      <c r="E60" s="241"/>
      <c r="F60" s="241"/>
      <c r="G60" s="241"/>
      <c r="H60" s="237"/>
      <c r="I60" s="336"/>
      <c r="J60" s="241"/>
      <c r="K60" s="241"/>
      <c r="L60" s="241"/>
      <c r="M60" s="237"/>
    </row>
    <row r="61" spans="4:13" ht="12.75">
      <c r="D61" s="336"/>
      <c r="E61" s="241"/>
      <c r="F61" s="241"/>
      <c r="G61" s="241"/>
      <c r="H61" s="237"/>
      <c r="I61" s="336"/>
      <c r="J61" s="241"/>
      <c r="K61" s="241"/>
      <c r="L61" s="241"/>
      <c r="M61" s="237"/>
    </row>
    <row r="62" spans="3:13" ht="12.75">
      <c r="C62" s="235"/>
      <c r="D62" s="336"/>
      <c r="E62" s="241"/>
      <c r="F62" s="241"/>
      <c r="G62" s="241"/>
      <c r="H62" s="237"/>
      <c r="I62" s="336"/>
      <c r="J62" s="241"/>
      <c r="K62" s="241"/>
      <c r="L62" s="241"/>
      <c r="M62" s="238"/>
    </row>
    <row r="63" spans="3:13" ht="12.75">
      <c r="C63" s="235"/>
      <c r="D63" s="336"/>
      <c r="E63" s="236"/>
      <c r="F63" s="236"/>
      <c r="G63" s="241"/>
      <c r="H63" s="237"/>
      <c r="I63" s="336"/>
      <c r="J63" s="236"/>
      <c r="K63" s="236"/>
      <c r="L63" s="241"/>
      <c r="M63" s="238"/>
    </row>
    <row r="64" spans="3:13" ht="12.75">
      <c r="C64" s="235"/>
      <c r="D64" s="237"/>
      <c r="E64" s="237"/>
      <c r="F64" s="237"/>
      <c r="G64" s="237"/>
      <c r="H64" s="237"/>
      <c r="I64" s="238"/>
      <c r="J64" s="238"/>
      <c r="K64" s="238"/>
      <c r="L64" s="238"/>
      <c r="M64" s="238"/>
    </row>
    <row r="65" spans="3:13" ht="12.75">
      <c r="C65" s="235"/>
      <c r="D65" s="237"/>
      <c r="E65" s="237"/>
      <c r="F65" s="237"/>
      <c r="G65" s="237"/>
      <c r="H65" s="237"/>
      <c r="I65" s="238"/>
      <c r="J65" s="238"/>
      <c r="K65" s="238"/>
      <c r="L65" s="238"/>
      <c r="M65" s="238"/>
    </row>
    <row r="66" spans="4:7" ht="12.75">
      <c r="D66" s="237"/>
      <c r="E66" s="237"/>
      <c r="F66" s="237"/>
      <c r="G66" s="237"/>
    </row>
    <row r="67" spans="4:7" ht="12.75">
      <c r="D67" s="237"/>
      <c r="E67" s="237"/>
      <c r="F67" s="237"/>
      <c r="G67" s="237"/>
    </row>
    <row r="68" spans="4:7" ht="12.75">
      <c r="D68" s="237"/>
      <c r="E68" s="237"/>
      <c r="F68" s="237"/>
      <c r="G68" s="237"/>
    </row>
    <row r="69" spans="4:7" ht="12.75">
      <c r="D69" s="237"/>
      <c r="E69" s="237"/>
      <c r="F69" s="237"/>
      <c r="G69" s="237"/>
    </row>
    <row r="70" spans="4:7" ht="12.75">
      <c r="D70" s="237"/>
      <c r="E70" s="237"/>
      <c r="F70" s="237"/>
      <c r="G70" s="237"/>
    </row>
    <row r="71" spans="4:7" ht="12.75">
      <c r="D71" s="237"/>
      <c r="E71" s="237"/>
      <c r="F71" s="237"/>
      <c r="G71" s="237"/>
    </row>
  </sheetData>
  <mergeCells count="26">
    <mergeCell ref="A1:M1"/>
    <mergeCell ref="A2:M2"/>
    <mergeCell ref="D6:G6"/>
    <mergeCell ref="D7:G7"/>
    <mergeCell ref="I7:L7"/>
    <mergeCell ref="I6:L6"/>
    <mergeCell ref="A3:C3"/>
    <mergeCell ref="A4:C4"/>
    <mergeCell ref="A5:C5"/>
    <mergeCell ref="H55:I55"/>
    <mergeCell ref="J8:J9"/>
    <mergeCell ref="K8:K9"/>
    <mergeCell ref="L8:L9"/>
    <mergeCell ref="H8:H50"/>
    <mergeCell ref="H52:J52"/>
    <mergeCell ref="H53:I53"/>
    <mergeCell ref="H54:I54"/>
    <mergeCell ref="M8:M9"/>
    <mergeCell ref="E8:E9"/>
    <mergeCell ref="F8:F9"/>
    <mergeCell ref="G8:G9"/>
    <mergeCell ref="I8:I9"/>
    <mergeCell ref="A8:A9"/>
    <mergeCell ref="B8:B9"/>
    <mergeCell ref="C8:C9"/>
    <mergeCell ref="D8:D9"/>
  </mergeCells>
  <printOptions horizontalCentered="1"/>
  <pageMargins left="0.35" right="0.35" top="0.35" bottom="0.35" header="0.2" footer="0.2"/>
  <pageSetup fitToHeight="1" fitToWidth="1" horizontalDpi="600" verticalDpi="600" orientation="landscape" scale="82" r:id="rId2"/>
  <headerFooter alignWithMargins="0">
    <oddFooter>&amp;L&amp;A</oddFooter>
  </headerFooter>
  <rowBreaks count="1" manualBreakCount="1">
    <brk id="64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view="pageBreakPreview" zoomScaleSheetLayoutView="100" workbookViewId="0" topLeftCell="A1">
      <pane xSplit="3" ySplit="9" topLeftCell="D10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D10" sqref="D10"/>
    </sheetView>
  </sheetViews>
  <sheetFormatPr defaultColWidth="9.140625" defaultRowHeight="12.75"/>
  <cols>
    <col min="1" max="1" width="7.28125" style="25" customWidth="1"/>
    <col min="2" max="2" width="8.00390625" style="240" customWidth="1"/>
    <col min="3" max="3" width="42.28125" style="239" customWidth="1"/>
    <col min="4" max="4" width="12.140625" style="239" customWidth="1"/>
    <col min="5" max="6" width="10.7109375" style="239" customWidth="1"/>
    <col min="7" max="7" width="12.140625" style="239" customWidth="1"/>
    <col min="8" max="8" width="1.1484375" style="239" customWidth="1"/>
    <col min="9" max="9" width="12.140625" style="239" customWidth="1"/>
    <col min="10" max="11" width="10.7109375" style="239" customWidth="1"/>
    <col min="12" max="13" width="12.140625" style="239" customWidth="1"/>
  </cols>
  <sheetData>
    <row r="1" spans="1:13" ht="12.75">
      <c r="A1" s="441" t="str">
        <f>'Trial Balance'!A1:J1</f>
        <v>North Bay Hydro Distribution Ltd.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13" ht="12.75">
      <c r="A2" s="441" t="str">
        <f>'Trial Balance'!A2:J2</f>
        <v>License Number ED-2003-0024, File Number EB-2009-0270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1:13" ht="12.75">
      <c r="A3" s="444"/>
      <c r="B3" s="444"/>
      <c r="C3" s="444"/>
      <c r="D3" s="236"/>
      <c r="E3" s="236"/>
      <c r="F3" s="236"/>
      <c r="G3" s="236"/>
      <c r="H3" s="237"/>
      <c r="I3" s="238"/>
      <c r="J3" s="238"/>
      <c r="K3" s="238"/>
      <c r="L3" s="238"/>
      <c r="M3" s="238"/>
    </row>
    <row r="4" spans="1:13" ht="12.75">
      <c r="A4" s="444" t="s">
        <v>231</v>
      </c>
      <c r="B4" s="444"/>
      <c r="C4" s="444"/>
      <c r="D4" s="236"/>
      <c r="E4" s="236"/>
      <c r="F4" s="236"/>
      <c r="H4" s="237"/>
      <c r="I4" s="238"/>
      <c r="J4" s="238"/>
      <c r="K4" s="238"/>
      <c r="L4" s="238"/>
      <c r="M4" s="238"/>
    </row>
    <row r="5" spans="1:13" ht="12.75">
      <c r="A5" s="444" t="s">
        <v>823</v>
      </c>
      <c r="B5" s="444"/>
      <c r="C5" s="444"/>
      <c r="D5" s="236"/>
      <c r="E5" s="236"/>
      <c r="F5" s="236"/>
      <c r="H5" s="237"/>
      <c r="I5" s="238"/>
      <c r="J5" s="238"/>
      <c r="K5" s="238"/>
      <c r="L5" s="238"/>
      <c r="M5" s="238"/>
    </row>
    <row r="6" spans="4:13" ht="12.75">
      <c r="D6" s="442" t="s">
        <v>274</v>
      </c>
      <c r="E6" s="442"/>
      <c r="F6" s="442"/>
      <c r="G6" s="442"/>
      <c r="H6" s="237"/>
      <c r="I6" s="442" t="s">
        <v>275</v>
      </c>
      <c r="J6" s="442"/>
      <c r="K6" s="442"/>
      <c r="L6" s="442"/>
      <c r="M6" s="238"/>
    </row>
    <row r="7" spans="3:13" ht="12.75">
      <c r="C7" s="235"/>
      <c r="D7" s="443"/>
      <c r="E7" s="443"/>
      <c r="F7" s="443"/>
      <c r="G7" s="443"/>
      <c r="H7" s="237"/>
      <c r="I7" s="443"/>
      <c r="J7" s="443"/>
      <c r="K7" s="443"/>
      <c r="L7" s="443"/>
      <c r="M7" s="238"/>
    </row>
    <row r="8" spans="1:13" s="19" customFormat="1" ht="12.75">
      <c r="A8" s="446" t="s">
        <v>223</v>
      </c>
      <c r="B8" s="446" t="s">
        <v>516</v>
      </c>
      <c r="C8" s="446" t="s">
        <v>189</v>
      </c>
      <c r="D8" s="446" t="s">
        <v>239</v>
      </c>
      <c r="E8" s="446" t="s">
        <v>340</v>
      </c>
      <c r="F8" s="446" t="s">
        <v>341</v>
      </c>
      <c r="G8" s="446" t="s">
        <v>240</v>
      </c>
      <c r="H8" s="452"/>
      <c r="I8" s="446" t="s">
        <v>239</v>
      </c>
      <c r="J8" s="446" t="s">
        <v>340</v>
      </c>
      <c r="K8" s="446" t="s">
        <v>341</v>
      </c>
      <c r="L8" s="446" t="s">
        <v>240</v>
      </c>
      <c r="M8" s="446" t="s">
        <v>241</v>
      </c>
    </row>
    <row r="9" spans="1:13" s="19" customFormat="1" ht="12.75">
      <c r="A9" s="447"/>
      <c r="B9" s="447"/>
      <c r="C9" s="447"/>
      <c r="D9" s="447" t="s">
        <v>276</v>
      </c>
      <c r="E9" s="447" t="s">
        <v>340</v>
      </c>
      <c r="F9" s="447"/>
      <c r="G9" s="447"/>
      <c r="H9" s="452"/>
      <c r="I9" s="447" t="s">
        <v>276</v>
      </c>
      <c r="J9" s="447" t="s">
        <v>340</v>
      </c>
      <c r="K9" s="447"/>
      <c r="L9" s="447"/>
      <c r="M9" s="447"/>
    </row>
    <row r="10" spans="1:13" ht="12.75">
      <c r="A10" s="252" t="str">
        <f>+'FA Continuity 2007'!A10</f>
        <v>N/A</v>
      </c>
      <c r="B10" s="249">
        <f>+'FA Continuity 2007'!B10</f>
        <v>1805</v>
      </c>
      <c r="C10" s="250" t="str">
        <f>+'FA Continuity 2007'!C10</f>
        <v>Land</v>
      </c>
      <c r="D10" s="408">
        <f>'FA Continuity 2007'!G10</f>
        <v>311178.69</v>
      </c>
      <c r="E10" s="406">
        <v>997.78</v>
      </c>
      <c r="F10" s="406"/>
      <c r="G10" s="408">
        <f>D10+E10-F10</f>
        <v>312176.47000000003</v>
      </c>
      <c r="H10" s="452"/>
      <c r="I10" s="408">
        <f>'FA Continuity 2007'!L10</f>
        <v>0</v>
      </c>
      <c r="J10" s="406"/>
      <c r="K10" s="406"/>
      <c r="L10" s="408">
        <f aca="true" t="shared" si="0" ref="L10:L46">I10+J10-K10</f>
        <v>0</v>
      </c>
      <c r="M10" s="408">
        <f aca="true" t="shared" si="1" ref="M10:M46">G10-L10</f>
        <v>312176.47000000003</v>
      </c>
    </row>
    <row r="11" spans="1:13" ht="12.75">
      <c r="A11" s="252" t="str">
        <f>+'FA Continuity 2007'!A11</f>
        <v>CEC</v>
      </c>
      <c r="B11" s="249">
        <f>+'FA Continuity 2007'!B11</f>
        <v>1806</v>
      </c>
      <c r="C11" s="250" t="str">
        <f>+'FA Continuity 2007'!C11</f>
        <v>Land Rights</v>
      </c>
      <c r="D11" s="408">
        <f>'FA Continuity 2007'!G11</f>
        <v>0</v>
      </c>
      <c r="E11" s="406"/>
      <c r="F11" s="406"/>
      <c r="G11" s="408">
        <f aca="true" t="shared" si="2" ref="G11:G46">D11+E11-F11</f>
        <v>0</v>
      </c>
      <c r="H11" s="452"/>
      <c r="I11" s="408">
        <f>'FA Continuity 2007'!L11</f>
        <v>0</v>
      </c>
      <c r="J11" s="406"/>
      <c r="K11" s="406"/>
      <c r="L11" s="408">
        <f t="shared" si="0"/>
        <v>0</v>
      </c>
      <c r="M11" s="408">
        <f t="shared" si="1"/>
        <v>0</v>
      </c>
    </row>
    <row r="12" spans="1:13" ht="12.75">
      <c r="A12" s="252">
        <f>+'FA Continuity 2007'!A12</f>
        <v>1</v>
      </c>
      <c r="B12" s="249">
        <f>+'FA Continuity 2007'!B12</f>
        <v>1808</v>
      </c>
      <c r="C12" s="250" t="str">
        <f>+'FA Continuity 2007'!C12</f>
        <v>Buildings and Fixtures</v>
      </c>
      <c r="D12" s="408">
        <f>'FA Continuity 2007'!G12</f>
        <v>767945.81</v>
      </c>
      <c r="E12" s="406">
        <v>1695</v>
      </c>
      <c r="F12" s="406"/>
      <c r="G12" s="408">
        <f t="shared" si="2"/>
        <v>769640.81</v>
      </c>
      <c r="H12" s="452"/>
      <c r="I12" s="408">
        <f>'FA Continuity 2007'!L12</f>
        <v>253040.81</v>
      </c>
      <c r="J12" s="406">
        <v>13471.95</v>
      </c>
      <c r="K12" s="406"/>
      <c r="L12" s="408">
        <f t="shared" si="0"/>
        <v>266512.76</v>
      </c>
      <c r="M12" s="408">
        <f t="shared" si="1"/>
        <v>503128.05000000005</v>
      </c>
    </row>
    <row r="13" spans="1:13" ht="12.75">
      <c r="A13" s="252">
        <f>+'FA Continuity 2007'!A13</f>
        <v>0</v>
      </c>
      <c r="B13" s="249">
        <f>+'FA Continuity 2007'!B13</f>
        <v>1810</v>
      </c>
      <c r="C13" s="250" t="str">
        <f>+'FA Continuity 2007'!C13</f>
        <v>Leasehold Improvements</v>
      </c>
      <c r="D13" s="408">
        <f>'FA Continuity 2007'!G13</f>
        <v>0</v>
      </c>
      <c r="E13" s="406"/>
      <c r="F13" s="406"/>
      <c r="G13" s="408">
        <f t="shared" si="2"/>
        <v>0</v>
      </c>
      <c r="H13" s="452"/>
      <c r="I13" s="408">
        <f>'FA Continuity 2007'!L13</f>
        <v>0</v>
      </c>
      <c r="J13" s="406"/>
      <c r="K13" s="406"/>
      <c r="L13" s="408">
        <f t="shared" si="0"/>
        <v>0</v>
      </c>
      <c r="M13" s="408">
        <f t="shared" si="1"/>
        <v>0</v>
      </c>
    </row>
    <row r="14" spans="1:13" ht="12.75">
      <c r="A14" s="252">
        <f>+'FA Continuity 2007'!A14</f>
        <v>0</v>
      </c>
      <c r="B14" s="249">
        <f>+'FA Continuity 2007'!B14</f>
        <v>1815</v>
      </c>
      <c r="C14" s="250" t="str">
        <f>+'FA Continuity 2007'!C14</f>
        <v>Transformer Station Equipment -  &gt; 50 kV</v>
      </c>
      <c r="D14" s="408">
        <f>'FA Continuity 2007'!G14</f>
        <v>0</v>
      </c>
      <c r="E14" s="406"/>
      <c r="F14" s="406"/>
      <c r="G14" s="408">
        <f t="shared" si="2"/>
        <v>0</v>
      </c>
      <c r="H14" s="452"/>
      <c r="I14" s="408">
        <f>'FA Continuity 2007'!L14</f>
        <v>0</v>
      </c>
      <c r="J14" s="406"/>
      <c r="K14" s="406"/>
      <c r="L14" s="408">
        <f t="shared" si="0"/>
        <v>0</v>
      </c>
      <c r="M14" s="408">
        <f t="shared" si="1"/>
        <v>0</v>
      </c>
    </row>
    <row r="15" spans="1:13" ht="12.75">
      <c r="A15" s="252">
        <f>+'FA Continuity 2007'!A15</f>
        <v>1</v>
      </c>
      <c r="B15" s="249">
        <f>+'FA Continuity 2007'!B15</f>
        <v>1820</v>
      </c>
      <c r="C15" s="250" t="str">
        <f>+'FA Continuity 2007'!C15</f>
        <v>Distribution Station Equipment - &lt; 50 kV</v>
      </c>
      <c r="D15" s="408">
        <f>'FA Continuity 2007'!G15</f>
        <v>7690408.8</v>
      </c>
      <c r="E15" s="406">
        <v>232573.35</v>
      </c>
      <c r="F15" s="406"/>
      <c r="G15" s="408">
        <f t="shared" si="2"/>
        <v>7922982.149999999</v>
      </c>
      <c r="H15" s="452"/>
      <c r="I15" s="408">
        <f>'FA Continuity 2007'!L15</f>
        <v>3120048.1599999997</v>
      </c>
      <c r="J15" s="406">
        <v>233232.57</v>
      </c>
      <c r="K15" s="406"/>
      <c r="L15" s="408">
        <f t="shared" si="0"/>
        <v>3353280.7299999995</v>
      </c>
      <c r="M15" s="408">
        <f t="shared" si="1"/>
        <v>4569701.42</v>
      </c>
    </row>
    <row r="16" spans="1:13" ht="12.75">
      <c r="A16" s="252">
        <f>+'FA Continuity 2007'!A16</f>
        <v>0</v>
      </c>
      <c r="B16" s="249">
        <f>+'FA Continuity 2007'!B16</f>
        <v>1825</v>
      </c>
      <c r="C16" s="250" t="str">
        <f>+'FA Continuity 2007'!C16</f>
        <v>Storage Battery Equipment</v>
      </c>
      <c r="D16" s="408">
        <f>'FA Continuity 2007'!G16</f>
        <v>0</v>
      </c>
      <c r="E16" s="406"/>
      <c r="F16" s="406"/>
      <c r="G16" s="408">
        <f t="shared" si="2"/>
        <v>0</v>
      </c>
      <c r="H16" s="452"/>
      <c r="I16" s="408">
        <f>'FA Continuity 2007'!L16</f>
        <v>0</v>
      </c>
      <c r="J16" s="406"/>
      <c r="K16" s="406"/>
      <c r="L16" s="408">
        <f t="shared" si="0"/>
        <v>0</v>
      </c>
      <c r="M16" s="408">
        <f t="shared" si="1"/>
        <v>0</v>
      </c>
    </row>
    <row r="17" spans="1:14" ht="12.75">
      <c r="A17" s="252">
        <f>+'FA Continuity 2007'!A17</f>
        <v>1</v>
      </c>
      <c r="B17" s="249">
        <f>+'FA Continuity 2007'!B17</f>
        <v>1830</v>
      </c>
      <c r="C17" s="250" t="str">
        <f>+'FA Continuity 2007'!C17</f>
        <v>Poles, Towers and Fixtures</v>
      </c>
      <c r="D17" s="408">
        <f>'FA Continuity 2007'!G17</f>
        <v>14803031.7</v>
      </c>
      <c r="E17" s="406">
        <v>1145572.11</v>
      </c>
      <c r="F17" s="406"/>
      <c r="G17" s="408">
        <f t="shared" si="2"/>
        <v>15948603.809999999</v>
      </c>
      <c r="H17" s="452"/>
      <c r="I17" s="408">
        <f>'FA Continuity 2007'!L17</f>
        <v>8820673.46</v>
      </c>
      <c r="J17" s="406">
        <v>473874.939999999</v>
      </c>
      <c r="K17" s="406"/>
      <c r="L17" s="408">
        <f t="shared" si="0"/>
        <v>9294548.4</v>
      </c>
      <c r="M17" s="408">
        <f t="shared" si="1"/>
        <v>6654055.409999998</v>
      </c>
      <c r="N17" s="317"/>
    </row>
    <row r="18" spans="1:13" ht="12.75">
      <c r="A18" s="252">
        <f>+'FA Continuity 2007'!A18</f>
        <v>1</v>
      </c>
      <c r="B18" s="249">
        <f>+'FA Continuity 2007'!B18</f>
        <v>1835</v>
      </c>
      <c r="C18" s="250" t="str">
        <f>+'FA Continuity 2007'!C18</f>
        <v>Overhead Conductors and Devices</v>
      </c>
      <c r="D18" s="408">
        <f>'FA Continuity 2007'!G18</f>
        <v>11893136.290000001</v>
      </c>
      <c r="E18" s="406">
        <v>779577.82</v>
      </c>
      <c r="F18" s="406"/>
      <c r="G18" s="408">
        <f t="shared" si="2"/>
        <v>12672714.110000001</v>
      </c>
      <c r="H18" s="452"/>
      <c r="I18" s="408">
        <f>'FA Continuity 2007'!L18</f>
        <v>6637892.86</v>
      </c>
      <c r="J18" s="406">
        <v>389150.34</v>
      </c>
      <c r="K18" s="406"/>
      <c r="L18" s="408">
        <f t="shared" si="0"/>
        <v>7027043.2</v>
      </c>
      <c r="M18" s="408">
        <f t="shared" si="1"/>
        <v>5645670.910000001</v>
      </c>
    </row>
    <row r="19" spans="1:13" ht="12.75">
      <c r="A19" s="252">
        <f>+'FA Continuity 2007'!A19</f>
        <v>1</v>
      </c>
      <c r="B19" s="249">
        <f>+'FA Continuity 2007'!B19</f>
        <v>1840</v>
      </c>
      <c r="C19" s="250" t="str">
        <f>+'FA Continuity 2007'!C19</f>
        <v>Underground Conduit</v>
      </c>
      <c r="D19" s="408">
        <f>'FA Continuity 2007'!G19</f>
        <v>330585.81</v>
      </c>
      <c r="E19" s="406">
        <v>57358.63</v>
      </c>
      <c r="F19" s="406"/>
      <c r="G19" s="408">
        <f t="shared" si="2"/>
        <v>387944.44</v>
      </c>
      <c r="H19" s="452"/>
      <c r="I19" s="408">
        <f>'FA Continuity 2007'!L19</f>
        <v>55337.31</v>
      </c>
      <c r="J19" s="406">
        <v>14370.17</v>
      </c>
      <c r="K19" s="406"/>
      <c r="L19" s="408">
        <f t="shared" si="0"/>
        <v>69707.48</v>
      </c>
      <c r="M19" s="408">
        <f t="shared" si="1"/>
        <v>318236.96</v>
      </c>
    </row>
    <row r="20" spans="1:13" ht="12.75">
      <c r="A20" s="252">
        <f>+'FA Continuity 2007'!A20</f>
        <v>1</v>
      </c>
      <c r="B20" s="249">
        <f>+'FA Continuity 2007'!B20</f>
        <v>1845</v>
      </c>
      <c r="C20" s="250" t="str">
        <f>+'FA Continuity 2007'!C20</f>
        <v>Underground Conductors and Devices</v>
      </c>
      <c r="D20" s="408">
        <f>'FA Continuity 2007'!G20</f>
        <v>5755349.61</v>
      </c>
      <c r="E20" s="406">
        <v>229481.4</v>
      </c>
      <c r="F20" s="406"/>
      <c r="G20" s="408">
        <f t="shared" si="2"/>
        <v>5984831.010000001</v>
      </c>
      <c r="H20" s="452"/>
      <c r="I20" s="408">
        <f>'FA Continuity 2007'!L20</f>
        <v>3526979.04</v>
      </c>
      <c r="J20" s="406">
        <v>213234.88</v>
      </c>
      <c r="K20" s="406"/>
      <c r="L20" s="408">
        <f t="shared" si="0"/>
        <v>3740213.92</v>
      </c>
      <c r="M20" s="408">
        <f t="shared" si="1"/>
        <v>2244617.090000001</v>
      </c>
    </row>
    <row r="21" spans="1:13" ht="12.75">
      <c r="A21" s="252">
        <f>+'FA Continuity 2007'!A21</f>
        <v>1</v>
      </c>
      <c r="B21" s="249">
        <f>+'FA Continuity 2007'!B21</f>
        <v>1850</v>
      </c>
      <c r="C21" s="250" t="str">
        <f>+'FA Continuity 2007'!C21</f>
        <v>Line Transformers</v>
      </c>
      <c r="D21" s="408">
        <f>'FA Continuity 2007'!G21</f>
        <v>12750217.76</v>
      </c>
      <c r="E21" s="406">
        <v>543317.91</v>
      </c>
      <c r="F21" s="406"/>
      <c r="G21" s="408">
        <f t="shared" si="2"/>
        <v>13293535.67</v>
      </c>
      <c r="H21" s="452"/>
      <c r="I21" s="408">
        <f>'FA Continuity 2007'!L21</f>
        <v>7271975.700000001</v>
      </c>
      <c r="J21" s="406">
        <v>391502.96</v>
      </c>
      <c r="K21" s="406"/>
      <c r="L21" s="408">
        <f t="shared" si="0"/>
        <v>7663478.660000001</v>
      </c>
      <c r="M21" s="408">
        <f t="shared" si="1"/>
        <v>5630057.009999999</v>
      </c>
    </row>
    <row r="22" spans="1:13" ht="12.75">
      <c r="A22" s="252">
        <f>+'FA Continuity 2007'!A22</f>
        <v>1</v>
      </c>
      <c r="B22" s="249">
        <f>+'FA Continuity 2007'!B22</f>
        <v>1855</v>
      </c>
      <c r="C22" s="250" t="str">
        <f>+'FA Continuity 2007'!C22</f>
        <v>Services</v>
      </c>
      <c r="D22" s="408">
        <f>'FA Continuity 2007'!G22</f>
        <v>8948078.2</v>
      </c>
      <c r="E22" s="406">
        <v>1051712.47</v>
      </c>
      <c r="F22" s="406"/>
      <c r="G22" s="408">
        <f t="shared" si="2"/>
        <v>9999790.67</v>
      </c>
      <c r="H22" s="452"/>
      <c r="I22" s="408">
        <f>'FA Continuity 2007'!L22</f>
        <v>4247461.390000001</v>
      </c>
      <c r="J22" s="406">
        <v>341606.29</v>
      </c>
      <c r="K22" s="406"/>
      <c r="L22" s="408">
        <f t="shared" si="0"/>
        <v>4589067.680000001</v>
      </c>
      <c r="M22" s="408">
        <f t="shared" si="1"/>
        <v>5410722.989999999</v>
      </c>
    </row>
    <row r="23" spans="1:13" ht="12.75">
      <c r="A23" s="252">
        <f>+'FA Continuity 2007'!A23</f>
        <v>1</v>
      </c>
      <c r="B23" s="249">
        <f>+'FA Continuity 2007'!B23</f>
        <v>1860</v>
      </c>
      <c r="C23" s="250" t="str">
        <f>+'FA Continuity 2007'!C23</f>
        <v>Meters</v>
      </c>
      <c r="D23" s="408">
        <f>'FA Continuity 2007'!G23</f>
        <v>3475727.8499999996</v>
      </c>
      <c r="E23" s="406">
        <v>74256.58</v>
      </c>
      <c r="F23" s="406">
        <v>21628.44</v>
      </c>
      <c r="G23" s="408">
        <f t="shared" si="2"/>
        <v>3528355.9899999998</v>
      </c>
      <c r="H23" s="452"/>
      <c r="I23" s="408">
        <f>'FA Continuity 2007'!L23</f>
        <v>2186797.53</v>
      </c>
      <c r="J23" s="406">
        <v>101965.11</v>
      </c>
      <c r="K23" s="406"/>
      <c r="L23" s="408">
        <f t="shared" si="0"/>
        <v>2288762.6399999997</v>
      </c>
      <c r="M23" s="408">
        <f t="shared" si="1"/>
        <v>1239593.35</v>
      </c>
    </row>
    <row r="24" spans="1:13" ht="12.75">
      <c r="A24" s="252">
        <f>+'FA Continuity 2007'!A24</f>
        <v>0</v>
      </c>
      <c r="B24" s="249">
        <f>+'FA Continuity 2007'!B24</f>
        <v>1865</v>
      </c>
      <c r="C24" s="250" t="str">
        <f>+'FA Continuity 2007'!C24</f>
        <v>Other Installations on Customer's Premises</v>
      </c>
      <c r="D24" s="408">
        <f>'FA Continuity 2007'!G24</f>
        <v>0</v>
      </c>
      <c r="E24" s="406"/>
      <c r="F24" s="406"/>
      <c r="G24" s="408">
        <f t="shared" si="2"/>
        <v>0</v>
      </c>
      <c r="H24" s="452"/>
      <c r="I24" s="408">
        <f>'FA Continuity 2007'!L24</f>
        <v>0</v>
      </c>
      <c r="J24" s="406"/>
      <c r="K24" s="406"/>
      <c r="L24" s="408">
        <f t="shared" si="0"/>
        <v>0</v>
      </c>
      <c r="M24" s="408">
        <f t="shared" si="1"/>
        <v>0</v>
      </c>
    </row>
    <row r="25" spans="1:13" ht="12.75">
      <c r="A25" s="252" t="str">
        <f>+'FA Continuity 2007'!A25</f>
        <v>N/A</v>
      </c>
      <c r="B25" s="249">
        <f>+'FA Continuity 2007'!B25</f>
        <v>1905</v>
      </c>
      <c r="C25" s="250" t="str">
        <f>+'FA Continuity 2007'!C25</f>
        <v>Land</v>
      </c>
      <c r="D25" s="408">
        <f>'FA Continuity 2007'!G25</f>
        <v>86550.51</v>
      </c>
      <c r="E25" s="406"/>
      <c r="F25" s="406"/>
      <c r="G25" s="408">
        <f t="shared" si="2"/>
        <v>86550.51</v>
      </c>
      <c r="H25" s="452"/>
      <c r="I25" s="408">
        <f>'FA Continuity 2007'!L25</f>
        <v>0</v>
      </c>
      <c r="J25" s="406"/>
      <c r="K25" s="406"/>
      <c r="L25" s="408">
        <f t="shared" si="0"/>
        <v>0</v>
      </c>
      <c r="M25" s="408">
        <f t="shared" si="1"/>
        <v>86550.51</v>
      </c>
    </row>
    <row r="26" spans="1:13" ht="12.75">
      <c r="A26" s="252" t="str">
        <f>+'FA Continuity 2007'!A26</f>
        <v>CEC</v>
      </c>
      <c r="B26" s="249">
        <f>+'FA Continuity 2007'!B26</f>
        <v>1906</v>
      </c>
      <c r="C26" s="250" t="str">
        <f>+'FA Continuity 2007'!C26</f>
        <v>Land Rights</v>
      </c>
      <c r="D26" s="408">
        <f>'FA Continuity 2007'!G26</f>
        <v>0</v>
      </c>
      <c r="E26" s="406"/>
      <c r="F26" s="406"/>
      <c r="G26" s="408">
        <f t="shared" si="2"/>
        <v>0</v>
      </c>
      <c r="H26" s="452"/>
      <c r="I26" s="408">
        <f>'FA Continuity 2007'!L26</f>
        <v>0</v>
      </c>
      <c r="J26" s="406"/>
      <c r="K26" s="406"/>
      <c r="L26" s="408">
        <f t="shared" si="0"/>
        <v>0</v>
      </c>
      <c r="M26" s="408">
        <f t="shared" si="1"/>
        <v>0</v>
      </c>
    </row>
    <row r="27" spans="1:13" ht="12.75">
      <c r="A27" s="252">
        <f>+'FA Continuity 2007'!A27</f>
        <v>1</v>
      </c>
      <c r="B27" s="249">
        <f>+'FA Continuity 2007'!B27</f>
        <v>1908</v>
      </c>
      <c r="C27" s="250" t="str">
        <f>+'FA Continuity 2007'!C27</f>
        <v>Buildings and Fixtures</v>
      </c>
      <c r="D27" s="408">
        <f>'FA Continuity 2007'!G27</f>
        <v>1578727.6</v>
      </c>
      <c r="E27" s="406">
        <v>310037.13</v>
      </c>
      <c r="F27" s="406"/>
      <c r="G27" s="408">
        <f t="shared" si="2"/>
        <v>1888764.73</v>
      </c>
      <c r="H27" s="452"/>
      <c r="I27" s="408">
        <f>'FA Continuity 2007'!L27</f>
        <v>940508.24</v>
      </c>
      <c r="J27" s="406">
        <v>52460.89</v>
      </c>
      <c r="K27" s="406"/>
      <c r="L27" s="408">
        <f t="shared" si="0"/>
        <v>992969.13</v>
      </c>
      <c r="M27" s="408">
        <f t="shared" si="1"/>
        <v>895795.6</v>
      </c>
    </row>
    <row r="28" spans="1:13" ht="12.75">
      <c r="A28" s="252">
        <f>+'FA Continuity 2007'!A28</f>
        <v>0</v>
      </c>
      <c r="B28" s="249">
        <f>+'FA Continuity 2007'!B28</f>
        <v>1910</v>
      </c>
      <c r="C28" s="250" t="str">
        <f>+'FA Continuity 2007'!C28</f>
        <v>Leasehold Improvements</v>
      </c>
      <c r="D28" s="408">
        <f>'FA Continuity 2007'!G28</f>
        <v>0</v>
      </c>
      <c r="E28" s="406"/>
      <c r="F28" s="406"/>
      <c r="G28" s="408">
        <f t="shared" si="2"/>
        <v>0</v>
      </c>
      <c r="H28" s="452"/>
      <c r="I28" s="408">
        <f>'FA Continuity 2007'!L28</f>
        <v>0</v>
      </c>
      <c r="J28" s="406"/>
      <c r="K28" s="406"/>
      <c r="L28" s="408">
        <f t="shared" si="0"/>
        <v>0</v>
      </c>
      <c r="M28" s="408">
        <f t="shared" si="1"/>
        <v>0</v>
      </c>
    </row>
    <row r="29" spans="1:13" ht="12.75">
      <c r="A29" s="252">
        <f>+'FA Continuity 2007'!A29</f>
        <v>8</v>
      </c>
      <c r="B29" s="249">
        <f>+'FA Continuity 2007'!B29</f>
        <v>1915</v>
      </c>
      <c r="C29" s="250" t="str">
        <f>+'FA Continuity 2007'!C29</f>
        <v>Office Furniture and Equipment</v>
      </c>
      <c r="D29" s="408">
        <f>'FA Continuity 2007'!G29</f>
        <v>295747.1</v>
      </c>
      <c r="E29" s="406">
        <v>14938.71</v>
      </c>
      <c r="F29" s="406"/>
      <c r="G29" s="408">
        <f t="shared" si="2"/>
        <v>310685.81</v>
      </c>
      <c r="H29" s="452"/>
      <c r="I29" s="408">
        <f>'FA Continuity 2007'!L29</f>
        <v>264413.10000000003</v>
      </c>
      <c r="J29" s="406">
        <v>4926.94</v>
      </c>
      <c r="K29" s="406"/>
      <c r="L29" s="408">
        <f t="shared" si="0"/>
        <v>269340.04000000004</v>
      </c>
      <c r="M29" s="408">
        <f t="shared" si="1"/>
        <v>41345.76999999996</v>
      </c>
    </row>
    <row r="30" spans="1:13" ht="12.75">
      <c r="A30" s="252">
        <f>+'FA Continuity 2007'!A30</f>
        <v>45</v>
      </c>
      <c r="B30" s="249">
        <f>+'FA Continuity 2007'!B30</f>
        <v>1920</v>
      </c>
      <c r="C30" s="250" t="str">
        <f>+'FA Continuity 2007'!C30</f>
        <v>Computer Equipment - Hardware</v>
      </c>
      <c r="D30" s="408">
        <f>'FA Continuity 2007'!G30</f>
        <v>524331.61</v>
      </c>
      <c r="E30" s="406">
        <v>47817.01</v>
      </c>
      <c r="F30" s="406"/>
      <c r="G30" s="408">
        <f t="shared" si="2"/>
        <v>572148.62</v>
      </c>
      <c r="H30" s="452"/>
      <c r="I30" s="408">
        <f>'FA Continuity 2007'!L30</f>
        <v>438520.61</v>
      </c>
      <c r="J30" s="406">
        <v>43728.7</v>
      </c>
      <c r="K30" s="406"/>
      <c r="L30" s="408">
        <f t="shared" si="0"/>
        <v>482249.31</v>
      </c>
      <c r="M30" s="408">
        <f t="shared" si="1"/>
        <v>89899.31</v>
      </c>
    </row>
    <row r="31" spans="1:13" ht="12.75">
      <c r="A31" s="252">
        <f>+'FA Continuity 2007'!A31</f>
        <v>12</v>
      </c>
      <c r="B31" s="249">
        <f>+'FA Continuity 2007'!B31</f>
        <v>1925</v>
      </c>
      <c r="C31" s="250" t="str">
        <f>+'FA Continuity 2007'!C31</f>
        <v>Computer Software</v>
      </c>
      <c r="D31" s="408">
        <f>'FA Continuity 2007'!G31</f>
        <v>854898.81</v>
      </c>
      <c r="E31" s="406">
        <v>21677.28</v>
      </c>
      <c r="F31" s="406"/>
      <c r="G31" s="408">
        <f t="shared" si="2"/>
        <v>876576.0900000001</v>
      </c>
      <c r="H31" s="452"/>
      <c r="I31" s="408">
        <f>'FA Continuity 2007'!L31</f>
        <v>801425.81</v>
      </c>
      <c r="J31" s="406">
        <v>17770.73</v>
      </c>
      <c r="K31" s="406"/>
      <c r="L31" s="408">
        <f>I31+J31-K31</f>
        <v>819196.54</v>
      </c>
      <c r="M31" s="408">
        <f>G31-L31</f>
        <v>57379.55000000005</v>
      </c>
    </row>
    <row r="32" spans="1:13" ht="12.75">
      <c r="A32" s="252">
        <f>+'FA Continuity 2007'!A32</f>
        <v>10</v>
      </c>
      <c r="B32" s="249">
        <f>+'FA Continuity 2007'!B32</f>
        <v>1930</v>
      </c>
      <c r="C32" s="250" t="str">
        <f>+'FA Continuity 2007'!C32</f>
        <v>Transportation Equipment</v>
      </c>
      <c r="D32" s="408">
        <f>'FA Continuity 2007'!G32</f>
        <v>1830483.46</v>
      </c>
      <c r="E32" s="406">
        <v>491579.18</v>
      </c>
      <c r="F32" s="406">
        <v>186737.4</v>
      </c>
      <c r="G32" s="408">
        <f t="shared" si="2"/>
        <v>2135325.24</v>
      </c>
      <c r="H32" s="452"/>
      <c r="I32" s="408">
        <f>'FA Continuity 2007'!L32</f>
        <v>1524085.37</v>
      </c>
      <c r="J32" s="406">
        <v>103834.08</v>
      </c>
      <c r="K32" s="406">
        <v>186737.4</v>
      </c>
      <c r="L32" s="408">
        <f t="shared" si="0"/>
        <v>1441182.0500000003</v>
      </c>
      <c r="M32" s="408">
        <f t="shared" si="1"/>
        <v>694143.19</v>
      </c>
    </row>
    <row r="33" spans="1:13" ht="12.75">
      <c r="A33" s="252">
        <f>+'FA Continuity 2007'!A33</f>
        <v>10</v>
      </c>
      <c r="B33" s="249">
        <f>+'FA Continuity 2007'!B33</f>
        <v>1935</v>
      </c>
      <c r="C33" s="250" t="str">
        <f>+'FA Continuity 2007'!C33</f>
        <v>Stores Equipment</v>
      </c>
      <c r="D33" s="408">
        <f>'FA Continuity 2007'!G33</f>
        <v>75195.87</v>
      </c>
      <c r="E33" s="406"/>
      <c r="F33" s="406"/>
      <c r="G33" s="408">
        <f t="shared" si="2"/>
        <v>75195.87</v>
      </c>
      <c r="H33" s="452"/>
      <c r="I33" s="408">
        <f>'FA Continuity 2007'!L33</f>
        <v>75195.87</v>
      </c>
      <c r="J33" s="406">
        <v>0</v>
      </c>
      <c r="K33" s="406"/>
      <c r="L33" s="408">
        <f t="shared" si="0"/>
        <v>75195.87</v>
      </c>
      <c r="M33" s="408">
        <f t="shared" si="1"/>
        <v>0</v>
      </c>
    </row>
    <row r="34" spans="1:13" ht="12.75">
      <c r="A34" s="252">
        <f>+'FA Continuity 2007'!A34</f>
        <v>8</v>
      </c>
      <c r="B34" s="249">
        <f>+'FA Continuity 2007'!B34</f>
        <v>1940</v>
      </c>
      <c r="C34" s="250" t="str">
        <f>+'FA Continuity 2007'!C34</f>
        <v>Tools, Shop and Garage Equipment</v>
      </c>
      <c r="D34" s="408">
        <f>'FA Continuity 2007'!G34</f>
        <v>1011833.1</v>
      </c>
      <c r="E34" s="406">
        <v>71016.86</v>
      </c>
      <c r="F34" s="406"/>
      <c r="G34" s="408">
        <f t="shared" si="2"/>
        <v>1082849.96</v>
      </c>
      <c r="H34" s="452"/>
      <c r="I34" s="408">
        <f>'FA Continuity 2007'!L34</f>
        <v>879661.1</v>
      </c>
      <c r="J34" s="406">
        <v>23474.84</v>
      </c>
      <c r="K34" s="406"/>
      <c r="L34" s="408">
        <f t="shared" si="0"/>
        <v>903135.94</v>
      </c>
      <c r="M34" s="408">
        <f t="shared" si="1"/>
        <v>179714.02000000002</v>
      </c>
    </row>
    <row r="35" spans="1:13" ht="12.75">
      <c r="A35" s="252">
        <f>+'FA Continuity 2007'!A35</f>
        <v>0</v>
      </c>
      <c r="B35" s="249">
        <f>+'FA Continuity 2007'!B35</f>
        <v>1945</v>
      </c>
      <c r="C35" s="250" t="str">
        <f>+'FA Continuity 2007'!C35</f>
        <v>Measurement and Testing Equipment</v>
      </c>
      <c r="D35" s="408">
        <f>'FA Continuity 2007'!G35</f>
        <v>0</v>
      </c>
      <c r="E35" s="406"/>
      <c r="F35" s="406"/>
      <c r="G35" s="408">
        <f t="shared" si="2"/>
        <v>0</v>
      </c>
      <c r="H35" s="452"/>
      <c r="I35" s="408">
        <f>'FA Continuity 2007'!L35</f>
        <v>0</v>
      </c>
      <c r="J35" s="406"/>
      <c r="K35" s="406"/>
      <c r="L35" s="408">
        <f t="shared" si="0"/>
        <v>0</v>
      </c>
      <c r="M35" s="408">
        <f t="shared" si="1"/>
        <v>0</v>
      </c>
    </row>
    <row r="36" spans="1:13" ht="12.75">
      <c r="A36" s="252">
        <f>+'FA Continuity 2007'!A36</f>
        <v>0</v>
      </c>
      <c r="B36" s="249">
        <f>+'FA Continuity 2007'!B36</f>
        <v>1950</v>
      </c>
      <c r="C36" s="250" t="str">
        <f>+'FA Continuity 2007'!C36</f>
        <v>Power Operated Equipment</v>
      </c>
      <c r="D36" s="408">
        <f>'FA Continuity 2007'!G36</f>
        <v>0</v>
      </c>
      <c r="E36" s="406"/>
      <c r="F36" s="406"/>
      <c r="G36" s="408">
        <f t="shared" si="2"/>
        <v>0</v>
      </c>
      <c r="H36" s="452"/>
      <c r="I36" s="408">
        <f>'FA Continuity 2007'!L36</f>
        <v>0</v>
      </c>
      <c r="J36" s="406"/>
      <c r="K36" s="406"/>
      <c r="L36" s="408">
        <f t="shared" si="0"/>
        <v>0</v>
      </c>
      <c r="M36" s="408">
        <f t="shared" si="1"/>
        <v>0</v>
      </c>
    </row>
    <row r="37" spans="1:13" ht="12.75">
      <c r="A37" s="252">
        <f>+'FA Continuity 2007'!A37</f>
        <v>10</v>
      </c>
      <c r="B37" s="249">
        <f>+'FA Continuity 2007'!B37</f>
        <v>1955</v>
      </c>
      <c r="C37" s="250" t="str">
        <f>+'FA Continuity 2007'!C37</f>
        <v>Communication Equipment</v>
      </c>
      <c r="D37" s="408">
        <f>'FA Continuity 2007'!G37</f>
        <v>84998.24</v>
      </c>
      <c r="E37" s="406">
        <v>919.2</v>
      </c>
      <c r="F37" s="406"/>
      <c r="G37" s="408">
        <f t="shared" si="2"/>
        <v>85917.44</v>
      </c>
      <c r="H37" s="452"/>
      <c r="I37" s="408">
        <f>'FA Continuity 2007'!L37</f>
        <v>51043.130000000005</v>
      </c>
      <c r="J37" s="406">
        <v>8545.8</v>
      </c>
      <c r="K37" s="406"/>
      <c r="L37" s="408">
        <f t="shared" si="0"/>
        <v>59588.93000000001</v>
      </c>
      <c r="M37" s="408">
        <f t="shared" si="1"/>
        <v>26328.509999999995</v>
      </c>
    </row>
    <row r="38" spans="1:13" ht="12.75">
      <c r="A38" s="252">
        <f>+'FA Continuity 2007'!A38</f>
        <v>0</v>
      </c>
      <c r="B38" s="249">
        <f>+'FA Continuity 2007'!B38</f>
        <v>1960</v>
      </c>
      <c r="C38" s="250" t="str">
        <f>+'FA Continuity 2007'!C38</f>
        <v>Miscellaneous Equipment</v>
      </c>
      <c r="D38" s="408">
        <f>'FA Continuity 2007'!G38</f>
        <v>15309</v>
      </c>
      <c r="E38" s="406">
        <v>2770.15</v>
      </c>
      <c r="F38" s="406"/>
      <c r="G38" s="408">
        <f t="shared" si="2"/>
        <v>18079.15</v>
      </c>
      <c r="H38" s="452"/>
      <c r="I38" s="408">
        <f>'FA Continuity 2007'!L38</f>
        <v>2740.07</v>
      </c>
      <c r="J38" s="406">
        <v>1668.44</v>
      </c>
      <c r="K38" s="406"/>
      <c r="L38" s="408">
        <f t="shared" si="0"/>
        <v>4408.51</v>
      </c>
      <c r="M38" s="408">
        <f t="shared" si="1"/>
        <v>13670.640000000001</v>
      </c>
    </row>
    <row r="39" spans="1:13" ht="12.75">
      <c r="A39" s="252">
        <f>+'FA Continuity 2007'!A39</f>
        <v>0</v>
      </c>
      <c r="B39" s="249">
        <f>+'FA Continuity 2007'!B39</f>
        <v>1970</v>
      </c>
      <c r="C39" s="250" t="str">
        <f>+'FA Continuity 2007'!C39</f>
        <v>Load Management Controls - Customer Premises </v>
      </c>
      <c r="D39" s="408">
        <f>'FA Continuity 2007'!G39</f>
        <v>403930.62</v>
      </c>
      <c r="E39" s="406"/>
      <c r="F39" s="406"/>
      <c r="G39" s="408">
        <f t="shared" si="2"/>
        <v>403930.62</v>
      </c>
      <c r="H39" s="452"/>
      <c r="I39" s="408">
        <f>'FA Continuity 2007'!L39</f>
        <v>403930.62</v>
      </c>
      <c r="J39" s="406"/>
      <c r="K39" s="406"/>
      <c r="L39" s="408">
        <f t="shared" si="0"/>
        <v>403930.62</v>
      </c>
      <c r="M39" s="408">
        <f t="shared" si="1"/>
        <v>0</v>
      </c>
    </row>
    <row r="40" spans="1:13" ht="12.75">
      <c r="A40" s="252">
        <f>+'FA Continuity 2007'!A40</f>
        <v>0</v>
      </c>
      <c r="B40" s="249">
        <f>+'FA Continuity 2007'!B40</f>
        <v>1975</v>
      </c>
      <c r="C40" s="250" t="str">
        <f>+'FA Continuity 2007'!C40</f>
        <v>Load Management Controls - Utility Premises</v>
      </c>
      <c r="D40" s="408">
        <f>'FA Continuity 2007'!G40</f>
        <v>165151.45</v>
      </c>
      <c r="E40" s="406"/>
      <c r="F40" s="406"/>
      <c r="G40" s="408">
        <f t="shared" si="2"/>
        <v>165151.45</v>
      </c>
      <c r="H40" s="452"/>
      <c r="I40" s="408">
        <f>'FA Continuity 2007'!L40</f>
        <v>165151.45</v>
      </c>
      <c r="J40" s="406"/>
      <c r="K40" s="406"/>
      <c r="L40" s="408">
        <f t="shared" si="0"/>
        <v>165151.45</v>
      </c>
      <c r="M40" s="408">
        <f t="shared" si="1"/>
        <v>0</v>
      </c>
    </row>
    <row r="41" spans="1:13" ht="12.75">
      <c r="A41" s="252">
        <f>+'FA Continuity 2007'!A41</f>
        <v>0</v>
      </c>
      <c r="B41" s="249">
        <f>+'FA Continuity 2007'!B41</f>
        <v>1980</v>
      </c>
      <c r="C41" s="250" t="str">
        <f>+'FA Continuity 2007'!C41</f>
        <v>System Supervisory Equipment</v>
      </c>
      <c r="D41" s="408">
        <f>'FA Continuity 2007'!G41</f>
        <v>1136105.16</v>
      </c>
      <c r="E41" s="406">
        <v>1613.1</v>
      </c>
      <c r="F41" s="406"/>
      <c r="G41" s="408">
        <f t="shared" si="2"/>
        <v>1137718.26</v>
      </c>
      <c r="H41" s="452"/>
      <c r="I41" s="408">
        <f>'FA Continuity 2007'!L41</f>
        <v>735613.1599999999</v>
      </c>
      <c r="J41" s="406">
        <v>75795.77</v>
      </c>
      <c r="K41" s="406"/>
      <c r="L41" s="408">
        <f t="shared" si="0"/>
        <v>811408.9299999999</v>
      </c>
      <c r="M41" s="408">
        <f t="shared" si="1"/>
        <v>326309.3300000001</v>
      </c>
    </row>
    <row r="42" spans="1:13" ht="12.75">
      <c r="A42" s="252">
        <f>+'FA Continuity 2007'!A42</f>
        <v>0</v>
      </c>
      <c r="B42" s="249">
        <f>+'FA Continuity 2007'!B42</f>
        <v>1985</v>
      </c>
      <c r="C42" s="250" t="str">
        <f>+'FA Continuity 2007'!C42</f>
        <v>Sentinel Lighting Rentals</v>
      </c>
      <c r="D42" s="408">
        <f>'FA Continuity 2007'!G42</f>
        <v>0</v>
      </c>
      <c r="E42" s="406"/>
      <c r="F42" s="406"/>
      <c r="G42" s="408">
        <f t="shared" si="2"/>
        <v>0</v>
      </c>
      <c r="H42" s="452"/>
      <c r="I42" s="408">
        <f>'FA Continuity 2007'!L42</f>
        <v>0</v>
      </c>
      <c r="J42" s="406"/>
      <c r="K42" s="406"/>
      <c r="L42" s="408">
        <f t="shared" si="0"/>
        <v>0</v>
      </c>
      <c r="M42" s="408">
        <f t="shared" si="1"/>
        <v>0</v>
      </c>
    </row>
    <row r="43" spans="1:13" ht="12.75">
      <c r="A43" s="252">
        <f>+'FA Continuity 2007'!A43</f>
        <v>0</v>
      </c>
      <c r="B43" s="249">
        <f>+'FA Continuity 2007'!B43</f>
        <v>1990</v>
      </c>
      <c r="C43" s="250" t="str">
        <f>+'FA Continuity 2007'!C43</f>
        <v>Other Tangible Property</v>
      </c>
      <c r="D43" s="408">
        <f>'FA Continuity 2007'!G43</f>
        <v>53060.28</v>
      </c>
      <c r="E43" s="406"/>
      <c r="F43" s="406"/>
      <c r="G43" s="408">
        <f t="shared" si="2"/>
        <v>53060.28</v>
      </c>
      <c r="H43" s="452"/>
      <c r="I43" s="408">
        <f>'FA Continuity 2007'!L43</f>
        <v>0</v>
      </c>
      <c r="J43" s="406"/>
      <c r="K43" s="406"/>
      <c r="L43" s="408">
        <f t="shared" si="0"/>
        <v>0</v>
      </c>
      <c r="M43" s="408">
        <f t="shared" si="1"/>
        <v>53060.28</v>
      </c>
    </row>
    <row r="44" spans="1:13" ht="12.75">
      <c r="A44" s="252">
        <f>+'FA Continuity 2007'!A44</f>
        <v>1</v>
      </c>
      <c r="B44" s="249">
        <f>+'FA Continuity 2007'!B44</f>
        <v>1995</v>
      </c>
      <c r="C44" s="250" t="str">
        <f>+'FA Continuity 2007'!C44</f>
        <v>Contributions and Grants</v>
      </c>
      <c r="D44" s="408">
        <f>'FA Continuity 2007'!G44</f>
        <v>-3815934.6799999997</v>
      </c>
      <c r="E44" s="406">
        <v>-1454825.36</v>
      </c>
      <c r="F44" s="406">
        <v>-2951.89</v>
      </c>
      <c r="G44" s="408">
        <f t="shared" si="2"/>
        <v>-5267808.15</v>
      </c>
      <c r="H44" s="452"/>
      <c r="I44" s="408">
        <f>'FA Continuity 2007'!L44</f>
        <v>-612197.17</v>
      </c>
      <c r="J44" s="406">
        <v>-181647</v>
      </c>
      <c r="K44" s="406">
        <v>-2951.5</v>
      </c>
      <c r="L44" s="408">
        <f t="shared" si="0"/>
        <v>-790892.67</v>
      </c>
      <c r="M44" s="408">
        <f t="shared" si="1"/>
        <v>-4476915.48</v>
      </c>
    </row>
    <row r="45" spans="1:13" ht="12.75">
      <c r="A45" s="252">
        <f>+'FA Continuity 2007'!A45</f>
        <v>0</v>
      </c>
      <c r="B45" s="249">
        <f>+'FA Continuity 2007'!B45</f>
        <v>0</v>
      </c>
      <c r="C45" s="250">
        <f>+'FA Continuity 2007'!C45</f>
        <v>0</v>
      </c>
      <c r="D45" s="408">
        <f>'FA Continuity 2007'!G45</f>
        <v>0</v>
      </c>
      <c r="E45" s="406"/>
      <c r="F45" s="406"/>
      <c r="G45" s="408">
        <f t="shared" si="2"/>
        <v>0</v>
      </c>
      <c r="H45" s="452"/>
      <c r="I45" s="408">
        <f>'FA Continuity 2007'!L45</f>
        <v>0</v>
      </c>
      <c r="J45" s="406"/>
      <c r="K45" s="406"/>
      <c r="L45" s="408">
        <f t="shared" si="0"/>
        <v>0</v>
      </c>
      <c r="M45" s="408">
        <f t="shared" si="1"/>
        <v>0</v>
      </c>
    </row>
    <row r="46" spans="1:13" ht="12.75">
      <c r="A46" s="252">
        <f>+'FA Continuity 2007'!A46</f>
        <v>0</v>
      </c>
      <c r="B46" s="249">
        <f>+'FA Continuity 2007'!B46</f>
        <v>0</v>
      </c>
      <c r="C46" s="250">
        <f>+'FA Continuity 2007'!C46</f>
        <v>0</v>
      </c>
      <c r="D46" s="408">
        <f>'FA Continuity 2007'!G46</f>
        <v>0</v>
      </c>
      <c r="E46" s="406"/>
      <c r="F46" s="406"/>
      <c r="G46" s="408">
        <f t="shared" si="2"/>
        <v>0</v>
      </c>
      <c r="H46" s="452"/>
      <c r="I46" s="408">
        <f>'FA Continuity 2007'!L46</f>
        <v>0</v>
      </c>
      <c r="J46" s="406"/>
      <c r="K46" s="406"/>
      <c r="L46" s="408">
        <f t="shared" si="0"/>
        <v>0</v>
      </c>
      <c r="M46" s="408">
        <f t="shared" si="1"/>
        <v>0</v>
      </c>
    </row>
    <row r="47" spans="1:13" ht="12.75">
      <c r="A47" s="252"/>
      <c r="B47" s="251"/>
      <c r="C47" s="258" t="s">
        <v>242</v>
      </c>
      <c r="D47" s="407">
        <f>SUM(D10:D46)</f>
        <v>71026048.64999998</v>
      </c>
      <c r="E47" s="407">
        <f>SUM(E10:E46)</f>
        <v>3624086.3099999996</v>
      </c>
      <c r="F47" s="407">
        <f>SUM(F10:F46)</f>
        <v>205413.94999999998</v>
      </c>
      <c r="G47" s="407">
        <f>SUM(G10:G46)</f>
        <v>74444721.01000002</v>
      </c>
      <c r="H47" s="452"/>
      <c r="I47" s="407">
        <f>SUM(I10:I46)</f>
        <v>41790297.62</v>
      </c>
      <c r="J47" s="407">
        <f>SUM(J10:J46)</f>
        <v>2322968.399999999</v>
      </c>
      <c r="K47" s="407">
        <f>SUM(K10:K46)</f>
        <v>183785.9</v>
      </c>
      <c r="L47" s="407">
        <f>SUM(L10:L46)</f>
        <v>43929480.12</v>
      </c>
      <c r="M47" s="407">
        <f>SUM(M10:M46)</f>
        <v>30515240.889999997</v>
      </c>
    </row>
    <row r="48" spans="1:13" ht="12.75">
      <c r="A48" s="252"/>
      <c r="B48" s="251"/>
      <c r="C48" s="250"/>
      <c r="D48" s="408"/>
      <c r="E48" s="408"/>
      <c r="F48" s="408"/>
      <c r="G48" s="408"/>
      <c r="H48" s="452"/>
      <c r="I48" s="408"/>
      <c r="J48" s="408"/>
      <c r="K48" s="408"/>
      <c r="L48" s="408"/>
      <c r="M48" s="408"/>
    </row>
    <row r="49" spans="1:13" ht="12.75">
      <c r="A49" s="252" t="s">
        <v>225</v>
      </c>
      <c r="B49" s="251"/>
      <c r="C49" s="250" t="s">
        <v>277</v>
      </c>
      <c r="D49" s="408">
        <f>'FA Continuity 2007'!G49</f>
        <v>0</v>
      </c>
      <c r="E49" s="406"/>
      <c r="F49" s="406"/>
      <c r="G49" s="408">
        <f>D49+E49-F49</f>
        <v>0</v>
      </c>
      <c r="H49" s="452"/>
      <c r="I49" s="408">
        <f>'FA Continuity 2007'!L49</f>
        <v>0</v>
      </c>
      <c r="J49" s="406"/>
      <c r="K49" s="406"/>
      <c r="L49" s="408">
        <f>I49+J49-K49</f>
        <v>0</v>
      </c>
      <c r="M49" s="408">
        <f>G49-L49</f>
        <v>0</v>
      </c>
    </row>
    <row r="50" spans="1:13" ht="12.75">
      <c r="A50" s="252"/>
      <c r="B50" s="251"/>
      <c r="C50" s="258" t="s">
        <v>243</v>
      </c>
      <c r="D50" s="407">
        <f>SUM(D47:D49)</f>
        <v>71026048.64999998</v>
      </c>
      <c r="E50" s="407">
        <f>SUM(E47:E49)</f>
        <v>3624086.3099999996</v>
      </c>
      <c r="F50" s="407">
        <f>SUM(F47:F49)</f>
        <v>205413.94999999998</v>
      </c>
      <c r="G50" s="407">
        <f>SUM(G47:G49)</f>
        <v>74444721.01000002</v>
      </c>
      <c r="H50" s="452"/>
      <c r="I50" s="407">
        <f>SUM(I47:I49)</f>
        <v>41790297.62</v>
      </c>
      <c r="J50" s="407">
        <f>SUM(J47:J49)</f>
        <v>2322968.399999999</v>
      </c>
      <c r="K50" s="407">
        <f>SUM(K47:K49)</f>
        <v>183785.9</v>
      </c>
      <c r="L50" s="407">
        <f>SUM(L47:L49)</f>
        <v>43929480.12</v>
      </c>
      <c r="M50" s="407">
        <f>SUM(M47:M49)</f>
        <v>30515240.889999997</v>
      </c>
    </row>
    <row r="51" spans="4:13" ht="12.75">
      <c r="D51" s="241"/>
      <c r="E51" s="241"/>
      <c r="F51" s="241"/>
      <c r="G51" s="241"/>
      <c r="H51" s="237"/>
      <c r="I51" s="237"/>
      <c r="J51" s="237"/>
      <c r="K51" s="237"/>
      <c r="L51" s="237"/>
      <c r="M51" s="237"/>
    </row>
    <row r="52" spans="1:13" ht="12.75">
      <c r="A52" s="240"/>
      <c r="D52" s="241"/>
      <c r="E52" s="241"/>
      <c r="F52" s="241"/>
      <c r="G52" s="241"/>
      <c r="H52" s="451" t="s">
        <v>278</v>
      </c>
      <c r="I52" s="451"/>
      <c r="J52" s="451"/>
      <c r="K52" s="237"/>
      <c r="L52" s="237"/>
      <c r="M52" s="237"/>
    </row>
    <row r="53" spans="1:13" ht="12.75">
      <c r="A53" s="249"/>
      <c r="B53" s="249">
        <f>B33</f>
        <v>1935</v>
      </c>
      <c r="C53" s="250" t="s">
        <v>279</v>
      </c>
      <c r="D53" s="241"/>
      <c r="E53" s="241"/>
      <c r="F53" s="241"/>
      <c r="G53" s="241"/>
      <c r="H53" s="451" t="s">
        <v>279</v>
      </c>
      <c r="I53" s="451"/>
      <c r="J53" s="256">
        <v>0</v>
      </c>
      <c r="K53" s="237"/>
      <c r="L53" s="237"/>
      <c r="M53" s="237"/>
    </row>
    <row r="54" spans="1:13" ht="12.75">
      <c r="A54" s="249"/>
      <c r="B54" s="249">
        <f>B34</f>
        <v>1940</v>
      </c>
      <c r="C54" s="250" t="s">
        <v>551</v>
      </c>
      <c r="D54" s="241"/>
      <c r="E54" s="241"/>
      <c r="F54" s="241"/>
      <c r="G54" s="241"/>
      <c r="H54" s="451" t="s">
        <v>818</v>
      </c>
      <c r="I54" s="451"/>
      <c r="J54" s="256"/>
      <c r="K54" s="237"/>
      <c r="L54" s="237"/>
      <c r="M54" s="237"/>
    </row>
    <row r="55" spans="1:13" ht="13.5" thickBot="1">
      <c r="A55" s="240"/>
      <c r="D55" s="336"/>
      <c r="E55" s="241"/>
      <c r="F55" s="241"/>
      <c r="G55" s="241"/>
      <c r="H55" s="451" t="s">
        <v>280</v>
      </c>
      <c r="I55" s="451"/>
      <c r="J55" s="257">
        <f>J50-J53-J54</f>
        <v>2322968.399999999</v>
      </c>
      <c r="K55" s="237"/>
      <c r="L55" s="257">
        <f>L50-L53-L54</f>
        <v>43929480.12</v>
      </c>
      <c r="M55" s="237"/>
    </row>
    <row r="56" spans="1:13" ht="13.5" thickTop="1">
      <c r="A56" s="240"/>
      <c r="D56" s="336"/>
      <c r="E56" s="241"/>
      <c r="F56" s="241"/>
      <c r="G56" s="241"/>
      <c r="H56" s="237"/>
      <c r="I56" s="237"/>
      <c r="J56" s="237"/>
      <c r="K56" s="237"/>
      <c r="L56" s="237"/>
      <c r="M56" s="237"/>
    </row>
    <row r="57" spans="1:13" ht="12.75">
      <c r="A57" s="240"/>
      <c r="D57" s="336"/>
      <c r="E57" s="241"/>
      <c r="F57" s="241"/>
      <c r="G57" s="241"/>
      <c r="H57" s="237"/>
      <c r="I57" s="237" t="s">
        <v>409</v>
      </c>
      <c r="J57" s="237">
        <f>+'2008 Income Statement'!B183</f>
        <v>2322968.399999999</v>
      </c>
      <c r="K57" s="237"/>
      <c r="L57" s="237">
        <f>-'2008 Balance Sheet'!B152</f>
        <v>43929480.12</v>
      </c>
      <c r="M57" s="237"/>
    </row>
    <row r="58" spans="1:13" ht="12.75">
      <c r="A58" s="240"/>
      <c r="D58" s="336"/>
      <c r="E58" s="236"/>
      <c r="F58" s="236"/>
      <c r="G58" s="241"/>
      <c r="H58" s="237"/>
      <c r="I58" s="237" t="s">
        <v>410</v>
      </c>
      <c r="J58" s="237">
        <f>+J55-J57</f>
        <v>0</v>
      </c>
      <c r="K58" s="237"/>
      <c r="L58" s="237">
        <f>+L55-L57</f>
        <v>0</v>
      </c>
      <c r="M58" s="237"/>
    </row>
    <row r="59" spans="4:13" ht="12.75">
      <c r="D59" s="241"/>
      <c r="E59" s="241"/>
      <c r="F59" s="241"/>
      <c r="G59" s="241"/>
      <c r="H59" s="237"/>
      <c r="I59" s="237"/>
      <c r="J59" s="237"/>
      <c r="K59" s="237"/>
      <c r="L59" s="237"/>
      <c r="M59" s="237"/>
    </row>
    <row r="60" spans="4:13" ht="12.75">
      <c r="D60" s="336"/>
      <c r="E60" s="241"/>
      <c r="F60" s="241"/>
      <c r="G60" s="241"/>
      <c r="H60" s="237"/>
      <c r="I60" s="336"/>
      <c r="J60" s="241"/>
      <c r="K60" s="241"/>
      <c r="L60" s="241"/>
      <c r="M60" s="237"/>
    </row>
    <row r="61" spans="4:13" ht="12.75">
      <c r="D61" s="336"/>
      <c r="E61" s="241"/>
      <c r="F61" s="241"/>
      <c r="G61" s="241"/>
      <c r="H61" s="237"/>
      <c r="I61" s="336"/>
      <c r="J61" s="241"/>
      <c r="K61" s="241"/>
      <c r="L61" s="241"/>
      <c r="M61" s="237"/>
    </row>
    <row r="62" spans="3:13" ht="12.75">
      <c r="C62" s="235"/>
      <c r="D62" s="336"/>
      <c r="E62" s="241"/>
      <c r="F62" s="241"/>
      <c r="G62" s="241"/>
      <c r="H62" s="237"/>
      <c r="I62" s="336"/>
      <c r="J62" s="241"/>
      <c r="K62" s="241"/>
      <c r="L62" s="241"/>
      <c r="M62" s="238"/>
    </row>
    <row r="63" spans="3:13" ht="12.75">
      <c r="C63" s="235"/>
      <c r="D63" s="336"/>
      <c r="E63" s="236"/>
      <c r="F63" s="236"/>
      <c r="G63" s="241"/>
      <c r="H63" s="237"/>
      <c r="I63" s="336"/>
      <c r="J63" s="236"/>
      <c r="K63" s="236"/>
      <c r="L63" s="241"/>
      <c r="M63" s="238"/>
    </row>
    <row r="64" spans="3:13" ht="12.75">
      <c r="C64" s="235"/>
      <c r="D64" s="236"/>
      <c r="E64" s="236"/>
      <c r="F64" s="236"/>
      <c r="G64" s="236"/>
      <c r="H64" s="237"/>
      <c r="I64" s="238"/>
      <c r="J64" s="238"/>
      <c r="K64" s="238"/>
      <c r="L64" s="238"/>
      <c r="M64" s="238"/>
    </row>
    <row r="65" spans="3:13" ht="12.75">
      <c r="C65" s="235"/>
      <c r="D65" s="236"/>
      <c r="E65" s="236"/>
      <c r="F65" s="236"/>
      <c r="G65" s="236"/>
      <c r="H65" s="237"/>
      <c r="I65" s="238"/>
      <c r="J65" s="238"/>
      <c r="K65" s="238"/>
      <c r="L65" s="238"/>
      <c r="M65" s="238"/>
    </row>
  </sheetData>
  <mergeCells count="26">
    <mergeCell ref="A1:M1"/>
    <mergeCell ref="A2:M2"/>
    <mergeCell ref="A3:C3"/>
    <mergeCell ref="A4:C4"/>
    <mergeCell ref="A5:C5"/>
    <mergeCell ref="H8:H50"/>
    <mergeCell ref="H52:J52"/>
    <mergeCell ref="H53:I53"/>
    <mergeCell ref="A8:A9"/>
    <mergeCell ref="B8:B9"/>
    <mergeCell ref="C8:C9"/>
    <mergeCell ref="D8:D9"/>
    <mergeCell ref="I7:L7"/>
    <mergeCell ref="D6:G6"/>
    <mergeCell ref="H54:I54"/>
    <mergeCell ref="H55:I55"/>
    <mergeCell ref="J8:J9"/>
    <mergeCell ref="K8:K9"/>
    <mergeCell ref="I6:L6"/>
    <mergeCell ref="D7:G7"/>
    <mergeCell ref="L8:L9"/>
    <mergeCell ref="M8:M9"/>
    <mergeCell ref="E8:E9"/>
    <mergeCell ref="F8:F9"/>
    <mergeCell ref="G8:G9"/>
    <mergeCell ref="I8:I9"/>
  </mergeCells>
  <printOptions horizontalCentered="1"/>
  <pageMargins left="0.35" right="0.35" top="0.35" bottom="0.35" header="0.2" footer="0.2"/>
  <pageSetup fitToHeight="1" fitToWidth="1" horizontalDpi="355" verticalDpi="355" orientation="landscape" scale="82" r:id="rId2"/>
  <headerFooter alignWithMargins="0">
    <oddFooter>&amp;L&amp;A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view="pageBreakPreview" zoomScaleSheetLayoutView="100" workbookViewId="0" topLeftCell="A1">
      <pane xSplit="3" ySplit="9" topLeftCell="D10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D10" sqref="D10"/>
    </sheetView>
  </sheetViews>
  <sheetFormatPr defaultColWidth="9.140625" defaultRowHeight="12.75"/>
  <cols>
    <col min="1" max="1" width="7.140625" style="25" customWidth="1"/>
    <col min="2" max="2" width="7.421875" style="240" customWidth="1"/>
    <col min="3" max="3" width="42.8515625" style="239" customWidth="1"/>
    <col min="4" max="4" width="12.140625" style="239" customWidth="1"/>
    <col min="5" max="6" width="10.7109375" style="239" customWidth="1"/>
    <col min="7" max="7" width="12.140625" style="239" customWidth="1"/>
    <col min="8" max="8" width="0.85546875" style="239" customWidth="1"/>
    <col min="9" max="9" width="12.140625" style="239" customWidth="1"/>
    <col min="10" max="10" width="11.7109375" style="239" bestFit="1" customWidth="1"/>
    <col min="11" max="11" width="10.7109375" style="239" customWidth="1"/>
    <col min="12" max="12" width="15.8515625" style="239" bestFit="1" customWidth="1"/>
    <col min="13" max="13" width="12.140625" style="239" customWidth="1"/>
    <col min="14" max="14" width="13.7109375" style="0" customWidth="1"/>
  </cols>
  <sheetData>
    <row r="1" spans="1:13" ht="12.75">
      <c r="A1" s="441" t="str">
        <f>'Trial Balance'!A1:J1</f>
        <v>North Bay Hydro Distribution Ltd.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13" ht="12.75">
      <c r="A2" s="441" t="str">
        <f>'Trial Balance'!A2:J2</f>
        <v>License Number ED-2003-0024, File Number EB-2009-0270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1:13" ht="12.75">
      <c r="A3" s="444"/>
      <c r="B3" s="444"/>
      <c r="C3" s="444"/>
      <c r="D3" s="236"/>
      <c r="E3" s="236"/>
      <c r="F3" s="236"/>
      <c r="G3" s="236"/>
      <c r="H3" s="237"/>
      <c r="I3" s="238"/>
      <c r="J3" s="238"/>
      <c r="K3" s="238"/>
      <c r="L3" s="238"/>
      <c r="M3" s="238"/>
    </row>
    <row r="4" spans="1:13" ht="12.75">
      <c r="A4" s="444" t="s">
        <v>231</v>
      </c>
      <c r="B4" s="444"/>
      <c r="C4" s="444"/>
      <c r="D4" s="236"/>
      <c r="E4" s="236"/>
      <c r="F4" s="236"/>
      <c r="H4" s="237"/>
      <c r="I4" s="238"/>
      <c r="J4" s="238"/>
      <c r="K4" s="238"/>
      <c r="L4" s="238"/>
      <c r="M4" s="238"/>
    </row>
    <row r="5" spans="1:13" ht="12.75">
      <c r="A5" s="444" t="s">
        <v>824</v>
      </c>
      <c r="B5" s="444"/>
      <c r="C5" s="444"/>
      <c r="D5" s="236"/>
      <c r="E5" s="236"/>
      <c r="F5" s="236"/>
      <c r="H5" s="237"/>
      <c r="I5" s="238"/>
      <c r="J5" s="238"/>
      <c r="K5" s="238"/>
      <c r="L5" s="238"/>
      <c r="M5" s="238"/>
    </row>
    <row r="6" spans="4:13" ht="12.75">
      <c r="D6" s="442" t="s">
        <v>274</v>
      </c>
      <c r="E6" s="442"/>
      <c r="F6" s="442"/>
      <c r="G6" s="442"/>
      <c r="H6" s="237"/>
      <c r="I6" s="442" t="s">
        <v>275</v>
      </c>
      <c r="J6" s="442"/>
      <c r="K6" s="442"/>
      <c r="L6" s="442"/>
      <c r="M6" s="238"/>
    </row>
    <row r="7" spans="3:13" ht="12.75">
      <c r="C7" s="235"/>
      <c r="D7" s="443"/>
      <c r="E7" s="443"/>
      <c r="F7" s="443"/>
      <c r="G7" s="443"/>
      <c r="H7" s="237"/>
      <c r="I7" s="443"/>
      <c r="J7" s="443"/>
      <c r="K7" s="443"/>
      <c r="L7" s="443"/>
      <c r="M7" s="238"/>
    </row>
    <row r="8" spans="1:13" s="19" customFormat="1" ht="12.75">
      <c r="A8" s="446" t="s">
        <v>223</v>
      </c>
      <c r="B8" s="446" t="s">
        <v>516</v>
      </c>
      <c r="C8" s="446" t="s">
        <v>189</v>
      </c>
      <c r="D8" s="446" t="s">
        <v>239</v>
      </c>
      <c r="E8" s="446" t="s">
        <v>340</v>
      </c>
      <c r="F8" s="446" t="s">
        <v>341</v>
      </c>
      <c r="G8" s="446" t="s">
        <v>240</v>
      </c>
      <c r="H8" s="452"/>
      <c r="I8" s="446" t="s">
        <v>239</v>
      </c>
      <c r="J8" s="446" t="s">
        <v>340</v>
      </c>
      <c r="K8" s="446" t="s">
        <v>341</v>
      </c>
      <c r="L8" s="446" t="s">
        <v>240</v>
      </c>
      <c r="M8" s="446" t="s">
        <v>241</v>
      </c>
    </row>
    <row r="9" spans="1:13" s="19" customFormat="1" ht="12.75">
      <c r="A9" s="447"/>
      <c r="B9" s="447"/>
      <c r="C9" s="447"/>
      <c r="D9" s="447" t="s">
        <v>276</v>
      </c>
      <c r="E9" s="447" t="s">
        <v>340</v>
      </c>
      <c r="F9" s="447"/>
      <c r="G9" s="447"/>
      <c r="H9" s="452"/>
      <c r="I9" s="447" t="s">
        <v>276</v>
      </c>
      <c r="J9" s="447" t="s">
        <v>340</v>
      </c>
      <c r="K9" s="447"/>
      <c r="L9" s="447"/>
      <c r="M9" s="447"/>
    </row>
    <row r="10" spans="1:14" ht="12.75">
      <c r="A10" s="252" t="s">
        <v>224</v>
      </c>
      <c r="B10" s="249">
        <v>1805</v>
      </c>
      <c r="C10" s="250" t="s">
        <v>548</v>
      </c>
      <c r="D10" s="408">
        <f>'FA Continuity 2008'!G10</f>
        <v>312176.47000000003</v>
      </c>
      <c r="E10" s="406">
        <v>59018.07</v>
      </c>
      <c r="F10" s="406"/>
      <c r="G10" s="408">
        <f aca="true" t="shared" si="0" ref="G10:G46">D10+E10-F10</f>
        <v>371194.54000000004</v>
      </c>
      <c r="H10" s="452"/>
      <c r="I10" s="408">
        <f>'FA Continuity 2008'!L10</f>
        <v>0</v>
      </c>
      <c r="J10" s="406"/>
      <c r="K10" s="406"/>
      <c r="L10" s="408">
        <f aca="true" t="shared" si="1" ref="L10:L46">I10+J10-K10</f>
        <v>0</v>
      </c>
      <c r="M10" s="408">
        <f aca="true" t="shared" si="2" ref="M10:M46">G10-L10</f>
        <v>371194.54000000004</v>
      </c>
      <c r="N10" s="295"/>
    </row>
    <row r="11" spans="1:14" ht="12.75">
      <c r="A11" s="252" t="s">
        <v>504</v>
      </c>
      <c r="B11" s="249">
        <v>1806</v>
      </c>
      <c r="C11" s="250" t="s">
        <v>549</v>
      </c>
      <c r="D11" s="408">
        <f>'FA Continuity 2008'!G11</f>
        <v>0</v>
      </c>
      <c r="E11" s="406"/>
      <c r="F11" s="406"/>
      <c r="G11" s="408">
        <f t="shared" si="0"/>
        <v>0</v>
      </c>
      <c r="H11" s="452"/>
      <c r="I11" s="408">
        <f>'FA Continuity 2008'!L11</f>
        <v>0</v>
      </c>
      <c r="J11" s="406"/>
      <c r="K11" s="406"/>
      <c r="L11" s="408">
        <f t="shared" si="1"/>
        <v>0</v>
      </c>
      <c r="M11" s="408">
        <f t="shared" si="2"/>
        <v>0</v>
      </c>
      <c r="N11" s="295"/>
    </row>
    <row r="12" spans="1:14" ht="12.75">
      <c r="A12" s="252">
        <v>47</v>
      </c>
      <c r="B12" s="249">
        <v>1808</v>
      </c>
      <c r="C12" s="250" t="s">
        <v>647</v>
      </c>
      <c r="D12" s="408">
        <f>'FA Continuity 2008'!G12</f>
        <v>769640.81</v>
      </c>
      <c r="E12" s="406"/>
      <c r="F12" s="406"/>
      <c r="G12" s="408">
        <f t="shared" si="0"/>
        <v>769640.81</v>
      </c>
      <c r="H12" s="452"/>
      <c r="I12" s="408">
        <f>'FA Continuity 2008'!L12</f>
        <v>266512.76</v>
      </c>
      <c r="J12" s="406">
        <v>13488.9</v>
      </c>
      <c r="K12" s="406"/>
      <c r="L12" s="408">
        <f t="shared" si="1"/>
        <v>280001.66000000003</v>
      </c>
      <c r="M12" s="408">
        <f t="shared" si="2"/>
        <v>489639.15</v>
      </c>
      <c r="N12" s="295"/>
    </row>
    <row r="13" spans="1:13" ht="12.75">
      <c r="A13" s="252">
        <v>13</v>
      </c>
      <c r="B13" s="249">
        <v>1810</v>
      </c>
      <c r="C13" s="250" t="s">
        <v>546</v>
      </c>
      <c r="D13" s="408">
        <f>'FA Continuity 2008'!G13</f>
        <v>0</v>
      </c>
      <c r="E13" s="406"/>
      <c r="F13" s="406"/>
      <c r="G13" s="408">
        <f t="shared" si="0"/>
        <v>0</v>
      </c>
      <c r="H13" s="452"/>
      <c r="I13" s="408">
        <f>'FA Continuity 2008'!L13</f>
        <v>0</v>
      </c>
      <c r="J13" s="406"/>
      <c r="K13" s="406"/>
      <c r="L13" s="408">
        <f t="shared" si="1"/>
        <v>0</v>
      </c>
      <c r="M13" s="408">
        <f t="shared" si="2"/>
        <v>0</v>
      </c>
    </row>
    <row r="14" spans="1:14" ht="12.75">
      <c r="A14" s="252">
        <v>47</v>
      </c>
      <c r="B14" s="249">
        <v>1815</v>
      </c>
      <c r="C14" s="250" t="s">
        <v>898</v>
      </c>
      <c r="D14" s="408">
        <f>'FA Continuity 2008'!G14</f>
        <v>0</v>
      </c>
      <c r="E14" s="406"/>
      <c r="F14" s="406"/>
      <c r="G14" s="408">
        <f t="shared" si="0"/>
        <v>0</v>
      </c>
      <c r="H14" s="452"/>
      <c r="I14" s="408">
        <f>'FA Continuity 2008'!L14</f>
        <v>0</v>
      </c>
      <c r="J14" s="406"/>
      <c r="K14" s="406"/>
      <c r="L14" s="408">
        <f t="shared" si="1"/>
        <v>0</v>
      </c>
      <c r="M14" s="408">
        <f t="shared" si="2"/>
        <v>0</v>
      </c>
      <c r="N14" s="295"/>
    </row>
    <row r="15" spans="1:13" ht="12.75">
      <c r="A15" s="252">
        <v>47</v>
      </c>
      <c r="B15" s="249">
        <v>1820</v>
      </c>
      <c r="C15" s="250" t="s">
        <v>892</v>
      </c>
      <c r="D15" s="408">
        <f>'FA Continuity 2008'!G15</f>
        <v>7922982.149999999</v>
      </c>
      <c r="E15" s="406">
        <v>1400788.632796021</v>
      </c>
      <c r="F15" s="406"/>
      <c r="G15" s="408">
        <f t="shared" si="0"/>
        <v>9323770.78279602</v>
      </c>
      <c r="H15" s="452"/>
      <c r="I15" s="408">
        <f>'FA Continuity 2008'!L15</f>
        <v>3353280.7299999995</v>
      </c>
      <c r="J15" s="406">
        <v>254905.452213267</v>
      </c>
      <c r="K15" s="406"/>
      <c r="L15" s="408">
        <f t="shared" si="1"/>
        <v>3608186.1822132664</v>
      </c>
      <c r="M15" s="408">
        <f t="shared" si="2"/>
        <v>5715584.600582753</v>
      </c>
    </row>
    <row r="16" spans="1:14" ht="12.75">
      <c r="A16" s="252">
        <v>47</v>
      </c>
      <c r="B16" s="249">
        <v>1825</v>
      </c>
      <c r="C16" s="250" t="s">
        <v>226</v>
      </c>
      <c r="D16" s="408">
        <f>'FA Continuity 2008'!G16</f>
        <v>0</v>
      </c>
      <c r="E16" s="406"/>
      <c r="F16" s="406"/>
      <c r="G16" s="408">
        <f t="shared" si="0"/>
        <v>0</v>
      </c>
      <c r="H16" s="452"/>
      <c r="I16" s="408">
        <f>'FA Continuity 2008'!L16</f>
        <v>0</v>
      </c>
      <c r="J16" s="406"/>
      <c r="K16" s="406"/>
      <c r="L16" s="408">
        <f t="shared" si="1"/>
        <v>0</v>
      </c>
      <c r="M16" s="408">
        <f t="shared" si="2"/>
        <v>0</v>
      </c>
      <c r="N16" s="295"/>
    </row>
    <row r="17" spans="1:14" ht="12.75">
      <c r="A17" s="252">
        <v>47</v>
      </c>
      <c r="B17" s="249">
        <v>1830</v>
      </c>
      <c r="C17" s="250" t="s">
        <v>648</v>
      </c>
      <c r="D17" s="408">
        <f>'FA Continuity 2008'!G17</f>
        <v>15948603.809999999</v>
      </c>
      <c r="E17" s="406">
        <v>1464163.3476184404</v>
      </c>
      <c r="F17" s="406"/>
      <c r="G17" s="408">
        <f t="shared" si="0"/>
        <v>17412767.15761844</v>
      </c>
      <c r="H17" s="452"/>
      <c r="I17" s="408">
        <f>'FA Continuity 2008'!L17</f>
        <v>9294548.4</v>
      </c>
      <c r="J17" s="406">
        <v>520573.63135236874</v>
      </c>
      <c r="K17" s="406"/>
      <c r="L17" s="408">
        <f t="shared" si="1"/>
        <v>9815122.03135237</v>
      </c>
      <c r="M17" s="408">
        <f t="shared" si="2"/>
        <v>7597645.126266072</v>
      </c>
      <c r="N17" s="295"/>
    </row>
    <row r="18" spans="1:14" ht="12.75">
      <c r="A18" s="252">
        <v>47</v>
      </c>
      <c r="B18" s="249">
        <v>1835</v>
      </c>
      <c r="C18" s="250" t="s">
        <v>649</v>
      </c>
      <c r="D18" s="408">
        <f>'FA Continuity 2008'!G18</f>
        <v>12672714.110000001</v>
      </c>
      <c r="E18" s="406">
        <v>1159315.1525331214</v>
      </c>
      <c r="F18" s="406"/>
      <c r="G18" s="408">
        <f t="shared" si="0"/>
        <v>13832029.262533123</v>
      </c>
      <c r="H18" s="452"/>
      <c r="I18" s="408">
        <f>'FA Continuity 2008'!L18</f>
        <v>7027043.2</v>
      </c>
      <c r="J18" s="406">
        <v>424172.7730506624</v>
      </c>
      <c r="K18" s="406"/>
      <c r="L18" s="408">
        <f t="shared" si="1"/>
        <v>7451215.973050662</v>
      </c>
      <c r="M18" s="408">
        <f t="shared" si="2"/>
        <v>6380813.28948246</v>
      </c>
      <c r="N18" s="295"/>
    </row>
    <row r="19" spans="1:14" ht="12.75">
      <c r="A19" s="252">
        <v>47</v>
      </c>
      <c r="B19" s="249">
        <v>1840</v>
      </c>
      <c r="C19" s="250" t="s">
        <v>650</v>
      </c>
      <c r="D19" s="408">
        <f>'FA Continuity 2008'!G19</f>
        <v>387944.44</v>
      </c>
      <c r="E19" s="406">
        <v>634756.587219313</v>
      </c>
      <c r="F19" s="406"/>
      <c r="G19" s="408">
        <f t="shared" si="0"/>
        <v>1022701.027219313</v>
      </c>
      <c r="H19" s="452"/>
      <c r="I19" s="408">
        <f>'FA Continuity 2008'!L19</f>
        <v>69707.48</v>
      </c>
      <c r="J19" s="406">
        <v>28212.13174438626</v>
      </c>
      <c r="K19" s="406"/>
      <c r="L19" s="408">
        <f t="shared" si="1"/>
        <v>97919.61174438626</v>
      </c>
      <c r="M19" s="408">
        <f t="shared" si="2"/>
        <v>924781.4154749267</v>
      </c>
      <c r="N19" s="295"/>
    </row>
    <row r="20" spans="1:14" ht="12.75">
      <c r="A20" s="252">
        <v>47</v>
      </c>
      <c r="B20" s="249">
        <v>1845</v>
      </c>
      <c r="C20" s="250" t="s">
        <v>651</v>
      </c>
      <c r="D20" s="408">
        <f>'FA Continuity 2008'!G20</f>
        <v>5984831.010000001</v>
      </c>
      <c r="E20" s="406">
        <v>411910.6336018243</v>
      </c>
      <c r="F20" s="406"/>
      <c r="G20" s="408">
        <f t="shared" si="0"/>
        <v>6396741.643601825</v>
      </c>
      <c r="H20" s="452"/>
      <c r="I20" s="408">
        <f>'FA Continuity 2008'!L20</f>
        <v>3740213.92</v>
      </c>
      <c r="J20" s="406">
        <v>226062.44571706507</v>
      </c>
      <c r="K20" s="406"/>
      <c r="L20" s="408">
        <f t="shared" si="1"/>
        <v>3966276.365717065</v>
      </c>
      <c r="M20" s="408">
        <f t="shared" si="2"/>
        <v>2430465.2778847604</v>
      </c>
      <c r="N20" s="295"/>
    </row>
    <row r="21" spans="1:14" ht="12.75">
      <c r="A21" s="252">
        <v>47</v>
      </c>
      <c r="B21" s="249">
        <v>1850</v>
      </c>
      <c r="C21" s="250" t="s">
        <v>547</v>
      </c>
      <c r="D21" s="408">
        <f>'FA Continuity 2008'!G21</f>
        <v>13293535.67</v>
      </c>
      <c r="E21" s="406">
        <v>1092348.39</v>
      </c>
      <c r="F21" s="406"/>
      <c r="G21" s="408">
        <f t="shared" si="0"/>
        <v>14385884.06</v>
      </c>
      <c r="H21" s="452"/>
      <c r="I21" s="408">
        <f>'FA Continuity 2008'!L21</f>
        <v>7663478.660000001</v>
      </c>
      <c r="J21" s="406">
        <v>427900.97</v>
      </c>
      <c r="K21" s="406"/>
      <c r="L21" s="408">
        <f t="shared" si="1"/>
        <v>8091379.630000001</v>
      </c>
      <c r="M21" s="408">
        <f t="shared" si="2"/>
        <v>6294504.43</v>
      </c>
      <c r="N21" s="295"/>
    </row>
    <row r="22" spans="1:14" ht="12.75">
      <c r="A22" s="252">
        <v>47</v>
      </c>
      <c r="B22" s="249">
        <v>1855</v>
      </c>
      <c r="C22" s="250" t="s">
        <v>575</v>
      </c>
      <c r="D22" s="408">
        <f>'FA Continuity 2008'!G22</f>
        <v>9999790.67</v>
      </c>
      <c r="E22" s="406">
        <v>2220025.54</v>
      </c>
      <c r="F22" s="406"/>
      <c r="G22" s="408">
        <f t="shared" si="0"/>
        <v>12219816.21</v>
      </c>
      <c r="H22" s="452"/>
      <c r="I22" s="408">
        <f>'FA Continuity 2008'!L22</f>
        <v>4589067.680000001</v>
      </c>
      <c r="J22" s="406">
        <v>406052.57</v>
      </c>
      <c r="K22" s="406"/>
      <c r="L22" s="408">
        <f t="shared" si="1"/>
        <v>4995120.250000001</v>
      </c>
      <c r="M22" s="408">
        <f t="shared" si="2"/>
        <v>7224695.96</v>
      </c>
      <c r="N22" s="295"/>
    </row>
    <row r="23" spans="1:14" ht="12.75">
      <c r="A23" s="252">
        <v>47</v>
      </c>
      <c r="B23" s="249">
        <v>1860</v>
      </c>
      <c r="C23" s="250" t="s">
        <v>576</v>
      </c>
      <c r="D23" s="408">
        <f>'FA Continuity 2008'!G23</f>
        <v>3528355.9899999998</v>
      </c>
      <c r="E23" s="406">
        <v>76803.68242435354</v>
      </c>
      <c r="F23" s="406"/>
      <c r="G23" s="408">
        <f t="shared" si="0"/>
        <v>3605159.672424353</v>
      </c>
      <c r="H23" s="452"/>
      <c r="I23" s="408">
        <f>'FA Continuity 2008'!L23</f>
        <v>2288762.6399999997</v>
      </c>
      <c r="J23" s="406">
        <v>105097.07364848707</v>
      </c>
      <c r="K23" s="406"/>
      <c r="L23" s="408">
        <f t="shared" si="1"/>
        <v>2393859.713648487</v>
      </c>
      <c r="M23" s="408">
        <f t="shared" si="2"/>
        <v>1211299.9587758663</v>
      </c>
      <c r="N23" s="295"/>
    </row>
    <row r="24" spans="1:14" ht="12.75">
      <c r="A24" s="252" t="s">
        <v>224</v>
      </c>
      <c r="B24" s="249">
        <v>1865</v>
      </c>
      <c r="C24" s="250" t="s">
        <v>652</v>
      </c>
      <c r="D24" s="408">
        <v>0</v>
      </c>
      <c r="E24" s="406"/>
      <c r="F24" s="406"/>
      <c r="G24" s="408">
        <f t="shared" si="0"/>
        <v>0</v>
      </c>
      <c r="H24" s="452"/>
      <c r="I24" s="408">
        <f>'FA Continuity 2008'!L24</f>
        <v>0</v>
      </c>
      <c r="J24" s="406"/>
      <c r="K24" s="406"/>
      <c r="L24" s="408">
        <f t="shared" si="1"/>
        <v>0</v>
      </c>
      <c r="M24" s="408">
        <f t="shared" si="2"/>
        <v>0</v>
      </c>
      <c r="N24" s="295"/>
    </row>
    <row r="25" spans="1:14" ht="12.75">
      <c r="A25" s="252" t="s">
        <v>224</v>
      </c>
      <c r="B25" s="249">
        <v>1870</v>
      </c>
      <c r="C25" s="250" t="s">
        <v>653</v>
      </c>
      <c r="D25" s="408">
        <v>0</v>
      </c>
      <c r="E25" s="406"/>
      <c r="F25" s="406"/>
      <c r="G25" s="408">
        <f t="shared" si="0"/>
        <v>0</v>
      </c>
      <c r="H25" s="452"/>
      <c r="I25" s="408">
        <f>'FA Continuity 2008'!L25</f>
        <v>0</v>
      </c>
      <c r="J25" s="406"/>
      <c r="K25" s="406"/>
      <c r="L25" s="408">
        <f t="shared" si="1"/>
        <v>0</v>
      </c>
      <c r="M25" s="408">
        <f t="shared" si="2"/>
        <v>0</v>
      </c>
      <c r="N25" s="295"/>
    </row>
    <row r="26" spans="1:14" ht="12.75">
      <c r="A26" s="252" t="s">
        <v>224</v>
      </c>
      <c r="B26" s="249">
        <v>1875</v>
      </c>
      <c r="C26" s="250" t="s">
        <v>654</v>
      </c>
      <c r="D26" s="408">
        <v>0</v>
      </c>
      <c r="E26" s="406"/>
      <c r="F26" s="406"/>
      <c r="G26" s="408">
        <f t="shared" si="0"/>
        <v>0</v>
      </c>
      <c r="H26" s="452"/>
      <c r="I26" s="408">
        <f>'FA Continuity 2008'!L26</f>
        <v>0</v>
      </c>
      <c r="J26" s="406"/>
      <c r="K26" s="406"/>
      <c r="L26" s="408">
        <f t="shared" si="1"/>
        <v>0</v>
      </c>
      <c r="M26" s="408">
        <f t="shared" si="2"/>
        <v>0</v>
      </c>
      <c r="N26" s="295"/>
    </row>
    <row r="27" spans="1:14" ht="12.75">
      <c r="A27" s="252" t="s">
        <v>224</v>
      </c>
      <c r="B27" s="249">
        <v>1905</v>
      </c>
      <c r="C27" s="250" t="s">
        <v>548</v>
      </c>
      <c r="D27" s="408">
        <f>+'FA Continuity 2008'!G25</f>
        <v>86550.51</v>
      </c>
      <c r="E27" s="406"/>
      <c r="F27" s="406"/>
      <c r="G27" s="408">
        <f t="shared" si="0"/>
        <v>86550.51</v>
      </c>
      <c r="H27" s="452"/>
      <c r="I27" s="408">
        <f>+'FA Continuity 2008'!L25</f>
        <v>0</v>
      </c>
      <c r="J27" s="406"/>
      <c r="K27" s="406"/>
      <c r="L27" s="408">
        <f t="shared" si="1"/>
        <v>0</v>
      </c>
      <c r="M27" s="408">
        <f t="shared" si="2"/>
        <v>86550.51</v>
      </c>
      <c r="N27" s="295"/>
    </row>
    <row r="28" spans="1:14" ht="12.75">
      <c r="A28" s="252" t="s">
        <v>504</v>
      </c>
      <c r="B28" s="249">
        <v>1906</v>
      </c>
      <c r="C28" s="250" t="s">
        <v>549</v>
      </c>
      <c r="D28" s="408">
        <f>+'FA Continuity 2008'!G26</f>
        <v>0</v>
      </c>
      <c r="E28" s="406"/>
      <c r="F28" s="406"/>
      <c r="G28" s="408">
        <f t="shared" si="0"/>
        <v>0</v>
      </c>
      <c r="H28" s="452"/>
      <c r="I28" s="408">
        <f>+'FA Continuity 2008'!L26</f>
        <v>0</v>
      </c>
      <c r="J28" s="406"/>
      <c r="K28" s="406"/>
      <c r="L28" s="408">
        <f t="shared" si="1"/>
        <v>0</v>
      </c>
      <c r="M28" s="408">
        <f t="shared" si="2"/>
        <v>0</v>
      </c>
      <c r="N28" s="295"/>
    </row>
    <row r="29" spans="1:14" ht="12.75">
      <c r="A29" s="252">
        <v>47</v>
      </c>
      <c r="B29" s="249">
        <v>1908</v>
      </c>
      <c r="C29" s="250" t="s">
        <v>647</v>
      </c>
      <c r="D29" s="408">
        <f>+'FA Continuity 2008'!G27</f>
        <v>1888764.73</v>
      </c>
      <c r="E29" s="406">
        <v>128872.19575381081</v>
      </c>
      <c r="F29" s="406"/>
      <c r="G29" s="408">
        <f t="shared" si="0"/>
        <v>2017636.925753811</v>
      </c>
      <c r="H29" s="452"/>
      <c r="I29" s="408">
        <f>+'FA Continuity 2008'!L27</f>
        <v>992969.13</v>
      </c>
      <c r="J29" s="406">
        <v>61238.83391507622</v>
      </c>
      <c r="K29" s="406"/>
      <c r="L29" s="408">
        <f t="shared" si="1"/>
        <v>1054207.963915076</v>
      </c>
      <c r="M29" s="408">
        <f t="shared" si="2"/>
        <v>963428.9618387348</v>
      </c>
      <c r="N29" s="295"/>
    </row>
    <row r="30" spans="1:14" ht="12.75">
      <c r="A30" s="252">
        <v>13</v>
      </c>
      <c r="B30" s="249">
        <v>1910</v>
      </c>
      <c r="C30" s="250" t="s">
        <v>546</v>
      </c>
      <c r="D30" s="408">
        <f>+'FA Continuity 2008'!G28</f>
        <v>0</v>
      </c>
      <c r="E30" s="406"/>
      <c r="F30" s="406"/>
      <c r="G30" s="408">
        <f t="shared" si="0"/>
        <v>0</v>
      </c>
      <c r="H30" s="452"/>
      <c r="I30" s="408">
        <f>+'FA Continuity 2008'!L28</f>
        <v>0</v>
      </c>
      <c r="J30" s="406"/>
      <c r="K30" s="406"/>
      <c r="L30" s="408">
        <f t="shared" si="1"/>
        <v>0</v>
      </c>
      <c r="M30" s="408">
        <f t="shared" si="2"/>
        <v>0</v>
      </c>
      <c r="N30" s="295"/>
    </row>
    <row r="31" spans="1:14" ht="12.75">
      <c r="A31" s="252">
        <v>8</v>
      </c>
      <c r="B31" s="249">
        <v>1915</v>
      </c>
      <c r="C31" s="250" t="s">
        <v>655</v>
      </c>
      <c r="D31" s="408">
        <f>+'FA Continuity 2008'!G29</f>
        <v>310685.81</v>
      </c>
      <c r="E31" s="406">
        <v>4754.9211400948</v>
      </c>
      <c r="F31" s="406"/>
      <c r="G31" s="408">
        <f t="shared" si="0"/>
        <v>315440.7311400948</v>
      </c>
      <c r="H31" s="452"/>
      <c r="I31" s="408">
        <f>+'FA Continuity 2008'!L29</f>
        <v>269340.04000000004</v>
      </c>
      <c r="J31" s="406">
        <v>5911.61705700474</v>
      </c>
      <c r="K31" s="406"/>
      <c r="L31" s="408">
        <f>I31+J31-K31</f>
        <v>275251.65705700475</v>
      </c>
      <c r="M31" s="408">
        <f>G31-L31</f>
        <v>40189.07408309006</v>
      </c>
      <c r="N31" s="295"/>
    </row>
    <row r="32" spans="1:14" ht="12.75">
      <c r="A32" s="252">
        <v>50</v>
      </c>
      <c r="B32" s="249">
        <v>1920</v>
      </c>
      <c r="C32" s="250" t="s">
        <v>656</v>
      </c>
      <c r="D32" s="408">
        <f>+'FA Continuity 2008'!G30</f>
        <v>572148.62</v>
      </c>
      <c r="E32" s="406">
        <v>19430.51075472602</v>
      </c>
      <c r="F32" s="406"/>
      <c r="G32" s="408">
        <f t="shared" si="0"/>
        <v>591579.130754726</v>
      </c>
      <c r="H32" s="452"/>
      <c r="I32" s="408">
        <f>+'FA Continuity 2008'!L30</f>
        <v>482249.31</v>
      </c>
      <c r="J32" s="406">
        <v>46742.4530754726</v>
      </c>
      <c r="K32" s="406"/>
      <c r="L32" s="408">
        <f t="shared" si="1"/>
        <v>528991.7630754726</v>
      </c>
      <c r="M32" s="408">
        <f t="shared" si="2"/>
        <v>62587.36767925345</v>
      </c>
      <c r="N32" s="295"/>
    </row>
    <row r="33" spans="1:14" ht="12.75">
      <c r="A33" s="252">
        <v>50</v>
      </c>
      <c r="B33" s="249">
        <v>1925</v>
      </c>
      <c r="C33" s="250" t="s">
        <v>539</v>
      </c>
      <c r="D33" s="408">
        <f>+'FA Continuity 2008'!G31</f>
        <v>876576.0900000001</v>
      </c>
      <c r="E33" s="406">
        <v>30792.58967036686</v>
      </c>
      <c r="F33" s="406"/>
      <c r="G33" s="408">
        <f t="shared" si="0"/>
        <v>907368.6796703669</v>
      </c>
      <c r="H33" s="452"/>
      <c r="I33" s="408">
        <f>+'FA Continuity 2008'!L31</f>
        <v>819196.54</v>
      </c>
      <c r="J33" s="406">
        <v>21869.714967036685</v>
      </c>
      <c r="K33" s="406"/>
      <c r="L33" s="408">
        <f t="shared" si="1"/>
        <v>841066.2549670368</v>
      </c>
      <c r="M33" s="408">
        <f t="shared" si="2"/>
        <v>66302.42470333015</v>
      </c>
      <c r="N33" s="295"/>
    </row>
    <row r="34" spans="1:14" ht="12.75">
      <c r="A34" s="252">
        <v>10</v>
      </c>
      <c r="B34" s="249">
        <v>1930</v>
      </c>
      <c r="C34" s="250" t="s">
        <v>550</v>
      </c>
      <c r="D34" s="408">
        <f>+'FA Continuity 2008'!G32</f>
        <v>2135325.24</v>
      </c>
      <c r="E34" s="406">
        <v>487664.51</v>
      </c>
      <c r="F34" s="406">
        <v>53654.4</v>
      </c>
      <c r="G34" s="408">
        <f t="shared" si="0"/>
        <v>2569335.35</v>
      </c>
      <c r="H34" s="452"/>
      <c r="I34" s="408">
        <f>+'FA Continuity 2008'!L32</f>
        <v>1441182.0500000003</v>
      </c>
      <c r="J34" s="406">
        <v>167321.280625</v>
      </c>
      <c r="K34" s="406">
        <v>53654.4</v>
      </c>
      <c r="L34" s="408">
        <f t="shared" si="1"/>
        <v>1554848.9306250005</v>
      </c>
      <c r="M34" s="408">
        <f t="shared" si="2"/>
        <v>1014486.4193749996</v>
      </c>
      <c r="N34" s="295"/>
    </row>
    <row r="35" spans="1:14" ht="12.75">
      <c r="A35" s="252">
        <v>8</v>
      </c>
      <c r="B35" s="249">
        <v>1935</v>
      </c>
      <c r="C35" s="250" t="s">
        <v>551</v>
      </c>
      <c r="D35" s="408">
        <f>+'FA Continuity 2008'!G33</f>
        <v>75195.87</v>
      </c>
      <c r="E35" s="406"/>
      <c r="F35" s="406"/>
      <c r="G35" s="408">
        <f t="shared" si="0"/>
        <v>75195.87</v>
      </c>
      <c r="H35" s="452"/>
      <c r="I35" s="408">
        <f>+'FA Continuity 2008'!L33</f>
        <v>75195.87</v>
      </c>
      <c r="J35" s="406"/>
      <c r="K35" s="406"/>
      <c r="L35" s="408">
        <f t="shared" si="1"/>
        <v>75195.87</v>
      </c>
      <c r="M35" s="408">
        <f t="shared" si="2"/>
        <v>0</v>
      </c>
      <c r="N35" s="295"/>
    </row>
    <row r="36" spans="1:14" ht="12.75">
      <c r="A36" s="252">
        <v>8</v>
      </c>
      <c r="B36" s="249">
        <v>1940</v>
      </c>
      <c r="C36" s="250" t="s">
        <v>657</v>
      </c>
      <c r="D36" s="408">
        <f>+'FA Continuity 2008'!G34</f>
        <v>1082849.96</v>
      </c>
      <c r="E36" s="406">
        <v>53511.14354911911</v>
      </c>
      <c r="F36" s="406"/>
      <c r="G36" s="408">
        <f t="shared" si="0"/>
        <v>1136361.103549119</v>
      </c>
      <c r="H36" s="452"/>
      <c r="I36" s="408">
        <f>+'FA Continuity 2008'!L34</f>
        <v>903135.94</v>
      </c>
      <c r="J36" s="406">
        <v>28613.557177455954</v>
      </c>
      <c r="K36" s="406"/>
      <c r="L36" s="408">
        <f t="shared" si="1"/>
        <v>931749.4971774559</v>
      </c>
      <c r="M36" s="408">
        <f t="shared" si="2"/>
        <v>204611.60637166316</v>
      </c>
      <c r="N36" s="295"/>
    </row>
    <row r="37" spans="1:14" ht="12.75">
      <c r="A37" s="252">
        <v>8</v>
      </c>
      <c r="B37" s="249">
        <v>1945</v>
      </c>
      <c r="C37" s="250" t="s">
        <v>658</v>
      </c>
      <c r="D37" s="408">
        <f>+'FA Continuity 2008'!G35</f>
        <v>0</v>
      </c>
      <c r="E37" s="406"/>
      <c r="F37" s="406"/>
      <c r="G37" s="408">
        <f t="shared" si="0"/>
        <v>0</v>
      </c>
      <c r="H37" s="452"/>
      <c r="I37" s="408">
        <f>+'FA Continuity 2008'!L35</f>
        <v>0</v>
      </c>
      <c r="J37" s="406"/>
      <c r="K37" s="406"/>
      <c r="L37" s="408">
        <f t="shared" si="1"/>
        <v>0</v>
      </c>
      <c r="M37" s="408">
        <f t="shared" si="2"/>
        <v>0</v>
      </c>
      <c r="N37" s="295"/>
    </row>
    <row r="38" spans="1:14" ht="12.75">
      <c r="A38" s="252">
        <v>8</v>
      </c>
      <c r="B38" s="249">
        <v>1950</v>
      </c>
      <c r="C38" s="250" t="s">
        <v>659</v>
      </c>
      <c r="D38" s="408">
        <f>+'FA Continuity 2008'!G36</f>
        <v>0</v>
      </c>
      <c r="E38" s="406"/>
      <c r="F38" s="406"/>
      <c r="G38" s="408">
        <f t="shared" si="0"/>
        <v>0</v>
      </c>
      <c r="H38" s="452"/>
      <c r="I38" s="408">
        <f>+'FA Continuity 2008'!L36</f>
        <v>0</v>
      </c>
      <c r="J38" s="406"/>
      <c r="K38" s="406"/>
      <c r="L38" s="408">
        <f t="shared" si="1"/>
        <v>0</v>
      </c>
      <c r="M38" s="408">
        <f t="shared" si="2"/>
        <v>0</v>
      </c>
      <c r="N38" s="295"/>
    </row>
    <row r="39" spans="1:14" ht="12.75">
      <c r="A39" s="252">
        <v>8</v>
      </c>
      <c r="B39" s="249">
        <v>1955</v>
      </c>
      <c r="C39" s="250" t="s">
        <v>660</v>
      </c>
      <c r="D39" s="408">
        <f>+'FA Continuity 2008'!G37</f>
        <v>85917.44</v>
      </c>
      <c r="E39" s="406"/>
      <c r="F39" s="406"/>
      <c r="G39" s="408">
        <f t="shared" si="0"/>
        <v>85917.44</v>
      </c>
      <c r="H39" s="452"/>
      <c r="I39" s="408">
        <f>+'FA Continuity 2008'!L37</f>
        <v>59588.93000000001</v>
      </c>
      <c r="J39" s="406">
        <v>8591.76</v>
      </c>
      <c r="K39" s="406"/>
      <c r="L39" s="408">
        <f t="shared" si="1"/>
        <v>68180.69</v>
      </c>
      <c r="M39" s="408">
        <f t="shared" si="2"/>
        <v>17736.75</v>
      </c>
      <c r="N39" s="295"/>
    </row>
    <row r="40" spans="1:14" ht="12.75">
      <c r="A40" s="252">
        <v>8</v>
      </c>
      <c r="B40" s="249">
        <v>1960</v>
      </c>
      <c r="C40" s="250" t="s">
        <v>552</v>
      </c>
      <c r="D40" s="408">
        <f>+'FA Continuity 2008'!G38</f>
        <v>18079.15</v>
      </c>
      <c r="E40" s="406"/>
      <c r="F40" s="406"/>
      <c r="G40" s="408">
        <f t="shared" si="0"/>
        <v>18079.15</v>
      </c>
      <c r="H40" s="452"/>
      <c r="I40" s="408">
        <f>+'FA Continuity 2008'!L38</f>
        <v>4408.51</v>
      </c>
      <c r="J40" s="406">
        <v>1808.015</v>
      </c>
      <c r="K40" s="406"/>
      <c r="L40" s="408">
        <f>I40+J40-K40</f>
        <v>6216.525000000001</v>
      </c>
      <c r="M40" s="408">
        <f>G40-L40</f>
        <v>11862.625</v>
      </c>
      <c r="N40" s="295"/>
    </row>
    <row r="41" spans="1:14" ht="12.75">
      <c r="A41" s="252">
        <v>47</v>
      </c>
      <c r="B41" s="249">
        <v>1970</v>
      </c>
      <c r="C41" s="250" t="s">
        <v>661</v>
      </c>
      <c r="D41" s="408">
        <f>+'FA Continuity 2008'!G39</f>
        <v>403930.62</v>
      </c>
      <c r="E41" s="406"/>
      <c r="F41" s="406"/>
      <c r="G41" s="408">
        <f t="shared" si="0"/>
        <v>403930.62</v>
      </c>
      <c r="H41" s="452"/>
      <c r="I41" s="408">
        <f>+'FA Continuity 2008'!L39</f>
        <v>403930.62</v>
      </c>
      <c r="J41" s="406"/>
      <c r="K41" s="406"/>
      <c r="L41" s="408">
        <f>I41+J41-K41</f>
        <v>403930.62</v>
      </c>
      <c r="M41" s="408">
        <f>G41-L41</f>
        <v>0</v>
      </c>
      <c r="N41" s="295"/>
    </row>
    <row r="42" spans="1:14" ht="12.75">
      <c r="A42" s="252">
        <v>47</v>
      </c>
      <c r="B42" s="249">
        <v>1975</v>
      </c>
      <c r="C42" s="250" t="s">
        <v>662</v>
      </c>
      <c r="D42" s="408">
        <f>+'FA Continuity 2008'!G40</f>
        <v>165151.45</v>
      </c>
      <c r="E42" s="406"/>
      <c r="F42" s="406"/>
      <c r="G42" s="408">
        <f t="shared" si="0"/>
        <v>165151.45</v>
      </c>
      <c r="H42" s="452"/>
      <c r="I42" s="408">
        <f>+'FA Continuity 2008'!L40</f>
        <v>165151.45</v>
      </c>
      <c r="J42" s="406"/>
      <c r="K42" s="406"/>
      <c r="L42" s="408">
        <f>I42+J42-K42</f>
        <v>165151.45</v>
      </c>
      <c r="M42" s="408">
        <f>G42-L42</f>
        <v>0</v>
      </c>
      <c r="N42" s="295"/>
    </row>
    <row r="43" spans="1:14" ht="12.75">
      <c r="A43" s="252">
        <v>47</v>
      </c>
      <c r="B43" s="249">
        <v>1980</v>
      </c>
      <c r="C43" s="250" t="s">
        <v>553</v>
      </c>
      <c r="D43" s="408">
        <f>+'FA Continuity 2008'!G41</f>
        <v>1137718.26</v>
      </c>
      <c r="E43" s="406">
        <v>104531.09127070176</v>
      </c>
      <c r="F43" s="406"/>
      <c r="G43" s="408">
        <f t="shared" si="0"/>
        <v>1242249.3512707017</v>
      </c>
      <c r="H43" s="452"/>
      <c r="I43" s="408">
        <f>+'FA Continuity 2008'!L41</f>
        <v>811408.9299999999</v>
      </c>
      <c r="J43" s="406">
        <v>79333.90970902338</v>
      </c>
      <c r="K43" s="406"/>
      <c r="L43" s="408">
        <f>I43+J43-K43</f>
        <v>890742.8397090234</v>
      </c>
      <c r="M43" s="408">
        <f>G43-L43</f>
        <v>351506.5115616784</v>
      </c>
      <c r="N43" s="295"/>
    </row>
    <row r="44" spans="1:14" ht="12.75">
      <c r="A44" s="252">
        <v>47</v>
      </c>
      <c r="B44" s="249">
        <v>1985</v>
      </c>
      <c r="C44" s="250" t="s">
        <v>663</v>
      </c>
      <c r="D44" s="408">
        <f>+'FA Continuity 2008'!G42</f>
        <v>0</v>
      </c>
      <c r="E44" s="406"/>
      <c r="F44" s="406"/>
      <c r="G44" s="408">
        <f t="shared" si="0"/>
        <v>0</v>
      </c>
      <c r="H44" s="452"/>
      <c r="I44" s="408">
        <f>+'FA Continuity 2008'!L42</f>
        <v>0</v>
      </c>
      <c r="J44" s="406"/>
      <c r="K44" s="406"/>
      <c r="L44" s="408">
        <f>I44+J44-K44</f>
        <v>0</v>
      </c>
      <c r="M44" s="408">
        <f>G44-L44</f>
        <v>0</v>
      </c>
      <c r="N44" s="295"/>
    </row>
    <row r="45" spans="1:14" ht="12.75">
      <c r="A45" s="252">
        <v>47</v>
      </c>
      <c r="B45" s="249">
        <v>1990</v>
      </c>
      <c r="C45" s="250" t="s">
        <v>664</v>
      </c>
      <c r="D45" s="408">
        <f>+'FA Continuity 2008'!G43</f>
        <v>53060.28</v>
      </c>
      <c r="E45" s="406"/>
      <c r="F45" s="406"/>
      <c r="G45" s="408">
        <f t="shared" si="0"/>
        <v>53060.28</v>
      </c>
      <c r="H45" s="452"/>
      <c r="I45" s="408">
        <f>+'FA Continuity 2008'!L43</f>
        <v>0</v>
      </c>
      <c r="J45" s="406"/>
      <c r="K45" s="406"/>
      <c r="L45" s="408">
        <f t="shared" si="1"/>
        <v>0</v>
      </c>
      <c r="M45" s="408">
        <f t="shared" si="2"/>
        <v>53060.28</v>
      </c>
      <c r="N45" s="295"/>
    </row>
    <row r="46" spans="1:14" ht="12.75">
      <c r="A46" s="252">
        <v>47</v>
      </c>
      <c r="B46" s="249">
        <v>1995</v>
      </c>
      <c r="C46" s="250" t="s">
        <v>665</v>
      </c>
      <c r="D46" s="408">
        <f>+'FA Continuity 2008'!G44</f>
        <v>-5267808.15</v>
      </c>
      <c r="E46" s="406">
        <v>-1096705.8191635616</v>
      </c>
      <c r="F46" s="406"/>
      <c r="G46" s="408">
        <f t="shared" si="0"/>
        <v>-6364513.969163562</v>
      </c>
      <c r="H46" s="452"/>
      <c r="I46" s="408">
        <f>+'FA Continuity 2008'!L44</f>
        <v>-790892.67</v>
      </c>
      <c r="J46" s="406">
        <v>-232649.055183271</v>
      </c>
      <c r="K46" s="406"/>
      <c r="L46" s="408">
        <f t="shared" si="1"/>
        <v>-1023541.7251832711</v>
      </c>
      <c r="M46" s="408">
        <f t="shared" si="2"/>
        <v>-5340972.243980291</v>
      </c>
      <c r="N46" s="295"/>
    </row>
    <row r="47" spans="1:14" ht="12.75">
      <c r="A47" s="252"/>
      <c r="B47" s="251"/>
      <c r="C47" s="258" t="s">
        <v>242</v>
      </c>
      <c r="D47" s="407">
        <f>SUM(D10:D46)</f>
        <v>74444721.01000002</v>
      </c>
      <c r="E47" s="407">
        <f>SUM(E10:E46)</f>
        <v>8251981.179168331</v>
      </c>
      <c r="F47" s="407">
        <f>SUM(F10:F46)</f>
        <v>53654.4</v>
      </c>
      <c r="G47" s="407">
        <f>SUM(G10:G46)</f>
        <v>82643047.78916834</v>
      </c>
      <c r="H47" s="452"/>
      <c r="I47" s="407">
        <f>SUM(I10:I46)</f>
        <v>43929480.12</v>
      </c>
      <c r="J47" s="407">
        <f>SUM(J10:J46)</f>
        <v>2595248.0340690357</v>
      </c>
      <c r="K47" s="407">
        <f>SUM(K10:K46)</f>
        <v>53654.4</v>
      </c>
      <c r="L47" s="407">
        <f>SUM(L10:L46)</f>
        <v>46471073.75406902</v>
      </c>
      <c r="M47" s="407">
        <f>SUM(M10:M46)</f>
        <v>36171974.0350993</v>
      </c>
      <c r="N47" s="310"/>
    </row>
    <row r="48" spans="1:14" ht="12.75">
      <c r="A48" s="252"/>
      <c r="B48" s="251"/>
      <c r="C48" s="250"/>
      <c r="D48" s="408"/>
      <c r="E48" s="408"/>
      <c r="F48" s="408"/>
      <c r="G48" s="408"/>
      <c r="H48" s="452"/>
      <c r="I48" s="408"/>
      <c r="J48" s="408"/>
      <c r="K48" s="408"/>
      <c r="L48" s="408"/>
      <c r="M48" s="408"/>
      <c r="N48" s="295"/>
    </row>
    <row r="49" spans="1:14" ht="12.75">
      <c r="A49" s="252" t="s">
        <v>225</v>
      </c>
      <c r="B49" s="251"/>
      <c r="C49" s="250" t="s">
        <v>277</v>
      </c>
      <c r="D49" s="408">
        <f>'FA Continuity 2008'!G49</f>
        <v>0</v>
      </c>
      <c r="E49" s="406"/>
      <c r="F49" s="406"/>
      <c r="G49" s="408">
        <f>D49+E49-F49</f>
        <v>0</v>
      </c>
      <c r="H49" s="452"/>
      <c r="I49" s="408">
        <f>'FA Continuity 2008'!L49</f>
        <v>0</v>
      </c>
      <c r="J49" s="406"/>
      <c r="K49" s="406"/>
      <c r="L49" s="408">
        <f>I49+J49-K49</f>
        <v>0</v>
      </c>
      <c r="M49" s="408">
        <f>G49-L49</f>
        <v>0</v>
      </c>
      <c r="N49" s="295"/>
    </row>
    <row r="50" spans="1:14" ht="12.75">
      <c r="A50" s="252"/>
      <c r="B50" s="251"/>
      <c r="C50" s="258" t="s">
        <v>243</v>
      </c>
      <c r="D50" s="407">
        <f>SUM(D47:D49)</f>
        <v>74444721.01000002</v>
      </c>
      <c r="E50" s="407">
        <f>SUM(E47:E49)</f>
        <v>8251981.179168331</v>
      </c>
      <c r="F50" s="407">
        <f>SUM(F47:F49)</f>
        <v>53654.4</v>
      </c>
      <c r="G50" s="407">
        <f>SUM(G47:G49)</f>
        <v>82643047.78916834</v>
      </c>
      <c r="H50" s="452"/>
      <c r="I50" s="407">
        <f>SUM(I47:I49)</f>
        <v>43929480.12</v>
      </c>
      <c r="J50" s="407">
        <f>SUM(J47:J49)</f>
        <v>2595248.0340690357</v>
      </c>
      <c r="K50" s="407">
        <f>SUM(K47:K49)</f>
        <v>53654.4</v>
      </c>
      <c r="L50" s="407">
        <f>SUM(L47:L49)</f>
        <v>46471073.75406902</v>
      </c>
      <c r="M50" s="407">
        <f>SUM(M47:M49)</f>
        <v>36171974.0350993</v>
      </c>
      <c r="N50" s="310"/>
    </row>
    <row r="51" spans="4:13" ht="12.75">
      <c r="D51" s="241"/>
      <c r="E51" s="241"/>
      <c r="F51" s="241"/>
      <c r="H51" s="237"/>
      <c r="I51" s="237"/>
      <c r="J51" s="237"/>
      <c r="K51" s="237"/>
      <c r="M51" s="237"/>
    </row>
    <row r="52" spans="1:13" ht="12.75">
      <c r="A52" s="240"/>
      <c r="D52" s="241"/>
      <c r="E52" s="241"/>
      <c r="F52" s="241"/>
      <c r="G52" s="241"/>
      <c r="H52" s="451" t="s">
        <v>278</v>
      </c>
      <c r="I52" s="451"/>
      <c r="J52" s="451"/>
      <c r="K52" s="237"/>
      <c r="L52" s="241"/>
      <c r="M52" s="237"/>
    </row>
    <row r="53" spans="1:13" ht="12.75">
      <c r="A53" s="249"/>
      <c r="B53" s="249">
        <f>B33</f>
        <v>1925</v>
      </c>
      <c r="C53" s="250" t="s">
        <v>279</v>
      </c>
      <c r="D53" s="241"/>
      <c r="E53" s="241"/>
      <c r="F53" s="241"/>
      <c r="G53" s="241"/>
      <c r="H53" s="451" t="s">
        <v>279</v>
      </c>
      <c r="I53" s="451"/>
      <c r="J53" s="256">
        <v>0</v>
      </c>
      <c r="K53" s="237"/>
      <c r="L53" s="237"/>
      <c r="M53" s="385"/>
    </row>
    <row r="54" spans="1:13" ht="12.75">
      <c r="A54" s="249"/>
      <c r="B54" s="249">
        <f>B34</f>
        <v>1930</v>
      </c>
      <c r="C54" s="250" t="s">
        <v>551</v>
      </c>
      <c r="D54" s="241"/>
      <c r="E54" s="241"/>
      <c r="F54" s="241"/>
      <c r="G54" s="241"/>
      <c r="H54" s="451" t="s">
        <v>818</v>
      </c>
      <c r="I54" s="451"/>
      <c r="J54" s="256"/>
      <c r="K54" s="237"/>
      <c r="L54" s="237"/>
      <c r="M54" s="237"/>
    </row>
    <row r="55" spans="1:13" ht="13.5" thickBot="1">
      <c r="A55" s="240"/>
      <c r="D55" s="336"/>
      <c r="E55" s="241"/>
      <c r="F55" s="241"/>
      <c r="G55" s="241"/>
      <c r="H55" s="451" t="s">
        <v>280</v>
      </c>
      <c r="I55" s="451"/>
      <c r="J55" s="257">
        <f>J50-J53-J54</f>
        <v>2595248.0340690357</v>
      </c>
      <c r="K55" s="237"/>
      <c r="L55" s="257">
        <f>L50-L53-L54</f>
        <v>46471073.75406902</v>
      </c>
      <c r="M55" s="237"/>
    </row>
    <row r="56" spans="1:13" ht="13.5" thickTop="1">
      <c r="A56" s="240"/>
      <c r="D56" s="336"/>
      <c r="E56" s="241"/>
      <c r="F56" s="241"/>
      <c r="G56" s="241"/>
      <c r="H56" s="237"/>
      <c r="I56" s="237"/>
      <c r="J56" s="237"/>
      <c r="K56" s="237"/>
      <c r="L56" s="237"/>
      <c r="M56" s="237"/>
    </row>
    <row r="57" spans="1:13" ht="12.75">
      <c r="A57" s="240"/>
      <c r="D57" s="336"/>
      <c r="E57" s="241"/>
      <c r="F57" s="241"/>
      <c r="G57" s="241"/>
      <c r="H57" s="237"/>
      <c r="I57" s="237" t="s">
        <v>409</v>
      </c>
      <c r="J57" s="237">
        <f>+'2009 Income Statement'!B183</f>
        <v>2595248.0340690357</v>
      </c>
      <c r="K57" s="237"/>
      <c r="L57" s="237">
        <f>-'2009 Balance Sheet'!B153</f>
        <v>46471073.75406902</v>
      </c>
      <c r="M57" s="237"/>
    </row>
    <row r="58" spans="1:13" ht="12.75">
      <c r="A58" s="240"/>
      <c r="D58" s="336"/>
      <c r="E58" s="236"/>
      <c r="F58" s="236"/>
      <c r="G58" s="241"/>
      <c r="H58" s="237"/>
      <c r="I58" s="237" t="s">
        <v>410</v>
      </c>
      <c r="J58" s="237">
        <f>+J55-J57</f>
        <v>0</v>
      </c>
      <c r="K58" s="237"/>
      <c r="L58" s="237">
        <f>+L55-L57</f>
        <v>0</v>
      </c>
      <c r="M58" s="237"/>
    </row>
    <row r="59" spans="4:13" ht="12.75">
      <c r="D59" s="241"/>
      <c r="E59" s="241"/>
      <c r="F59" s="241"/>
      <c r="G59" s="241"/>
      <c r="H59" s="237"/>
      <c r="I59" s="237"/>
      <c r="J59" s="237"/>
      <c r="K59" s="237"/>
      <c r="L59" s="237"/>
      <c r="M59" s="237"/>
    </row>
    <row r="60" spans="4:13" ht="12.75">
      <c r="D60" s="336"/>
      <c r="E60" s="241"/>
      <c r="F60" s="241"/>
      <c r="G60" s="241"/>
      <c r="H60" s="237"/>
      <c r="I60" s="336"/>
      <c r="J60" s="241"/>
      <c r="K60" s="241"/>
      <c r="L60" s="241"/>
      <c r="M60" s="237"/>
    </row>
    <row r="61" spans="4:13" ht="12.75">
      <c r="D61" s="336"/>
      <c r="E61" s="241"/>
      <c r="F61" s="241"/>
      <c r="G61" s="241"/>
      <c r="H61" s="237"/>
      <c r="I61" s="336"/>
      <c r="J61" s="386"/>
      <c r="K61" s="241"/>
      <c r="L61" s="241"/>
      <c r="M61" s="237"/>
    </row>
    <row r="62" spans="3:13" ht="12.75">
      <c r="C62" s="235"/>
      <c r="D62" s="336"/>
      <c r="E62" s="241"/>
      <c r="F62" s="241"/>
      <c r="G62" s="241"/>
      <c r="H62" s="237"/>
      <c r="I62" s="336"/>
      <c r="J62" s="241"/>
      <c r="K62" s="241"/>
      <c r="L62" s="241"/>
      <c r="M62" s="238"/>
    </row>
    <row r="63" spans="3:13" ht="12.75">
      <c r="C63" s="235"/>
      <c r="D63" s="336"/>
      <c r="E63" s="236"/>
      <c r="F63" s="236"/>
      <c r="G63" s="241"/>
      <c r="H63" s="237"/>
      <c r="I63" s="336"/>
      <c r="J63" s="236"/>
      <c r="K63" s="236"/>
      <c r="L63" s="241"/>
      <c r="M63" s="238"/>
    </row>
    <row r="64" spans="3:13" ht="12.75">
      <c r="C64" s="235"/>
      <c r="D64" s="236"/>
      <c r="E64" s="236"/>
      <c r="F64" s="236"/>
      <c r="G64" s="236"/>
      <c r="H64" s="237"/>
      <c r="I64" s="238"/>
      <c r="J64" s="238"/>
      <c r="K64" s="238"/>
      <c r="L64" s="238"/>
      <c r="M64" s="238"/>
    </row>
    <row r="65" spans="3:13" ht="12.75">
      <c r="C65" s="235"/>
      <c r="D65" s="236"/>
      <c r="E65" s="236"/>
      <c r="F65" s="236"/>
      <c r="G65" s="236"/>
      <c r="H65" s="237"/>
      <c r="I65" s="238"/>
      <c r="J65" s="238"/>
      <c r="K65" s="238"/>
      <c r="L65" s="238"/>
      <c r="M65" s="238"/>
    </row>
  </sheetData>
  <mergeCells count="26">
    <mergeCell ref="A1:M1"/>
    <mergeCell ref="A2:M2"/>
    <mergeCell ref="H53:I53"/>
    <mergeCell ref="H54:I54"/>
    <mergeCell ref="K8:K9"/>
    <mergeCell ref="L8:L9"/>
    <mergeCell ref="M8:M9"/>
    <mergeCell ref="I8:I9"/>
    <mergeCell ref="A8:A9"/>
    <mergeCell ref="B8:B9"/>
    <mergeCell ref="H55:I55"/>
    <mergeCell ref="H8:H50"/>
    <mergeCell ref="A3:C3"/>
    <mergeCell ref="A4:C4"/>
    <mergeCell ref="A5:C5"/>
    <mergeCell ref="H52:J52"/>
    <mergeCell ref="J8:J9"/>
    <mergeCell ref="E8:E9"/>
    <mergeCell ref="F8:F9"/>
    <mergeCell ref="G8:G9"/>
    <mergeCell ref="C8:C9"/>
    <mergeCell ref="D8:D9"/>
    <mergeCell ref="I7:L7"/>
    <mergeCell ref="D6:G6"/>
    <mergeCell ref="I6:L6"/>
    <mergeCell ref="D7:G7"/>
  </mergeCells>
  <printOptions horizontalCentered="1"/>
  <pageMargins left="0.35" right="0.35" top="0.35" bottom="0.35" header="0.2" footer="0.2"/>
  <pageSetup fitToHeight="1" fitToWidth="1" horizontalDpi="355" verticalDpi="355" orientation="landscape" scale="80" r:id="rId4"/>
  <headerFooter alignWithMargins="0">
    <oddFooter>&amp;L&amp;A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view="pageBreakPreview" zoomScaleSheetLayoutView="100" workbookViewId="0" topLeftCell="A1">
      <pane xSplit="3" ySplit="9" topLeftCell="D10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D10" sqref="D10"/>
    </sheetView>
  </sheetViews>
  <sheetFormatPr defaultColWidth="9.140625" defaultRowHeight="12.75"/>
  <cols>
    <col min="1" max="1" width="7.140625" style="25" customWidth="1"/>
    <col min="2" max="2" width="7.421875" style="240" customWidth="1"/>
    <col min="3" max="3" width="42.00390625" style="239" customWidth="1"/>
    <col min="4" max="4" width="12.140625" style="239" customWidth="1"/>
    <col min="5" max="6" width="10.7109375" style="239" customWidth="1"/>
    <col min="7" max="7" width="12.140625" style="239" customWidth="1"/>
    <col min="8" max="8" width="0.85546875" style="239" customWidth="1"/>
    <col min="9" max="9" width="12.140625" style="239" customWidth="1"/>
    <col min="10" max="11" width="10.7109375" style="239" customWidth="1"/>
    <col min="12" max="13" width="12.140625" style="239" customWidth="1"/>
    <col min="14" max="14" width="13.7109375" style="310" customWidth="1"/>
    <col min="15" max="15" width="12.8515625" style="310" bestFit="1" customWidth="1"/>
  </cols>
  <sheetData>
    <row r="1" spans="1:13" ht="12.75">
      <c r="A1" s="441" t="str">
        <f>'Trial Balance'!A1:J1</f>
        <v>North Bay Hydro Distribution Ltd.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13" ht="12.75">
      <c r="A2" s="441" t="str">
        <f>'Trial Balance'!A2:J2</f>
        <v>License Number ED-2003-0024, File Number EB-2009-0270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1:13" ht="12.75">
      <c r="A3" s="444"/>
      <c r="B3" s="444"/>
      <c r="C3" s="444"/>
      <c r="D3" s="236"/>
      <c r="E3" s="236"/>
      <c r="F3" s="236"/>
      <c r="G3" s="236"/>
      <c r="H3" s="237"/>
      <c r="I3" s="238"/>
      <c r="J3" s="238"/>
      <c r="K3" s="238"/>
      <c r="L3" s="238"/>
      <c r="M3" s="238"/>
    </row>
    <row r="4" spans="1:13" ht="12.75">
      <c r="A4" s="444" t="s">
        <v>231</v>
      </c>
      <c r="B4" s="444"/>
      <c r="C4" s="444"/>
      <c r="D4" s="236"/>
      <c r="E4" s="236"/>
      <c r="F4" s="236"/>
      <c r="H4" s="237"/>
      <c r="I4" s="238"/>
      <c r="J4" s="238"/>
      <c r="K4" s="238"/>
      <c r="L4" s="238"/>
      <c r="M4" s="238"/>
    </row>
    <row r="5" spans="1:13" ht="12.75">
      <c r="A5" s="444" t="s">
        <v>825</v>
      </c>
      <c r="B5" s="444"/>
      <c r="C5" s="444"/>
      <c r="D5" s="236"/>
      <c r="E5" s="236"/>
      <c r="F5" s="236"/>
      <c r="H5" s="237"/>
      <c r="I5" s="238"/>
      <c r="J5" s="238"/>
      <c r="K5" s="238"/>
      <c r="L5" s="238"/>
      <c r="M5" s="238"/>
    </row>
    <row r="6" spans="4:13" ht="12.75">
      <c r="D6" s="442" t="s">
        <v>274</v>
      </c>
      <c r="E6" s="442"/>
      <c r="F6" s="442"/>
      <c r="G6" s="442"/>
      <c r="H6" s="237"/>
      <c r="I6" s="442" t="s">
        <v>275</v>
      </c>
      <c r="J6" s="442"/>
      <c r="K6" s="442"/>
      <c r="L6" s="442"/>
      <c r="M6" s="238"/>
    </row>
    <row r="7" spans="3:13" ht="12.75">
      <c r="C7" s="235"/>
      <c r="D7" s="443"/>
      <c r="E7" s="443"/>
      <c r="F7" s="443"/>
      <c r="G7" s="443"/>
      <c r="H7" s="237"/>
      <c r="I7" s="443"/>
      <c r="J7" s="443"/>
      <c r="K7" s="443"/>
      <c r="L7" s="443"/>
      <c r="M7" s="238"/>
    </row>
    <row r="8" spans="1:15" s="19" customFormat="1" ht="12.75">
      <c r="A8" s="446" t="s">
        <v>223</v>
      </c>
      <c r="B8" s="446" t="s">
        <v>516</v>
      </c>
      <c r="C8" s="446" t="s">
        <v>189</v>
      </c>
      <c r="D8" s="446" t="s">
        <v>239</v>
      </c>
      <c r="E8" s="446" t="s">
        <v>340</v>
      </c>
      <c r="F8" s="446" t="s">
        <v>341</v>
      </c>
      <c r="G8" s="446" t="s">
        <v>240</v>
      </c>
      <c r="H8" s="452"/>
      <c r="I8" s="446" t="s">
        <v>239</v>
      </c>
      <c r="J8" s="446" t="s">
        <v>340</v>
      </c>
      <c r="K8" s="446" t="s">
        <v>341</v>
      </c>
      <c r="L8" s="446" t="s">
        <v>240</v>
      </c>
      <c r="M8" s="446" t="s">
        <v>241</v>
      </c>
      <c r="N8" s="357"/>
      <c r="O8" s="357"/>
    </row>
    <row r="9" spans="1:15" s="19" customFormat="1" ht="12.75">
      <c r="A9" s="447"/>
      <c r="B9" s="447"/>
      <c r="C9" s="447"/>
      <c r="D9" s="447" t="s">
        <v>276</v>
      </c>
      <c r="E9" s="447" t="s">
        <v>340</v>
      </c>
      <c r="F9" s="447"/>
      <c r="G9" s="447"/>
      <c r="H9" s="452"/>
      <c r="I9" s="447" t="s">
        <v>276</v>
      </c>
      <c r="J9" s="447" t="s">
        <v>340</v>
      </c>
      <c r="K9" s="447"/>
      <c r="L9" s="447"/>
      <c r="M9" s="447"/>
      <c r="N9" s="357"/>
      <c r="O9" s="357"/>
    </row>
    <row r="10" spans="1:13" ht="12.75">
      <c r="A10" s="252" t="s">
        <v>224</v>
      </c>
      <c r="B10" s="395">
        <v>1805</v>
      </c>
      <c r="C10" s="250" t="s">
        <v>548</v>
      </c>
      <c r="D10" s="408">
        <f>'FA Continuity 2009'!G10</f>
        <v>371194.54000000004</v>
      </c>
      <c r="E10" s="406"/>
      <c r="F10" s="406"/>
      <c r="G10" s="408">
        <f aca="true" t="shared" si="0" ref="G10:G46">D10+E10-F10</f>
        <v>371194.54000000004</v>
      </c>
      <c r="H10" s="452"/>
      <c r="I10" s="408">
        <f>'FA Continuity 2009'!L10</f>
        <v>0</v>
      </c>
      <c r="J10" s="406"/>
      <c r="K10" s="406"/>
      <c r="L10" s="408">
        <f aca="true" t="shared" si="1" ref="L10:L46">I10+J10-K10</f>
        <v>0</v>
      </c>
      <c r="M10" s="408">
        <f aca="true" t="shared" si="2" ref="M10:M46">G10-L10</f>
        <v>371194.54000000004</v>
      </c>
    </row>
    <row r="11" spans="1:13" ht="12.75">
      <c r="A11" s="252" t="s">
        <v>504</v>
      </c>
      <c r="B11" s="395">
        <v>1806</v>
      </c>
      <c r="C11" s="250" t="s">
        <v>549</v>
      </c>
      <c r="D11" s="408">
        <f>'FA Continuity 2009'!G11</f>
        <v>0</v>
      </c>
      <c r="E11" s="406"/>
      <c r="F11" s="406"/>
      <c r="G11" s="408">
        <f t="shared" si="0"/>
        <v>0</v>
      </c>
      <c r="H11" s="452"/>
      <c r="I11" s="408">
        <f>'FA Continuity 2009'!L11</f>
        <v>0</v>
      </c>
      <c r="J11" s="406"/>
      <c r="K11" s="406"/>
      <c r="L11" s="408">
        <f t="shared" si="1"/>
        <v>0</v>
      </c>
      <c r="M11" s="408">
        <f t="shared" si="2"/>
        <v>0</v>
      </c>
    </row>
    <row r="12" spans="1:13" ht="12.75">
      <c r="A12" s="252">
        <v>47</v>
      </c>
      <c r="B12" s="395">
        <v>1808</v>
      </c>
      <c r="C12" s="250" t="s">
        <v>647</v>
      </c>
      <c r="D12" s="408">
        <f>'FA Continuity 2009'!G12</f>
        <v>769640.81</v>
      </c>
      <c r="E12" s="406"/>
      <c r="F12" s="406"/>
      <c r="G12" s="408">
        <f t="shared" si="0"/>
        <v>769640.81</v>
      </c>
      <c r="H12" s="452"/>
      <c r="I12" s="408">
        <f>'FA Continuity 2009'!L12</f>
        <v>280001.66000000003</v>
      </c>
      <c r="J12" s="406">
        <v>13488.9</v>
      </c>
      <c r="K12" s="406"/>
      <c r="L12" s="408">
        <f t="shared" si="1"/>
        <v>293490.56000000006</v>
      </c>
      <c r="M12" s="408">
        <f t="shared" si="2"/>
        <v>476150.25</v>
      </c>
    </row>
    <row r="13" spans="1:13" ht="12.75">
      <c r="A13" s="252">
        <v>13</v>
      </c>
      <c r="B13" s="395">
        <v>1810</v>
      </c>
      <c r="C13" s="250" t="s">
        <v>546</v>
      </c>
      <c r="D13" s="408">
        <f>'FA Continuity 2009'!G13</f>
        <v>0</v>
      </c>
      <c r="E13" s="406"/>
      <c r="F13" s="406"/>
      <c r="G13" s="408">
        <f t="shared" si="0"/>
        <v>0</v>
      </c>
      <c r="H13" s="452"/>
      <c r="I13" s="408">
        <f>'FA Continuity 2009'!L13</f>
        <v>0</v>
      </c>
      <c r="J13" s="406"/>
      <c r="K13" s="406"/>
      <c r="L13" s="408">
        <f t="shared" si="1"/>
        <v>0</v>
      </c>
      <c r="M13" s="408">
        <f t="shared" si="2"/>
        <v>0</v>
      </c>
    </row>
    <row r="14" spans="1:13" ht="12.75">
      <c r="A14" s="252">
        <v>47</v>
      </c>
      <c r="B14" s="395">
        <v>1815</v>
      </c>
      <c r="C14" s="250" t="s">
        <v>898</v>
      </c>
      <c r="D14" s="408">
        <f>'FA Continuity 2009'!G14</f>
        <v>0</v>
      </c>
      <c r="E14" s="406"/>
      <c r="F14" s="406"/>
      <c r="G14" s="408">
        <f t="shared" si="0"/>
        <v>0</v>
      </c>
      <c r="H14" s="452"/>
      <c r="I14" s="408">
        <f>'FA Continuity 2009'!L14</f>
        <v>0</v>
      </c>
      <c r="J14" s="406"/>
      <c r="K14" s="406"/>
      <c r="L14" s="408">
        <f t="shared" si="1"/>
        <v>0</v>
      </c>
      <c r="M14" s="408">
        <f t="shared" si="2"/>
        <v>0</v>
      </c>
    </row>
    <row r="15" spans="1:15" ht="12.75">
      <c r="A15" s="252">
        <v>47</v>
      </c>
      <c r="B15" s="395">
        <v>1820</v>
      </c>
      <c r="C15" s="250" t="s">
        <v>892</v>
      </c>
      <c r="D15" s="408">
        <f>'FA Continuity 2009'!G15</f>
        <v>9323770.78279602</v>
      </c>
      <c r="E15" s="406">
        <v>331781.8955328836</v>
      </c>
      <c r="F15" s="406"/>
      <c r="G15" s="408">
        <f t="shared" si="0"/>
        <v>9655552.678328903</v>
      </c>
      <c r="H15" s="452"/>
      <c r="I15" s="408">
        <f>'FA Continuity 2009'!L15</f>
        <v>3608186.1822132664</v>
      </c>
      <c r="J15" s="406">
        <v>286716.62768541544</v>
      </c>
      <c r="K15" s="406"/>
      <c r="L15" s="408">
        <f t="shared" si="1"/>
        <v>3894902.809898682</v>
      </c>
      <c r="M15" s="408">
        <f t="shared" si="2"/>
        <v>5760649.868430221</v>
      </c>
      <c r="N15" s="310">
        <f>+I15+L15</f>
        <v>7503088.992111948</v>
      </c>
      <c r="O15" s="310">
        <f>+N15/2</f>
        <v>3751544.496055974</v>
      </c>
    </row>
    <row r="16" spans="1:13" ht="12.75">
      <c r="A16" s="252">
        <v>47</v>
      </c>
      <c r="B16" s="395">
        <v>1825</v>
      </c>
      <c r="C16" s="250" t="s">
        <v>226</v>
      </c>
      <c r="D16" s="408">
        <f>'FA Continuity 2009'!G16</f>
        <v>0</v>
      </c>
      <c r="E16" s="406"/>
      <c r="F16" s="406"/>
      <c r="G16" s="408">
        <f t="shared" si="0"/>
        <v>0</v>
      </c>
      <c r="H16" s="452"/>
      <c r="I16" s="408">
        <f>'FA Continuity 2009'!L16</f>
        <v>0</v>
      </c>
      <c r="J16" s="406"/>
      <c r="K16" s="406"/>
      <c r="L16" s="408">
        <f t="shared" si="1"/>
        <v>0</v>
      </c>
      <c r="M16" s="408">
        <f t="shared" si="2"/>
        <v>0</v>
      </c>
    </row>
    <row r="17" spans="1:13" ht="12.75">
      <c r="A17" s="252">
        <v>47</v>
      </c>
      <c r="B17" s="395">
        <v>1830</v>
      </c>
      <c r="C17" s="250" t="s">
        <v>648</v>
      </c>
      <c r="D17" s="408">
        <f>'FA Continuity 2009'!G17</f>
        <v>17412767.15761844</v>
      </c>
      <c r="E17" s="406">
        <v>1086423.2143215993</v>
      </c>
      <c r="F17" s="406"/>
      <c r="G17" s="408">
        <f t="shared" si="0"/>
        <v>18499190.37194004</v>
      </c>
      <c r="H17" s="452"/>
      <c r="I17" s="408">
        <f>'FA Continuity 2009'!L17</f>
        <v>9815122.03135237</v>
      </c>
      <c r="J17" s="406">
        <v>560563.8325911696</v>
      </c>
      <c r="K17" s="406"/>
      <c r="L17" s="408">
        <f t="shared" si="1"/>
        <v>10375685.86394354</v>
      </c>
      <c r="M17" s="408">
        <f t="shared" si="2"/>
        <v>8123504.5079965</v>
      </c>
    </row>
    <row r="18" spans="1:13" ht="12.75">
      <c r="A18" s="252">
        <v>47</v>
      </c>
      <c r="B18" s="395">
        <v>1835</v>
      </c>
      <c r="C18" s="250" t="s">
        <v>649</v>
      </c>
      <c r="D18" s="408">
        <f>'FA Continuity 2009'!G18</f>
        <v>13832029.262533123</v>
      </c>
      <c r="E18" s="406">
        <v>801127.8280151705</v>
      </c>
      <c r="F18" s="406"/>
      <c r="G18" s="408">
        <f t="shared" si="0"/>
        <v>14633157.090548294</v>
      </c>
      <c r="H18" s="452"/>
      <c r="I18" s="408">
        <f>'FA Continuity 2009'!L18</f>
        <v>7451215.973050662</v>
      </c>
      <c r="J18" s="406">
        <v>455185.78266162827</v>
      </c>
      <c r="K18" s="406"/>
      <c r="L18" s="408">
        <f t="shared" si="1"/>
        <v>7906401.75571229</v>
      </c>
      <c r="M18" s="408">
        <f t="shared" si="2"/>
        <v>6726755.334836003</v>
      </c>
    </row>
    <row r="19" spans="1:13" ht="12.75">
      <c r="A19" s="252">
        <v>47</v>
      </c>
      <c r="B19" s="395">
        <v>1840</v>
      </c>
      <c r="C19" s="250" t="s">
        <v>650</v>
      </c>
      <c r="D19" s="408">
        <f>'FA Continuity 2009'!G19</f>
        <v>1022701.027219313</v>
      </c>
      <c r="E19" s="406">
        <v>715193.612166944</v>
      </c>
      <c r="F19" s="406"/>
      <c r="G19" s="408">
        <f t="shared" si="0"/>
        <v>1737894.639386257</v>
      </c>
      <c r="H19" s="452"/>
      <c r="I19" s="408">
        <f>'FA Continuity 2009'!L19</f>
        <v>97919.61174438626</v>
      </c>
      <c r="J19" s="406">
        <v>55211.135732111405</v>
      </c>
      <c r="K19" s="406"/>
      <c r="L19" s="408">
        <f t="shared" si="1"/>
        <v>153130.74747649767</v>
      </c>
      <c r="M19" s="408">
        <f t="shared" si="2"/>
        <v>1584763.8919097593</v>
      </c>
    </row>
    <row r="20" spans="1:13" ht="12.75">
      <c r="A20" s="252">
        <v>47</v>
      </c>
      <c r="B20" s="395">
        <v>1845</v>
      </c>
      <c r="C20" s="250" t="s">
        <v>651</v>
      </c>
      <c r="D20" s="408">
        <f>'FA Continuity 2009'!G20</f>
        <v>6396741.643601825</v>
      </c>
      <c r="E20" s="406">
        <v>497407.45789672504</v>
      </c>
      <c r="F20" s="406"/>
      <c r="G20" s="408">
        <f t="shared" si="0"/>
        <v>6894149.101498551</v>
      </c>
      <c r="H20" s="452"/>
      <c r="I20" s="408">
        <f>'FA Continuity 2009'!L20</f>
        <v>3966276.365717065</v>
      </c>
      <c r="J20" s="406">
        <v>244248.80754703603</v>
      </c>
      <c r="K20" s="406"/>
      <c r="L20" s="408">
        <f t="shared" si="1"/>
        <v>4210525.173264101</v>
      </c>
      <c r="M20" s="408">
        <f t="shared" si="2"/>
        <v>2683623.9282344496</v>
      </c>
    </row>
    <row r="21" spans="1:13" ht="12.75">
      <c r="A21" s="252">
        <v>47</v>
      </c>
      <c r="B21" s="395">
        <v>1850</v>
      </c>
      <c r="C21" s="250" t="s">
        <v>547</v>
      </c>
      <c r="D21" s="408">
        <f>'FA Continuity 2009'!G21</f>
        <v>14385884.06</v>
      </c>
      <c r="E21" s="406">
        <v>1466400.54</v>
      </c>
      <c r="F21" s="406"/>
      <c r="G21" s="408">
        <f t="shared" si="0"/>
        <v>15852284.600000001</v>
      </c>
      <c r="H21" s="452"/>
      <c r="I21" s="408">
        <f>'FA Continuity 2009'!L21</f>
        <v>8091379.630000001</v>
      </c>
      <c r="J21" s="406">
        <v>477519.95</v>
      </c>
      <c r="K21" s="406"/>
      <c r="L21" s="408">
        <f t="shared" si="1"/>
        <v>8568899.58</v>
      </c>
      <c r="M21" s="408">
        <f t="shared" si="2"/>
        <v>7283385.020000001</v>
      </c>
    </row>
    <row r="22" spans="1:13" ht="12.75">
      <c r="A22" s="252">
        <v>47</v>
      </c>
      <c r="B22" s="395">
        <v>1855</v>
      </c>
      <c r="C22" s="250" t="s">
        <v>575</v>
      </c>
      <c r="D22" s="408">
        <f>'FA Continuity 2009'!G22</f>
        <v>12219816.21</v>
      </c>
      <c r="E22" s="406">
        <v>2973147.73</v>
      </c>
      <c r="F22" s="406"/>
      <c r="G22" s="408">
        <f t="shared" si="0"/>
        <v>15192963.940000001</v>
      </c>
      <c r="H22" s="452"/>
      <c r="I22" s="408">
        <f>'FA Continuity 2009'!L22</f>
        <v>4995120.250000001</v>
      </c>
      <c r="J22" s="406">
        <v>508311.03</v>
      </c>
      <c r="K22" s="406"/>
      <c r="L22" s="408">
        <f t="shared" si="1"/>
        <v>5503431.280000001</v>
      </c>
      <c r="M22" s="408">
        <f t="shared" si="2"/>
        <v>9689532.66</v>
      </c>
    </row>
    <row r="23" spans="1:13" ht="12.75">
      <c r="A23" s="252">
        <v>47</v>
      </c>
      <c r="B23" s="395">
        <v>1860</v>
      </c>
      <c r="C23" s="250" t="s">
        <v>576</v>
      </c>
      <c r="D23" s="408">
        <f>'FA Continuity 2009'!G23</f>
        <v>3605159.672424353</v>
      </c>
      <c r="E23" s="406">
        <v>218010.475381471</v>
      </c>
      <c r="F23" s="406"/>
      <c r="G23" s="408">
        <f t="shared" si="0"/>
        <v>3823170.1478058244</v>
      </c>
      <c r="H23" s="452"/>
      <c r="I23" s="408">
        <f>'FA Continuity 2009'!L23</f>
        <v>2393859.713648487</v>
      </c>
      <c r="J23" s="406">
        <v>110993.35680460357</v>
      </c>
      <c r="K23" s="406"/>
      <c r="L23" s="408">
        <f t="shared" si="1"/>
        <v>2504853.0704530906</v>
      </c>
      <c r="M23" s="408">
        <f t="shared" si="2"/>
        <v>1318317.0773527338</v>
      </c>
    </row>
    <row r="24" spans="1:13" ht="12.75">
      <c r="A24" s="252" t="s">
        <v>224</v>
      </c>
      <c r="B24" s="395">
        <v>1865</v>
      </c>
      <c r="C24" s="250" t="s">
        <v>652</v>
      </c>
      <c r="D24" s="408">
        <f>'FA Continuity 2009'!G24</f>
        <v>0</v>
      </c>
      <c r="E24" s="406"/>
      <c r="F24" s="406"/>
      <c r="G24" s="408">
        <f t="shared" si="0"/>
        <v>0</v>
      </c>
      <c r="H24" s="452"/>
      <c r="I24" s="408">
        <f>'FA Continuity 2009'!L24</f>
        <v>0</v>
      </c>
      <c r="J24" s="406"/>
      <c r="K24" s="406"/>
      <c r="L24" s="408">
        <f t="shared" si="1"/>
        <v>0</v>
      </c>
      <c r="M24" s="408">
        <f t="shared" si="2"/>
        <v>0</v>
      </c>
    </row>
    <row r="25" spans="1:13" ht="12.75">
      <c r="A25" s="252" t="s">
        <v>224</v>
      </c>
      <c r="B25" s="395">
        <v>1870</v>
      </c>
      <c r="C25" s="250" t="s">
        <v>653</v>
      </c>
      <c r="D25" s="408">
        <f>'FA Continuity 2009'!G25</f>
        <v>0</v>
      </c>
      <c r="E25" s="406"/>
      <c r="F25" s="406"/>
      <c r="G25" s="408">
        <f t="shared" si="0"/>
        <v>0</v>
      </c>
      <c r="H25" s="452"/>
      <c r="I25" s="408">
        <f>'FA Continuity 2009'!L25</f>
        <v>0</v>
      </c>
      <c r="J25" s="406"/>
      <c r="K25" s="406"/>
      <c r="L25" s="408">
        <f t="shared" si="1"/>
        <v>0</v>
      </c>
      <c r="M25" s="408">
        <f t="shared" si="2"/>
        <v>0</v>
      </c>
    </row>
    <row r="26" spans="1:13" ht="12.75">
      <c r="A26" s="252" t="s">
        <v>224</v>
      </c>
      <c r="B26" s="395">
        <v>1875</v>
      </c>
      <c r="C26" s="250" t="s">
        <v>654</v>
      </c>
      <c r="D26" s="408">
        <f>'FA Continuity 2009'!G26</f>
        <v>0</v>
      </c>
      <c r="E26" s="406"/>
      <c r="F26" s="406"/>
      <c r="G26" s="408">
        <f t="shared" si="0"/>
        <v>0</v>
      </c>
      <c r="H26" s="452"/>
      <c r="I26" s="408">
        <f>'FA Continuity 2009'!L26</f>
        <v>0</v>
      </c>
      <c r="J26" s="406"/>
      <c r="K26" s="406"/>
      <c r="L26" s="408">
        <f t="shared" si="1"/>
        <v>0</v>
      </c>
      <c r="M26" s="408">
        <f t="shared" si="2"/>
        <v>0</v>
      </c>
    </row>
    <row r="27" spans="1:13" ht="12.75">
      <c r="A27" s="252" t="s">
        <v>224</v>
      </c>
      <c r="B27" s="395">
        <v>1905</v>
      </c>
      <c r="C27" s="250" t="s">
        <v>548</v>
      </c>
      <c r="D27" s="408">
        <f>'FA Continuity 2009'!G27</f>
        <v>86550.51</v>
      </c>
      <c r="E27" s="406"/>
      <c r="F27" s="406"/>
      <c r="G27" s="408">
        <f t="shared" si="0"/>
        <v>86550.51</v>
      </c>
      <c r="H27" s="452"/>
      <c r="I27" s="408">
        <f>'FA Continuity 2009'!L27</f>
        <v>0</v>
      </c>
      <c r="J27" s="406"/>
      <c r="K27" s="406"/>
      <c r="L27" s="408">
        <f t="shared" si="1"/>
        <v>0</v>
      </c>
      <c r="M27" s="408">
        <f t="shared" si="2"/>
        <v>86550.51</v>
      </c>
    </row>
    <row r="28" spans="1:13" ht="12.75">
      <c r="A28" s="252" t="s">
        <v>504</v>
      </c>
      <c r="B28" s="395">
        <v>1906</v>
      </c>
      <c r="C28" s="250" t="s">
        <v>549</v>
      </c>
      <c r="D28" s="408">
        <f>'FA Continuity 2009'!G28</f>
        <v>0</v>
      </c>
      <c r="E28" s="406"/>
      <c r="F28" s="406"/>
      <c r="G28" s="408">
        <f t="shared" si="0"/>
        <v>0</v>
      </c>
      <c r="H28" s="452"/>
      <c r="I28" s="408">
        <f>'FA Continuity 2009'!L28</f>
        <v>0</v>
      </c>
      <c r="J28" s="406"/>
      <c r="K28" s="406"/>
      <c r="L28" s="408">
        <f t="shared" si="1"/>
        <v>0</v>
      </c>
      <c r="M28" s="408">
        <f t="shared" si="2"/>
        <v>0</v>
      </c>
    </row>
    <row r="29" spans="1:13" ht="12.75">
      <c r="A29" s="252">
        <v>47</v>
      </c>
      <c r="B29" s="395">
        <v>1908</v>
      </c>
      <c r="C29" s="250" t="s">
        <v>647</v>
      </c>
      <c r="D29" s="408">
        <f>'FA Continuity 2009'!G29</f>
        <v>2017636.925753811</v>
      </c>
      <c r="E29" s="406">
        <v>32278.58634239617</v>
      </c>
      <c r="F29" s="406"/>
      <c r="G29" s="408">
        <f t="shared" si="0"/>
        <v>2049915.5120962071</v>
      </c>
      <c r="H29" s="452"/>
      <c r="I29" s="408">
        <f>'FA Continuity 2009'!L29</f>
        <v>1054207.963915076</v>
      </c>
      <c r="J29" s="406">
        <v>64461.84955700036</v>
      </c>
      <c r="K29" s="406"/>
      <c r="L29" s="408">
        <f t="shared" si="1"/>
        <v>1118669.8134720766</v>
      </c>
      <c r="M29" s="408">
        <f t="shared" si="2"/>
        <v>931245.6986241306</v>
      </c>
    </row>
    <row r="30" spans="1:13" ht="12.75">
      <c r="A30" s="252">
        <v>13</v>
      </c>
      <c r="B30" s="395">
        <v>1910</v>
      </c>
      <c r="C30" s="250" t="s">
        <v>546</v>
      </c>
      <c r="D30" s="408">
        <f>'FA Continuity 2009'!G30</f>
        <v>0</v>
      </c>
      <c r="E30" s="406"/>
      <c r="F30" s="406"/>
      <c r="G30" s="408">
        <f t="shared" si="0"/>
        <v>0</v>
      </c>
      <c r="H30" s="452"/>
      <c r="I30" s="408">
        <f>'FA Continuity 2009'!L30</f>
        <v>0</v>
      </c>
      <c r="J30" s="406"/>
      <c r="K30" s="406"/>
      <c r="L30" s="408">
        <f t="shared" si="1"/>
        <v>0</v>
      </c>
      <c r="M30" s="408">
        <f t="shared" si="2"/>
        <v>0</v>
      </c>
    </row>
    <row r="31" spans="1:13" ht="12.75">
      <c r="A31" s="252">
        <v>8</v>
      </c>
      <c r="B31" s="395">
        <v>1915</v>
      </c>
      <c r="C31" s="250" t="s">
        <v>655</v>
      </c>
      <c r="D31" s="408">
        <f>'FA Continuity 2009'!G31</f>
        <v>315440.7311400948</v>
      </c>
      <c r="E31" s="406">
        <v>25284.892634877</v>
      </c>
      <c r="F31" s="406"/>
      <c r="G31" s="408">
        <f t="shared" si="0"/>
        <v>340725.6237749718</v>
      </c>
      <c r="H31" s="452"/>
      <c r="I31" s="408">
        <f>'FA Continuity 2009'!L31</f>
        <v>275251.65705700475</v>
      </c>
      <c r="J31" s="406">
        <v>7306.60774575333</v>
      </c>
      <c r="K31" s="406"/>
      <c r="L31" s="408">
        <f t="shared" si="1"/>
        <v>282558.26480275806</v>
      </c>
      <c r="M31" s="408">
        <f t="shared" si="2"/>
        <v>58167.358972213755</v>
      </c>
    </row>
    <row r="32" spans="1:13" ht="12.75">
      <c r="A32" s="252">
        <v>50</v>
      </c>
      <c r="B32" s="395">
        <v>1920</v>
      </c>
      <c r="C32" s="250" t="s">
        <v>656</v>
      </c>
      <c r="D32" s="408">
        <f>'FA Continuity 2009'!G32</f>
        <v>591579.130754726</v>
      </c>
      <c r="E32" s="406">
        <v>26468.44080076486</v>
      </c>
      <c r="F32" s="406"/>
      <c r="G32" s="408">
        <f t="shared" si="0"/>
        <v>618047.5715554908</v>
      </c>
      <c r="H32" s="452"/>
      <c r="I32" s="408">
        <f>'FA Continuity 2009'!L32</f>
        <v>528991.7630754726</v>
      </c>
      <c r="J32" s="406">
        <v>24691.348231021693</v>
      </c>
      <c r="K32" s="406"/>
      <c r="L32" s="408">
        <f t="shared" si="1"/>
        <v>553683.1113064942</v>
      </c>
      <c r="M32" s="408">
        <f t="shared" si="2"/>
        <v>64364.46024899662</v>
      </c>
    </row>
    <row r="33" spans="1:13" ht="12.75">
      <c r="A33" s="252">
        <v>50</v>
      </c>
      <c r="B33" s="395">
        <v>1925</v>
      </c>
      <c r="C33" s="250" t="s">
        <v>539</v>
      </c>
      <c r="D33" s="408">
        <f>'FA Continuity 2009'!G33</f>
        <v>907368.6796703669</v>
      </c>
      <c r="E33" s="406">
        <v>162468.88459006074</v>
      </c>
      <c r="F33" s="406"/>
      <c r="G33" s="408">
        <f t="shared" si="0"/>
        <v>1069837.5642604276</v>
      </c>
      <c r="H33" s="452"/>
      <c r="I33" s="408">
        <f>'FA Continuity 2009'!L33</f>
        <v>841066.2549670368</v>
      </c>
      <c r="J33" s="406">
        <v>40754.86239307944</v>
      </c>
      <c r="K33" s="406"/>
      <c r="L33" s="408">
        <f t="shared" si="1"/>
        <v>881821.1173601162</v>
      </c>
      <c r="M33" s="408">
        <f t="shared" si="2"/>
        <v>188016.4469003114</v>
      </c>
    </row>
    <row r="34" spans="1:13" ht="12.75">
      <c r="A34" s="252">
        <v>10</v>
      </c>
      <c r="B34" s="395">
        <v>1930</v>
      </c>
      <c r="C34" s="250" t="s">
        <v>550</v>
      </c>
      <c r="D34" s="408">
        <f>'FA Continuity 2009'!G34</f>
        <v>2569335.35</v>
      </c>
      <c r="E34" s="406">
        <v>51000</v>
      </c>
      <c r="F34" s="406"/>
      <c r="G34" s="408">
        <f t="shared" si="0"/>
        <v>2620335.35</v>
      </c>
      <c r="H34" s="452"/>
      <c r="I34" s="408">
        <f>'FA Continuity 2009'!L34</f>
        <v>1554848.9306250005</v>
      </c>
      <c r="J34" s="406">
        <v>202870.78650000002</v>
      </c>
      <c r="K34" s="406"/>
      <c r="L34" s="408">
        <f t="shared" si="1"/>
        <v>1757719.7171250004</v>
      </c>
      <c r="M34" s="408">
        <f t="shared" si="2"/>
        <v>862615.6328749997</v>
      </c>
    </row>
    <row r="35" spans="1:13" ht="12.75">
      <c r="A35" s="252">
        <v>8</v>
      </c>
      <c r="B35" s="395">
        <v>1935</v>
      </c>
      <c r="C35" s="250" t="s">
        <v>551</v>
      </c>
      <c r="D35" s="408">
        <f>'FA Continuity 2009'!G35</f>
        <v>75195.87</v>
      </c>
      <c r="E35" s="406"/>
      <c r="F35" s="406"/>
      <c r="G35" s="408">
        <f t="shared" si="0"/>
        <v>75195.87</v>
      </c>
      <c r="H35" s="452"/>
      <c r="I35" s="408">
        <f>'FA Continuity 2009'!L35</f>
        <v>75195.87</v>
      </c>
      <c r="J35" s="406"/>
      <c r="K35" s="406"/>
      <c r="L35" s="408">
        <f t="shared" si="1"/>
        <v>75195.87</v>
      </c>
      <c r="M35" s="408">
        <f t="shared" si="2"/>
        <v>0</v>
      </c>
    </row>
    <row r="36" spans="1:13" ht="12.75">
      <c r="A36" s="252">
        <v>8</v>
      </c>
      <c r="B36" s="395">
        <v>1940</v>
      </c>
      <c r="C36" s="250" t="s">
        <v>657</v>
      </c>
      <c r="D36" s="408">
        <f>'FA Continuity 2009'!G36</f>
        <v>1136361.103549119</v>
      </c>
      <c r="E36" s="406">
        <v>59715.384733432904</v>
      </c>
      <c r="F36" s="406"/>
      <c r="G36" s="408">
        <f t="shared" si="0"/>
        <v>1196076.488282552</v>
      </c>
      <c r="H36" s="452"/>
      <c r="I36" s="408">
        <f>'FA Continuity 2009'!L36</f>
        <v>931749.4971774559</v>
      </c>
      <c r="J36" s="406">
        <v>33019.88359158355</v>
      </c>
      <c r="K36" s="406"/>
      <c r="L36" s="408">
        <f t="shared" si="1"/>
        <v>964769.3807690395</v>
      </c>
      <c r="M36" s="408">
        <f t="shared" si="2"/>
        <v>231307.10751351248</v>
      </c>
    </row>
    <row r="37" spans="1:13" ht="12.75">
      <c r="A37" s="252">
        <v>8</v>
      </c>
      <c r="B37" s="395">
        <v>1945</v>
      </c>
      <c r="C37" s="250" t="s">
        <v>658</v>
      </c>
      <c r="D37" s="408">
        <f>'FA Continuity 2009'!G37</f>
        <v>0</v>
      </c>
      <c r="E37" s="406"/>
      <c r="F37" s="406"/>
      <c r="G37" s="408">
        <f t="shared" si="0"/>
        <v>0</v>
      </c>
      <c r="H37" s="452"/>
      <c r="I37" s="408">
        <f>'FA Continuity 2009'!L37</f>
        <v>0</v>
      </c>
      <c r="J37" s="406"/>
      <c r="K37" s="406"/>
      <c r="L37" s="408">
        <f t="shared" si="1"/>
        <v>0</v>
      </c>
      <c r="M37" s="408">
        <f t="shared" si="2"/>
        <v>0</v>
      </c>
    </row>
    <row r="38" spans="1:13" ht="12.75">
      <c r="A38" s="252">
        <v>8</v>
      </c>
      <c r="B38" s="395">
        <v>1950</v>
      </c>
      <c r="C38" s="250" t="s">
        <v>659</v>
      </c>
      <c r="D38" s="408">
        <f>'FA Continuity 2009'!G38</f>
        <v>0</v>
      </c>
      <c r="E38" s="406"/>
      <c r="F38" s="406"/>
      <c r="G38" s="408">
        <f t="shared" si="0"/>
        <v>0</v>
      </c>
      <c r="H38" s="452"/>
      <c r="I38" s="408">
        <f>'FA Continuity 2009'!L38</f>
        <v>0</v>
      </c>
      <c r="J38" s="406"/>
      <c r="K38" s="406"/>
      <c r="L38" s="408">
        <f t="shared" si="1"/>
        <v>0</v>
      </c>
      <c r="M38" s="408">
        <f t="shared" si="2"/>
        <v>0</v>
      </c>
    </row>
    <row r="39" spans="1:13" ht="12.75">
      <c r="A39" s="252">
        <v>8</v>
      </c>
      <c r="B39" s="395">
        <v>1955</v>
      </c>
      <c r="C39" s="250" t="s">
        <v>660</v>
      </c>
      <c r="D39" s="408">
        <f>'FA Continuity 2009'!G39</f>
        <v>85917.44</v>
      </c>
      <c r="E39" s="406"/>
      <c r="F39" s="406"/>
      <c r="G39" s="408">
        <f t="shared" si="0"/>
        <v>85917.44</v>
      </c>
      <c r="H39" s="452"/>
      <c r="I39" s="408">
        <f>'FA Continuity 2009'!L39</f>
        <v>68180.69</v>
      </c>
      <c r="J39" s="406">
        <v>5300.875</v>
      </c>
      <c r="K39" s="406"/>
      <c r="L39" s="408">
        <f t="shared" si="1"/>
        <v>73481.565</v>
      </c>
      <c r="M39" s="408">
        <f t="shared" si="2"/>
        <v>12435.875</v>
      </c>
    </row>
    <row r="40" spans="1:13" ht="12.75">
      <c r="A40" s="252">
        <v>8</v>
      </c>
      <c r="B40" s="395">
        <v>1960</v>
      </c>
      <c r="C40" s="250" t="s">
        <v>552</v>
      </c>
      <c r="D40" s="408">
        <f>'FA Continuity 2009'!G40</f>
        <v>18079.15</v>
      </c>
      <c r="E40" s="406"/>
      <c r="F40" s="406"/>
      <c r="G40" s="408">
        <f t="shared" si="0"/>
        <v>18079.15</v>
      </c>
      <c r="H40" s="452"/>
      <c r="I40" s="408">
        <f>'FA Continuity 2009'!L40</f>
        <v>6216.525000000001</v>
      </c>
      <c r="J40" s="406">
        <v>1808.015</v>
      </c>
      <c r="K40" s="406"/>
      <c r="L40" s="408">
        <f t="shared" si="1"/>
        <v>8024.540000000001</v>
      </c>
      <c r="M40" s="408">
        <f t="shared" si="2"/>
        <v>10054.61</v>
      </c>
    </row>
    <row r="41" spans="1:13" ht="12.75">
      <c r="A41" s="252">
        <v>47</v>
      </c>
      <c r="B41" s="395">
        <v>1970</v>
      </c>
      <c r="C41" s="250" t="s">
        <v>661</v>
      </c>
      <c r="D41" s="408">
        <f>'FA Continuity 2009'!G41</f>
        <v>403930.62</v>
      </c>
      <c r="E41" s="406"/>
      <c r="F41" s="406"/>
      <c r="G41" s="408">
        <f t="shared" si="0"/>
        <v>403930.62</v>
      </c>
      <c r="H41" s="452"/>
      <c r="I41" s="408">
        <f>'FA Continuity 2009'!L41</f>
        <v>403930.62</v>
      </c>
      <c r="J41" s="406"/>
      <c r="K41" s="406"/>
      <c r="L41" s="408">
        <f t="shared" si="1"/>
        <v>403930.62</v>
      </c>
      <c r="M41" s="408">
        <f t="shared" si="2"/>
        <v>0</v>
      </c>
    </row>
    <row r="42" spans="1:13" ht="12.75">
      <c r="A42" s="252">
        <v>47</v>
      </c>
      <c r="B42" s="395">
        <v>1975</v>
      </c>
      <c r="C42" s="250" t="s">
        <v>662</v>
      </c>
      <c r="D42" s="408">
        <f>'FA Continuity 2009'!G42</f>
        <v>165151.45</v>
      </c>
      <c r="E42" s="406"/>
      <c r="F42" s="406"/>
      <c r="G42" s="408">
        <f t="shared" si="0"/>
        <v>165151.45</v>
      </c>
      <c r="H42" s="452"/>
      <c r="I42" s="408">
        <f>'FA Continuity 2009'!L42</f>
        <v>165151.45</v>
      </c>
      <c r="J42" s="406"/>
      <c r="K42" s="406"/>
      <c r="L42" s="408">
        <f t="shared" si="1"/>
        <v>165151.45</v>
      </c>
      <c r="M42" s="408">
        <f t="shared" si="2"/>
        <v>0</v>
      </c>
    </row>
    <row r="43" spans="1:13" ht="12.75">
      <c r="A43" s="252">
        <v>47</v>
      </c>
      <c r="B43" s="395">
        <v>1980</v>
      </c>
      <c r="C43" s="250" t="s">
        <v>553</v>
      </c>
      <c r="D43" s="408">
        <f>'FA Continuity 2009'!G43</f>
        <v>1242249.3512707017</v>
      </c>
      <c r="E43" s="406"/>
      <c r="F43" s="406"/>
      <c r="G43" s="408">
        <f t="shared" si="0"/>
        <v>1242249.3512707017</v>
      </c>
      <c r="H43" s="452"/>
      <c r="I43" s="408">
        <f>'FA Continuity 2009'!L43</f>
        <v>890742.8397090234</v>
      </c>
      <c r="J43" s="406">
        <v>75126.27941804678</v>
      </c>
      <c r="K43" s="406"/>
      <c r="L43" s="408">
        <f t="shared" si="1"/>
        <v>965869.1191270702</v>
      </c>
      <c r="M43" s="408">
        <f t="shared" si="2"/>
        <v>276380.23214363155</v>
      </c>
    </row>
    <row r="44" spans="1:13" ht="12.75">
      <c r="A44" s="252">
        <v>47</v>
      </c>
      <c r="B44" s="395">
        <v>1985</v>
      </c>
      <c r="C44" s="250" t="s">
        <v>663</v>
      </c>
      <c r="D44" s="408">
        <f>'FA Continuity 2009'!G44</f>
        <v>0</v>
      </c>
      <c r="E44" s="406"/>
      <c r="F44" s="406"/>
      <c r="G44" s="408">
        <f t="shared" si="0"/>
        <v>0</v>
      </c>
      <c r="H44" s="452"/>
      <c r="I44" s="408">
        <f>'FA Continuity 2009'!L44</f>
        <v>0</v>
      </c>
      <c r="J44" s="406"/>
      <c r="K44" s="406"/>
      <c r="L44" s="408">
        <f t="shared" si="1"/>
        <v>0</v>
      </c>
      <c r="M44" s="408">
        <f t="shared" si="2"/>
        <v>0</v>
      </c>
    </row>
    <row r="45" spans="1:13" ht="12.75">
      <c r="A45" s="252">
        <v>47</v>
      </c>
      <c r="B45" s="395">
        <v>1990</v>
      </c>
      <c r="C45" s="250" t="s">
        <v>664</v>
      </c>
      <c r="D45" s="408">
        <f>'FA Continuity 2009'!G45</f>
        <v>53060.28</v>
      </c>
      <c r="E45" s="406"/>
      <c r="F45" s="406"/>
      <c r="G45" s="408">
        <f t="shared" si="0"/>
        <v>53060.28</v>
      </c>
      <c r="H45" s="452"/>
      <c r="I45" s="408">
        <f>'FA Continuity 2009'!L45</f>
        <v>0</v>
      </c>
      <c r="J45" s="406"/>
      <c r="K45" s="406"/>
      <c r="L45" s="408">
        <f t="shared" si="1"/>
        <v>0</v>
      </c>
      <c r="M45" s="408">
        <f t="shared" si="2"/>
        <v>53060.28</v>
      </c>
    </row>
    <row r="46" spans="1:13" ht="12.75">
      <c r="A46" s="252">
        <v>47</v>
      </c>
      <c r="B46" s="395">
        <v>1995</v>
      </c>
      <c r="C46" s="250" t="s">
        <v>665</v>
      </c>
      <c r="D46" s="408">
        <f>'FA Continuity 2009'!G46</f>
        <v>-6364513.969163562</v>
      </c>
      <c r="E46" s="406">
        <v>-594433.9568225575</v>
      </c>
      <c r="F46" s="406"/>
      <c r="G46" s="408">
        <f t="shared" si="0"/>
        <v>-6958947.92598612</v>
      </c>
      <c r="H46" s="452"/>
      <c r="I46" s="408">
        <f>'FA Continuity 2009'!L46</f>
        <v>-1023541.7251832711</v>
      </c>
      <c r="J46" s="406">
        <v>-266471.850702994</v>
      </c>
      <c r="K46" s="406"/>
      <c r="L46" s="408">
        <f t="shared" si="1"/>
        <v>-1290013.5758862651</v>
      </c>
      <c r="M46" s="408">
        <f t="shared" si="2"/>
        <v>-5668934.350099854</v>
      </c>
    </row>
    <row r="47" spans="1:13" ht="12.75">
      <c r="A47" s="252"/>
      <c r="B47" s="251"/>
      <c r="C47" s="258" t="s">
        <v>242</v>
      </c>
      <c r="D47" s="407">
        <f>SUM(D10:D46)</f>
        <v>82643047.78916834</v>
      </c>
      <c r="E47" s="407">
        <f>SUM(E10:E46)</f>
        <v>7852274.985593768</v>
      </c>
      <c r="F47" s="407">
        <f>SUM(F10:F46)</f>
        <v>0</v>
      </c>
      <c r="G47" s="407">
        <f>SUM(G10:G46)</f>
        <v>90495322.77476212</v>
      </c>
      <c r="H47" s="452"/>
      <c r="I47" s="407">
        <f>SUM(I10:I46)</f>
        <v>46471073.75406902</v>
      </c>
      <c r="J47" s="407">
        <f>SUM(J10:J46)</f>
        <v>2901108.0797554553</v>
      </c>
      <c r="K47" s="407">
        <f>SUM(K10:K46)</f>
        <v>0</v>
      </c>
      <c r="L47" s="407">
        <f>SUM(L10:L46)</f>
        <v>49372181.83382449</v>
      </c>
      <c r="M47" s="407">
        <f>SUM(M10:M46)</f>
        <v>41123140.940937616</v>
      </c>
    </row>
    <row r="48" spans="1:13" ht="12.75">
      <c r="A48" s="252"/>
      <c r="B48" s="251"/>
      <c r="C48" s="250"/>
      <c r="D48" s="408"/>
      <c r="E48" s="408"/>
      <c r="F48" s="408"/>
      <c r="G48" s="408"/>
      <c r="H48" s="452"/>
      <c r="I48" s="408"/>
      <c r="J48" s="408"/>
      <c r="K48" s="408"/>
      <c r="L48" s="408"/>
      <c r="M48" s="408"/>
    </row>
    <row r="49" spans="1:13" ht="12.75">
      <c r="A49" s="252" t="s">
        <v>225</v>
      </c>
      <c r="B49" s="251"/>
      <c r="C49" s="250" t="s">
        <v>277</v>
      </c>
      <c r="D49" s="408">
        <f>'FA Continuity 2009'!G49</f>
        <v>0</v>
      </c>
      <c r="E49" s="406"/>
      <c r="F49" s="406"/>
      <c r="G49" s="408">
        <f>D49+E49-F49</f>
        <v>0</v>
      </c>
      <c r="H49" s="452"/>
      <c r="I49" s="408">
        <f>'FA Continuity 2009'!L49</f>
        <v>0</v>
      </c>
      <c r="J49" s="406"/>
      <c r="K49" s="406"/>
      <c r="L49" s="408">
        <f>I49+J49-K49</f>
        <v>0</v>
      </c>
      <c r="M49" s="408">
        <f>G49-L49</f>
        <v>0</v>
      </c>
    </row>
    <row r="50" spans="1:13" ht="12.75">
      <c r="A50" s="252"/>
      <c r="B50" s="251"/>
      <c r="C50" s="258" t="s">
        <v>243</v>
      </c>
      <c r="D50" s="407">
        <f>SUM(D47:D49)</f>
        <v>82643047.78916834</v>
      </c>
      <c r="E50" s="407">
        <f>SUM(E47:E49)</f>
        <v>7852274.985593768</v>
      </c>
      <c r="F50" s="407">
        <f>SUM(F47:F49)</f>
        <v>0</v>
      </c>
      <c r="G50" s="407">
        <f>SUM(G47:G49)</f>
        <v>90495322.77476212</v>
      </c>
      <c r="H50" s="452"/>
      <c r="I50" s="407">
        <f>SUM(I47:I49)</f>
        <v>46471073.75406902</v>
      </c>
      <c r="J50" s="407">
        <f>SUM(J47:J49)</f>
        <v>2901108.0797554553</v>
      </c>
      <c r="K50" s="407">
        <f>SUM(K47:K49)</f>
        <v>0</v>
      </c>
      <c r="L50" s="407">
        <f>SUM(L47:L49)</f>
        <v>49372181.83382449</v>
      </c>
      <c r="M50" s="407">
        <f>SUM(M47:M49)</f>
        <v>41123140.940937616</v>
      </c>
    </row>
    <row r="51" spans="5:13" ht="12.75">
      <c r="E51" s="241"/>
      <c r="F51" s="241"/>
      <c r="H51" s="237"/>
      <c r="I51" s="237"/>
      <c r="J51" s="237"/>
      <c r="K51" s="237"/>
      <c r="M51" s="237"/>
    </row>
    <row r="52" spans="1:15" ht="12.75">
      <c r="A52" s="240"/>
      <c r="D52" s="241"/>
      <c r="E52" s="241"/>
      <c r="F52" s="241"/>
      <c r="G52" s="241"/>
      <c r="H52" s="451" t="s">
        <v>278</v>
      </c>
      <c r="I52" s="451"/>
      <c r="J52" s="451"/>
      <c r="K52" s="237"/>
      <c r="L52" s="241"/>
      <c r="M52" s="237"/>
      <c r="O52" s="369"/>
    </row>
    <row r="53" spans="1:13" ht="12.75">
      <c r="A53" s="249"/>
      <c r="B53" s="249">
        <f>B33</f>
        <v>1925</v>
      </c>
      <c r="C53" s="250" t="s">
        <v>279</v>
      </c>
      <c r="D53" s="241"/>
      <c r="E53" s="241"/>
      <c r="F53" s="241"/>
      <c r="G53" s="241"/>
      <c r="H53" s="451" t="s">
        <v>279</v>
      </c>
      <c r="I53" s="451"/>
      <c r="J53" s="256">
        <v>0</v>
      </c>
      <c r="K53" s="237"/>
      <c r="L53" s="237"/>
      <c r="M53" s="237"/>
    </row>
    <row r="54" spans="1:13" ht="12.75">
      <c r="A54" s="249"/>
      <c r="B54" s="249">
        <f>B34</f>
        <v>1930</v>
      </c>
      <c r="C54" s="250" t="s">
        <v>551</v>
      </c>
      <c r="D54" s="241"/>
      <c r="E54" s="241"/>
      <c r="F54" s="241"/>
      <c r="G54" s="241"/>
      <c r="H54" s="451" t="s">
        <v>818</v>
      </c>
      <c r="I54" s="451"/>
      <c r="J54" s="256"/>
      <c r="K54" s="237"/>
      <c r="L54" s="237"/>
      <c r="M54" s="237"/>
    </row>
    <row r="55" spans="1:13" ht="13.5" thickBot="1">
      <c r="A55" s="240"/>
      <c r="D55" s="241"/>
      <c r="E55" s="241"/>
      <c r="F55" s="241"/>
      <c r="G55" s="241"/>
      <c r="H55" s="451" t="s">
        <v>280</v>
      </c>
      <c r="I55" s="451"/>
      <c r="J55" s="257">
        <f>J50-J53-J54</f>
        <v>2901108.0797554553</v>
      </c>
      <c r="K55" s="237"/>
      <c r="L55" s="257">
        <f>L50-L53-L54</f>
        <v>49372181.83382449</v>
      </c>
      <c r="M55" s="237"/>
    </row>
    <row r="56" spans="1:13" ht="13.5" thickTop="1">
      <c r="A56" s="240"/>
      <c r="D56" s="241"/>
      <c r="E56" s="241"/>
      <c r="F56" s="241"/>
      <c r="G56" s="241"/>
      <c r="H56" s="237"/>
      <c r="I56" s="237"/>
      <c r="J56" s="237"/>
      <c r="K56" s="237"/>
      <c r="L56" s="237"/>
      <c r="M56" s="237"/>
    </row>
    <row r="57" spans="1:13" ht="12.75">
      <c r="A57" s="240"/>
      <c r="D57" s="241"/>
      <c r="E57" s="241"/>
      <c r="F57" s="241"/>
      <c r="G57" s="241"/>
      <c r="H57" s="237"/>
      <c r="I57" s="237" t="s">
        <v>409</v>
      </c>
      <c r="J57" s="237">
        <f>+'2010 Income Statement'!B183</f>
        <v>2901108.0797554553</v>
      </c>
      <c r="K57" s="237"/>
      <c r="L57" s="237">
        <f>-'2010 Balance Sheet'!B153</f>
        <v>49372181.83382449</v>
      </c>
      <c r="M57" s="237"/>
    </row>
    <row r="58" spans="1:13" ht="12.75">
      <c r="A58" s="240"/>
      <c r="D58" s="241"/>
      <c r="E58" s="241"/>
      <c r="F58" s="241"/>
      <c r="G58" s="241"/>
      <c r="H58" s="237"/>
      <c r="I58" s="237" t="s">
        <v>410</v>
      </c>
      <c r="J58" s="237">
        <f>+J55-J57</f>
        <v>0</v>
      </c>
      <c r="K58" s="237"/>
      <c r="L58" s="237">
        <f>+L55-L57</f>
        <v>0</v>
      </c>
      <c r="M58" s="237"/>
    </row>
    <row r="59" spans="4:13" ht="12.75">
      <c r="D59" s="241"/>
      <c r="E59" s="241"/>
      <c r="F59" s="241"/>
      <c r="G59" s="241"/>
      <c r="H59" s="237"/>
      <c r="I59" s="237"/>
      <c r="J59" s="237"/>
      <c r="K59" s="237"/>
      <c r="L59" s="237"/>
      <c r="M59" s="237"/>
    </row>
    <row r="60" spans="4:13" ht="12.75">
      <c r="D60" s="241"/>
      <c r="E60" s="241"/>
      <c r="F60" s="241"/>
      <c r="G60" s="241"/>
      <c r="H60" s="237"/>
      <c r="I60" s="237"/>
      <c r="J60" s="237"/>
      <c r="K60" s="237"/>
      <c r="L60" s="237"/>
      <c r="M60" s="237"/>
    </row>
    <row r="61" spans="4:13" ht="12.75">
      <c r="D61" s="241"/>
      <c r="E61" s="241"/>
      <c r="F61" s="241"/>
      <c r="G61" s="241"/>
      <c r="H61" s="237"/>
      <c r="I61" s="237"/>
      <c r="J61" s="237"/>
      <c r="K61" s="237"/>
      <c r="L61" s="237"/>
      <c r="M61" s="237"/>
    </row>
    <row r="62" spans="3:13" ht="12.75">
      <c r="C62" s="235"/>
      <c r="D62" s="236"/>
      <c r="E62" s="236"/>
      <c r="F62" s="236"/>
      <c r="G62" s="236"/>
      <c r="H62" s="237"/>
      <c r="I62" s="238"/>
      <c r="J62" s="238"/>
      <c r="K62" s="238"/>
      <c r="L62" s="238"/>
      <c r="M62" s="238"/>
    </row>
    <row r="63" spans="3:13" ht="12.75">
      <c r="C63" s="235"/>
      <c r="D63" s="236"/>
      <c r="E63" s="236"/>
      <c r="F63" s="236"/>
      <c r="G63" s="236"/>
      <c r="H63" s="237"/>
      <c r="I63" s="238"/>
      <c r="J63" s="238"/>
      <c r="K63" s="238"/>
      <c r="L63" s="238"/>
      <c r="M63" s="238"/>
    </row>
    <row r="64" spans="3:13" ht="12.75">
      <c r="C64" s="235"/>
      <c r="D64" s="236"/>
      <c r="E64" s="236"/>
      <c r="F64" s="236"/>
      <c r="G64" s="236"/>
      <c r="H64" s="237"/>
      <c r="I64" s="238"/>
      <c r="J64" s="238"/>
      <c r="K64" s="238"/>
      <c r="L64" s="238"/>
      <c r="M64" s="238"/>
    </row>
    <row r="65" spans="3:13" ht="12.75">
      <c r="C65" s="235"/>
      <c r="D65" s="236"/>
      <c r="E65" s="236"/>
      <c r="F65" s="236"/>
      <c r="G65" s="236"/>
      <c r="H65" s="237"/>
      <c r="I65" s="238"/>
      <c r="J65" s="238"/>
      <c r="K65" s="238"/>
      <c r="L65" s="238"/>
      <c r="M65" s="238"/>
    </row>
  </sheetData>
  <mergeCells count="26">
    <mergeCell ref="C8:C9"/>
    <mergeCell ref="D8:D9"/>
    <mergeCell ref="I7:L7"/>
    <mergeCell ref="D6:G6"/>
    <mergeCell ref="I6:L6"/>
    <mergeCell ref="D7:G7"/>
    <mergeCell ref="H55:I55"/>
    <mergeCell ref="H8:H50"/>
    <mergeCell ref="A3:C3"/>
    <mergeCell ref="A4:C4"/>
    <mergeCell ref="A5:C5"/>
    <mergeCell ref="H52:J52"/>
    <mergeCell ref="J8:J9"/>
    <mergeCell ref="E8:E9"/>
    <mergeCell ref="F8:F9"/>
    <mergeCell ref="G8:G9"/>
    <mergeCell ref="A1:M1"/>
    <mergeCell ref="A2:M2"/>
    <mergeCell ref="H53:I53"/>
    <mergeCell ref="H54:I54"/>
    <mergeCell ref="K8:K9"/>
    <mergeCell ref="L8:L9"/>
    <mergeCell ref="M8:M9"/>
    <mergeCell ref="I8:I9"/>
    <mergeCell ref="A8:A9"/>
    <mergeCell ref="B8:B9"/>
  </mergeCells>
  <printOptions horizontalCentered="1"/>
  <pageMargins left="0.35" right="0.35" top="0.35" bottom="0.35" header="0.2" footer="0.2"/>
  <pageSetup fitToHeight="1" fitToWidth="1" horizontalDpi="355" verticalDpi="355" orientation="landscape" scale="83" r:id="rId4"/>
  <headerFooter alignWithMargins="0">
    <oddFooter>&amp;L&amp;A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3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.75"/>
  <cols>
    <col min="1" max="1" width="11.00390625" style="1" customWidth="1"/>
    <col min="2" max="2" width="56.57421875" style="2" bestFit="1" customWidth="1"/>
    <col min="3" max="3" width="0.85546875" style="3" customWidth="1"/>
    <col min="4" max="4" width="15.57421875" style="3" bestFit="1" customWidth="1"/>
    <col min="5" max="5" width="0.85546875" style="3" customWidth="1"/>
    <col min="6" max="6" width="15.57421875" style="3" bestFit="1" customWidth="1"/>
    <col min="7" max="7" width="0.85546875" style="3" customWidth="1"/>
    <col min="8" max="8" width="15.57421875" style="0" customWidth="1"/>
    <col min="9" max="9" width="0.85546875" style="3" customWidth="1"/>
    <col min="10" max="10" width="15.57421875" style="196" bestFit="1" customWidth="1"/>
    <col min="11" max="11" width="0.9921875" style="3" customWidth="1"/>
    <col min="12" max="12" width="15.57421875" style="196" bestFit="1" customWidth="1"/>
    <col min="13" max="13" width="16.28125" style="0" customWidth="1"/>
    <col min="14" max="14" width="14.00390625" style="0" bestFit="1" customWidth="1"/>
    <col min="15" max="15" width="12.8515625" style="0" bestFit="1" customWidth="1"/>
    <col min="16" max="16" width="11.28125" style="0" bestFit="1" customWidth="1"/>
    <col min="17" max="17" width="14.57421875" style="0" bestFit="1" customWidth="1"/>
    <col min="18" max="18" width="31.8515625" style="0" customWidth="1"/>
    <col min="19" max="20" width="14.00390625" style="0" bestFit="1" customWidth="1"/>
    <col min="25" max="25" width="19.28125" style="0" customWidth="1"/>
    <col min="26" max="26" width="14.7109375" style="0" customWidth="1"/>
  </cols>
  <sheetData>
    <row r="1" spans="1:12" ht="12.75">
      <c r="A1" s="453" t="str">
        <f>Notes!B4</f>
        <v>North Bay Hydro Distribution Ltd.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12" ht="12.75">
      <c r="A2" s="453" t="str">
        <f>Notes!A2&amp;""&amp;Notes!A6&amp;" "&amp;Notes!B6&amp;", "&amp;Notes!A8&amp;" "&amp;Notes!B8</f>
        <v>License Number ED-2003-0024, File Number EB-2009-0270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</row>
    <row r="3" spans="1:10" ht="21.75" customHeight="1">
      <c r="A3" s="431" t="s">
        <v>565</v>
      </c>
      <c r="B3" s="431"/>
      <c r="C3" s="431"/>
      <c r="D3" s="431"/>
      <c r="E3" s="431"/>
      <c r="F3" s="431"/>
      <c r="G3" s="431"/>
      <c r="H3" s="431"/>
      <c r="I3" s="431"/>
      <c r="J3" s="431"/>
    </row>
    <row r="4" spans="1:12" ht="12.75">
      <c r="A4" s="454" t="s">
        <v>567</v>
      </c>
      <c r="B4" s="455" t="s">
        <v>568</v>
      </c>
      <c r="D4" s="247" t="s">
        <v>566</v>
      </c>
      <c r="F4" s="247" t="s">
        <v>163</v>
      </c>
      <c r="H4" s="247" t="s">
        <v>164</v>
      </c>
      <c r="J4" s="247" t="s">
        <v>206</v>
      </c>
      <c r="L4" s="247" t="s">
        <v>822</v>
      </c>
    </row>
    <row r="5" spans="1:12" ht="12.75">
      <c r="A5" s="454"/>
      <c r="B5" s="455"/>
      <c r="D5" s="248" t="s">
        <v>569</v>
      </c>
      <c r="F5" s="248" t="s">
        <v>569</v>
      </c>
      <c r="H5" s="248" t="s">
        <v>569</v>
      </c>
      <c r="J5" s="248" t="s">
        <v>471</v>
      </c>
      <c r="L5" s="248" t="s">
        <v>472</v>
      </c>
    </row>
    <row r="6" ht="3.75" customHeight="1"/>
    <row r="7" spans="1:12" ht="12.75" customHeight="1">
      <c r="A7" s="5"/>
      <c r="B7" s="315" t="s">
        <v>106</v>
      </c>
      <c r="D7" s="5"/>
      <c r="E7" s="5"/>
      <c r="F7" s="5"/>
      <c r="G7" s="5"/>
      <c r="H7" s="5"/>
      <c r="I7" s="5"/>
      <c r="J7" s="391"/>
      <c r="L7" s="391"/>
    </row>
    <row r="8" spans="1:12" s="21" customFormat="1" ht="12.75">
      <c r="A8" s="319">
        <v>1005</v>
      </c>
      <c r="B8" s="387" t="str">
        <f aca="true" t="shared" si="0" ref="B8:B28">VLOOKUP(A8,Q$11:U$383,2)</f>
        <v>Cash</v>
      </c>
      <c r="C8" s="318"/>
      <c r="D8" s="7">
        <v>3324121.71</v>
      </c>
      <c r="E8" s="318"/>
      <c r="F8" s="7">
        <v>10157140.68</v>
      </c>
      <c r="G8" s="318"/>
      <c r="H8" s="7">
        <v>9818844.67</v>
      </c>
      <c r="I8" s="318"/>
      <c r="J8" s="340">
        <v>5234760.22493221</v>
      </c>
      <c r="K8" s="399"/>
      <c r="L8" s="340">
        <v>3935552.9241519338</v>
      </c>
    </row>
    <row r="9" spans="1:12" ht="12.75">
      <c r="A9" s="5">
        <v>1010</v>
      </c>
      <c r="B9" s="6" t="str">
        <f t="shared" si="0"/>
        <v>Cash Advances and Working Funds</v>
      </c>
      <c r="D9" s="7"/>
      <c r="E9" s="318"/>
      <c r="F9" s="7"/>
      <c r="H9" s="7"/>
      <c r="J9" s="340"/>
      <c r="K9" s="400"/>
      <c r="L9" s="340"/>
    </row>
    <row r="10" spans="1:12" ht="12.75">
      <c r="A10" s="5">
        <v>1020</v>
      </c>
      <c r="B10" s="6" t="str">
        <f t="shared" si="0"/>
        <v>Interest Special Deposits</v>
      </c>
      <c r="D10" s="7"/>
      <c r="E10" s="318"/>
      <c r="F10" s="7"/>
      <c r="H10" s="7"/>
      <c r="J10" s="340"/>
      <c r="K10" s="400"/>
      <c r="L10" s="340"/>
    </row>
    <row r="11" spans="1:26" ht="12.75">
      <c r="A11" s="5">
        <v>1030</v>
      </c>
      <c r="B11" s="6" t="str">
        <f t="shared" si="0"/>
        <v>Dividend Special Deposits</v>
      </c>
      <c r="D11" s="7"/>
      <c r="E11" s="318"/>
      <c r="F11" s="7"/>
      <c r="H11" s="7"/>
      <c r="J11" s="340"/>
      <c r="K11" s="400"/>
      <c r="L11" s="340"/>
      <c r="Q11">
        <v>1005</v>
      </c>
      <c r="R11" t="s">
        <v>570</v>
      </c>
      <c r="W11" s="307"/>
      <c r="Y11" s="308"/>
      <c r="Z11" s="312"/>
    </row>
    <row r="12" spans="1:26" ht="12.75">
      <c r="A12" s="5">
        <v>1040</v>
      </c>
      <c r="B12" s="6" t="str">
        <f t="shared" si="0"/>
        <v>Other Special Deposits</v>
      </c>
      <c r="D12" s="7"/>
      <c r="E12" s="318"/>
      <c r="F12" s="7"/>
      <c r="H12" s="7"/>
      <c r="J12" s="340"/>
      <c r="K12" s="400"/>
      <c r="L12" s="340"/>
      <c r="Q12" s="309">
        <v>1010</v>
      </c>
      <c r="R12" t="s">
        <v>588</v>
      </c>
      <c r="W12" s="309"/>
      <c r="Y12" s="308"/>
      <c r="Z12" s="312"/>
    </row>
    <row r="13" spans="1:26" ht="12.75">
      <c r="A13" s="5">
        <v>1060</v>
      </c>
      <c r="B13" s="6" t="str">
        <f t="shared" si="0"/>
        <v>Term Deposits</v>
      </c>
      <c r="D13" s="7">
        <v>6513325.99</v>
      </c>
      <c r="E13" s="318"/>
      <c r="F13" s="7">
        <v>2314566.67</v>
      </c>
      <c r="H13" s="7">
        <v>2393932.32</v>
      </c>
      <c r="J13" s="340">
        <v>2419031.08</v>
      </c>
      <c r="K13" s="400"/>
      <c r="L13" s="340">
        <v>2438251.72</v>
      </c>
      <c r="Q13" s="309">
        <v>1020</v>
      </c>
      <c r="R13" t="s">
        <v>589</v>
      </c>
      <c r="W13" s="309"/>
      <c r="Y13" s="308"/>
      <c r="Z13" s="312"/>
    </row>
    <row r="14" spans="1:26" ht="12.75">
      <c r="A14" s="5">
        <v>1070</v>
      </c>
      <c r="B14" s="6" t="str">
        <f t="shared" si="0"/>
        <v>Current Investments</v>
      </c>
      <c r="D14" s="7"/>
      <c r="E14" s="318"/>
      <c r="F14" s="7"/>
      <c r="H14" s="7"/>
      <c r="J14" s="340"/>
      <c r="K14" s="400"/>
      <c r="L14" s="340"/>
      <c r="Q14">
        <v>1030</v>
      </c>
      <c r="R14" t="s">
        <v>590</v>
      </c>
      <c r="Y14" s="308"/>
      <c r="Z14" s="312"/>
    </row>
    <row r="15" spans="1:26" ht="12.75">
      <c r="A15" s="5">
        <v>1100</v>
      </c>
      <c r="B15" s="6" t="str">
        <f t="shared" si="0"/>
        <v>Customer Accounts Receivable</v>
      </c>
      <c r="D15" s="7">
        <v>4504532.9</v>
      </c>
      <c r="E15" s="318"/>
      <c r="F15" s="7">
        <v>4363696.05</v>
      </c>
      <c r="H15" s="7">
        <v>4578419.62</v>
      </c>
      <c r="J15" s="340">
        <v>4983801.628156261</v>
      </c>
      <c r="K15" s="400"/>
      <c r="L15" s="340">
        <v>4964933.166393105</v>
      </c>
      <c r="Q15">
        <v>1040</v>
      </c>
      <c r="R15" t="s">
        <v>591</v>
      </c>
      <c r="Y15" s="308"/>
      <c r="Z15" s="312"/>
    </row>
    <row r="16" spans="1:26" ht="12.75">
      <c r="A16" s="5">
        <v>1102</v>
      </c>
      <c r="B16" s="6" t="str">
        <f t="shared" si="0"/>
        <v>Accounts Receivable - Services</v>
      </c>
      <c r="D16" s="7">
        <v>-79695.63</v>
      </c>
      <c r="E16" s="318"/>
      <c r="F16" s="7">
        <v>-233264.84</v>
      </c>
      <c r="H16" s="7">
        <v>-237277.92</v>
      </c>
      <c r="J16" s="340">
        <v>-258286.95973077518</v>
      </c>
      <c r="K16" s="400"/>
      <c r="L16" s="340">
        <v>-257309.09624678965</v>
      </c>
      <c r="Q16">
        <v>1060</v>
      </c>
      <c r="R16" t="s">
        <v>592</v>
      </c>
      <c r="Y16" s="308"/>
      <c r="Z16" s="312"/>
    </row>
    <row r="17" spans="1:26" ht="12.75">
      <c r="A17" s="5">
        <v>1104</v>
      </c>
      <c r="B17" s="6" t="str">
        <f t="shared" si="0"/>
        <v>Accounts Receivable - Recoverable Work</v>
      </c>
      <c r="D17" s="7">
        <v>209919.21</v>
      </c>
      <c r="E17" s="318"/>
      <c r="F17" s="7">
        <v>458869.92</v>
      </c>
      <c r="H17" s="7">
        <v>302144.46</v>
      </c>
      <c r="J17" s="340">
        <v>328896.90693890455</v>
      </c>
      <c r="K17" s="400"/>
      <c r="L17" s="340">
        <v>327651.7171870619</v>
      </c>
      <c r="Q17">
        <v>1070</v>
      </c>
      <c r="R17" t="s">
        <v>593</v>
      </c>
      <c r="Y17" s="308"/>
      <c r="Z17" s="312"/>
    </row>
    <row r="18" spans="1:26" ht="12.75">
      <c r="A18" s="5">
        <v>1105</v>
      </c>
      <c r="B18" s="6" t="str">
        <f t="shared" si="0"/>
        <v>Accounts Receivable - Merchandise, Jobbing, etc.</v>
      </c>
      <c r="D18" s="7">
        <v>4556.66</v>
      </c>
      <c r="E18" s="318"/>
      <c r="F18" s="7">
        <v>3351.46</v>
      </c>
      <c r="H18" s="7">
        <v>2405.4</v>
      </c>
      <c r="J18" s="340">
        <v>2618.378705175798</v>
      </c>
      <c r="K18" s="400"/>
      <c r="L18" s="340">
        <v>2608.4656343583415</v>
      </c>
      <c r="Q18">
        <v>1100</v>
      </c>
      <c r="R18" t="s">
        <v>594</v>
      </c>
      <c r="Y18" s="308"/>
      <c r="Z18" s="312"/>
    </row>
    <row r="19" spans="1:26" ht="12.75">
      <c r="A19" s="5">
        <v>1110</v>
      </c>
      <c r="B19" s="6" t="str">
        <f t="shared" si="0"/>
        <v>Other Accounts Receivable</v>
      </c>
      <c r="D19" s="7">
        <v>216933.77</v>
      </c>
      <c r="E19" s="318"/>
      <c r="F19" s="7">
        <v>182313.74</v>
      </c>
      <c r="H19" s="7">
        <v>809620.97</v>
      </c>
      <c r="J19" s="340">
        <v>200060.67891243057</v>
      </c>
      <c r="K19" s="400"/>
      <c r="L19" s="340">
        <v>199303.25766013915</v>
      </c>
      <c r="Q19">
        <v>1102</v>
      </c>
      <c r="R19" t="s">
        <v>595</v>
      </c>
      <c r="Y19" s="308"/>
      <c r="Z19" s="312"/>
    </row>
    <row r="20" spans="1:26" ht="12.75">
      <c r="A20" s="5">
        <v>1120</v>
      </c>
      <c r="B20" s="6" t="str">
        <f t="shared" si="0"/>
        <v>Accrued Utility Revenues</v>
      </c>
      <c r="D20" s="7">
        <v>4415240.78</v>
      </c>
      <c r="E20" s="318"/>
      <c r="F20" s="7">
        <v>5589408.47</v>
      </c>
      <c r="H20" s="7">
        <v>5702480.28</v>
      </c>
      <c r="J20" s="340">
        <v>6058049.76489691</v>
      </c>
      <c r="K20" s="400"/>
      <c r="L20" s="340">
        <v>6040620.935214063</v>
      </c>
      <c r="Q20">
        <v>1104</v>
      </c>
      <c r="R20" t="s">
        <v>596</v>
      </c>
      <c r="Y20" s="308"/>
      <c r="Z20" s="312"/>
    </row>
    <row r="21" spans="1:26" ht="12.75">
      <c r="A21" s="5">
        <v>1130</v>
      </c>
      <c r="B21" s="6" t="str">
        <f t="shared" si="0"/>
        <v>Accumulated Provision for Uncollectable Accounts -- Credit</v>
      </c>
      <c r="D21" s="7">
        <v>-78000.38</v>
      </c>
      <c r="E21" s="318"/>
      <c r="F21" s="7">
        <v>-310773.59</v>
      </c>
      <c r="H21" s="7">
        <v>-475806.89</v>
      </c>
      <c r="J21" s="340">
        <v>-517935.7398153835</v>
      </c>
      <c r="K21" s="400"/>
      <c r="L21" s="340">
        <v>-515974.85705326335</v>
      </c>
      <c r="Q21">
        <v>1105</v>
      </c>
      <c r="R21" t="s">
        <v>597</v>
      </c>
      <c r="Y21" s="308"/>
      <c r="Z21" s="312"/>
    </row>
    <row r="22" spans="1:26" ht="12.75">
      <c r="A22" s="5">
        <v>1140</v>
      </c>
      <c r="B22" s="6" t="str">
        <f t="shared" si="0"/>
        <v>Interest and Dividends Receivable</v>
      </c>
      <c r="D22" s="7">
        <v>13160.18</v>
      </c>
      <c r="E22" s="318"/>
      <c r="F22" s="7">
        <v>41042.5</v>
      </c>
      <c r="H22" s="7"/>
      <c r="J22" s="340"/>
      <c r="K22" s="400"/>
      <c r="L22" s="340"/>
      <c r="Q22">
        <v>1110</v>
      </c>
      <c r="R22" t="s">
        <v>598</v>
      </c>
      <c r="Y22" s="308"/>
      <c r="Z22" s="312"/>
    </row>
    <row r="23" spans="1:26" ht="12.75">
      <c r="A23" s="5">
        <v>1150</v>
      </c>
      <c r="B23" s="6" t="str">
        <f t="shared" si="0"/>
        <v>Rents Receivable</v>
      </c>
      <c r="D23" s="7"/>
      <c r="E23" s="318"/>
      <c r="F23" s="7"/>
      <c r="H23" s="7"/>
      <c r="J23" s="340"/>
      <c r="K23" s="400"/>
      <c r="L23" s="340"/>
      <c r="Q23">
        <v>1120</v>
      </c>
      <c r="R23" t="s">
        <v>599</v>
      </c>
      <c r="Y23" s="308"/>
      <c r="Z23" s="312"/>
    </row>
    <row r="24" spans="1:26" ht="12.75">
      <c r="A24" s="5">
        <v>1170</v>
      </c>
      <c r="B24" s="6" t="str">
        <f t="shared" si="0"/>
        <v>Notes Receivable</v>
      </c>
      <c r="D24" s="7"/>
      <c r="E24" s="318"/>
      <c r="F24" s="7"/>
      <c r="H24" s="7"/>
      <c r="J24" s="340"/>
      <c r="K24" s="400"/>
      <c r="L24" s="340"/>
      <c r="Q24">
        <v>1130</v>
      </c>
      <c r="R24" t="s">
        <v>600</v>
      </c>
      <c r="Y24" s="308"/>
      <c r="Z24" s="312"/>
    </row>
    <row r="25" spans="1:26" ht="12.75">
      <c r="A25" s="5">
        <v>1180</v>
      </c>
      <c r="B25" s="6" t="str">
        <f t="shared" si="0"/>
        <v>Prepayments</v>
      </c>
      <c r="D25" s="7">
        <v>131723.73</v>
      </c>
      <c r="E25" s="318"/>
      <c r="F25" s="7">
        <v>220655.31</v>
      </c>
      <c r="H25" s="7">
        <v>226073.94</v>
      </c>
      <c r="J25" s="340">
        <v>351653.9831069037</v>
      </c>
      <c r="K25" s="400"/>
      <c r="L25" s="340">
        <v>387450.5462696535</v>
      </c>
      <c r="Q25">
        <v>1140</v>
      </c>
      <c r="R25" t="s">
        <v>601</v>
      </c>
      <c r="Y25" s="308"/>
      <c r="Z25" s="312"/>
    </row>
    <row r="26" spans="1:26" ht="12.75">
      <c r="A26" s="5">
        <v>1190</v>
      </c>
      <c r="B26" s="6" t="str">
        <f t="shared" si="0"/>
        <v>Miscellaneous Current and Accrued Assets</v>
      </c>
      <c r="D26" s="7"/>
      <c r="E26" s="318"/>
      <c r="F26" s="7"/>
      <c r="H26" s="7"/>
      <c r="J26" s="340"/>
      <c r="K26" s="400"/>
      <c r="L26" s="340"/>
      <c r="Q26">
        <v>1150</v>
      </c>
      <c r="R26" t="s">
        <v>602</v>
      </c>
      <c r="Y26" s="308"/>
      <c r="Z26" s="312"/>
    </row>
    <row r="27" spans="1:26" ht="12.75">
      <c r="A27" s="5">
        <v>1200</v>
      </c>
      <c r="B27" s="6" t="str">
        <f t="shared" si="0"/>
        <v>Accounts Receivable from Associated Companies</v>
      </c>
      <c r="D27" s="7">
        <v>537919.21</v>
      </c>
      <c r="E27" s="318"/>
      <c r="F27" s="7">
        <v>548523.06</v>
      </c>
      <c r="H27" s="7">
        <v>339044.69</v>
      </c>
      <c r="J27" s="340">
        <v>369064.3537037207</v>
      </c>
      <c r="K27" s="400"/>
      <c r="L27" s="340">
        <v>367667.0917006224</v>
      </c>
      <c r="Q27">
        <v>1170</v>
      </c>
      <c r="R27" t="s">
        <v>603</v>
      </c>
      <c r="Y27" s="308"/>
      <c r="Z27" s="312"/>
    </row>
    <row r="28" spans="1:26" ht="12.75">
      <c r="A28" s="5">
        <v>1210</v>
      </c>
      <c r="B28" s="6" t="str">
        <f t="shared" si="0"/>
        <v>Notes  Receivable from Associated Companies</v>
      </c>
      <c r="D28" s="7">
        <v>1332950</v>
      </c>
      <c r="E28" s="318"/>
      <c r="F28" s="7">
        <v>1332950</v>
      </c>
      <c r="H28" s="7">
        <v>1332950</v>
      </c>
      <c r="J28" s="340"/>
      <c r="K28" s="400"/>
      <c r="L28" s="340"/>
      <c r="Q28">
        <v>1180</v>
      </c>
      <c r="R28" t="s">
        <v>571</v>
      </c>
      <c r="Y28" s="308"/>
      <c r="Z28" s="312"/>
    </row>
    <row r="29" spans="1:26" ht="12.75">
      <c r="A29" s="5"/>
      <c r="B29" s="315" t="s">
        <v>107</v>
      </c>
      <c r="D29" s="5"/>
      <c r="E29" s="319"/>
      <c r="F29" s="5"/>
      <c r="G29" s="5"/>
      <c r="H29" s="5"/>
      <c r="I29" s="5"/>
      <c r="J29" s="391"/>
      <c r="K29" s="400"/>
      <c r="L29" s="391"/>
      <c r="Q29">
        <v>1190</v>
      </c>
      <c r="R29" t="s">
        <v>604</v>
      </c>
      <c r="Y29" s="308"/>
      <c r="Z29" s="312"/>
    </row>
    <row r="30" spans="1:26" ht="12.75">
      <c r="A30" s="5">
        <v>1305</v>
      </c>
      <c r="B30" s="6" t="str">
        <f>VLOOKUP(A30,Q$11:U$383,2)</f>
        <v>Fuel Stock</v>
      </c>
      <c r="D30" s="7"/>
      <c r="E30" s="318"/>
      <c r="F30" s="7"/>
      <c r="H30" s="7"/>
      <c r="J30" s="340"/>
      <c r="K30" s="400"/>
      <c r="L30" s="340"/>
      <c r="Q30">
        <v>1200</v>
      </c>
      <c r="R30" t="s">
        <v>572</v>
      </c>
      <c r="Y30" s="308"/>
      <c r="Z30" s="312"/>
    </row>
    <row r="31" spans="1:26" ht="12.75">
      <c r="A31" s="5">
        <v>1330</v>
      </c>
      <c r="B31" s="6" t="str">
        <f>VLOOKUP(A31,Q$11:U$383,2)</f>
        <v>Plant Materials and Operating Supplies</v>
      </c>
      <c r="D31" s="7">
        <v>784548.81</v>
      </c>
      <c r="E31" s="318"/>
      <c r="F31" s="7">
        <v>790836.13</v>
      </c>
      <c r="H31" s="7">
        <v>762696.62</v>
      </c>
      <c r="J31" s="340">
        <v>851407.3621101327</v>
      </c>
      <c r="K31" s="400"/>
      <c r="L31" s="340">
        <v>987403.1788731709</v>
      </c>
      <c r="Q31">
        <v>1210</v>
      </c>
      <c r="R31" t="s">
        <v>605</v>
      </c>
      <c r="Y31" s="308"/>
      <c r="Z31" s="312"/>
    </row>
    <row r="32" spans="1:26" ht="12.75">
      <c r="A32" s="5">
        <v>1340</v>
      </c>
      <c r="B32" s="6" t="str">
        <f>VLOOKUP(A32,Q$11:U$383,2)</f>
        <v>Merchandise</v>
      </c>
      <c r="D32" s="7"/>
      <c r="E32" s="318"/>
      <c r="F32" s="7"/>
      <c r="H32" s="7"/>
      <c r="J32" s="340"/>
      <c r="K32" s="400"/>
      <c r="L32" s="340"/>
      <c r="Q32">
        <v>1305</v>
      </c>
      <c r="R32" t="s">
        <v>606</v>
      </c>
      <c r="Y32" s="308"/>
      <c r="Z32" s="312"/>
    </row>
    <row r="33" spans="1:26" ht="12.75">
      <c r="A33" s="5">
        <v>1350</v>
      </c>
      <c r="B33" s="6" t="str">
        <f>VLOOKUP(A33,Q$11:U$383,2)</f>
        <v>Other Material and Supplies</v>
      </c>
      <c r="D33" s="7"/>
      <c r="E33" s="318"/>
      <c r="F33" s="7"/>
      <c r="H33" s="7"/>
      <c r="J33" s="340"/>
      <c r="K33" s="400"/>
      <c r="L33" s="340"/>
      <c r="Q33">
        <v>1330</v>
      </c>
      <c r="R33" t="s">
        <v>607</v>
      </c>
      <c r="Y33" s="308"/>
      <c r="Z33" s="312"/>
    </row>
    <row r="34" spans="1:26" ht="12.75">
      <c r="A34" s="5"/>
      <c r="B34" s="315" t="s">
        <v>109</v>
      </c>
      <c r="D34" s="5"/>
      <c r="E34" s="319"/>
      <c r="F34" s="5"/>
      <c r="G34" s="5"/>
      <c r="H34" s="5"/>
      <c r="I34" s="5"/>
      <c r="J34" s="391"/>
      <c r="K34" s="400"/>
      <c r="L34" s="391"/>
      <c r="Q34">
        <v>1340</v>
      </c>
      <c r="R34" t="s">
        <v>608</v>
      </c>
      <c r="Y34" s="308"/>
      <c r="Z34" s="312"/>
    </row>
    <row r="35" spans="1:26" ht="12.75">
      <c r="A35" s="5">
        <v>1405</v>
      </c>
      <c r="B35" s="6" t="str">
        <f aca="true" t="shared" si="1" ref="B35:B48">VLOOKUP(A35,Q$11:U$383,2)</f>
        <v>Long Term Investments in Non-Associated Companies</v>
      </c>
      <c r="D35" s="7"/>
      <c r="E35" s="318"/>
      <c r="F35" s="7"/>
      <c r="H35" s="7"/>
      <c r="J35" s="340"/>
      <c r="K35" s="400"/>
      <c r="L35" s="340"/>
      <c r="Q35">
        <v>1350</v>
      </c>
      <c r="R35" t="s">
        <v>609</v>
      </c>
      <c r="Y35" s="308"/>
      <c r="Z35" s="312"/>
    </row>
    <row r="36" spans="1:26" ht="12.75">
      <c r="A36" s="5">
        <v>1408</v>
      </c>
      <c r="B36" s="6" t="str">
        <f t="shared" si="1"/>
        <v>Long Term Receivable - Street Lighting Transfer</v>
      </c>
      <c r="D36" s="7"/>
      <c r="E36" s="318"/>
      <c r="F36" s="7"/>
      <c r="H36" s="7"/>
      <c r="J36" s="340"/>
      <c r="K36" s="400"/>
      <c r="L36" s="340"/>
      <c r="Q36">
        <v>1405</v>
      </c>
      <c r="R36" t="s">
        <v>610</v>
      </c>
      <c r="Y36" s="308"/>
      <c r="Z36" s="312"/>
    </row>
    <row r="37" spans="1:26" ht="12.75">
      <c r="A37" s="5">
        <v>1410</v>
      </c>
      <c r="B37" s="6" t="str">
        <f t="shared" si="1"/>
        <v>Other Special or Collateral Funds</v>
      </c>
      <c r="D37" s="7"/>
      <c r="E37" s="318"/>
      <c r="F37" s="7"/>
      <c r="H37" s="7"/>
      <c r="J37" s="340"/>
      <c r="K37" s="400"/>
      <c r="L37" s="340"/>
      <c r="Q37">
        <v>1408</v>
      </c>
      <c r="R37" t="s">
        <v>611</v>
      </c>
      <c r="Y37" s="308"/>
      <c r="Z37" s="312"/>
    </row>
    <row r="38" spans="1:26" ht="12.75">
      <c r="A38" s="5">
        <v>1415</v>
      </c>
      <c r="B38" s="6" t="str">
        <f t="shared" si="1"/>
        <v>Sinking Funds</v>
      </c>
      <c r="D38" s="7"/>
      <c r="E38" s="318"/>
      <c r="F38" s="7"/>
      <c r="H38" s="7"/>
      <c r="J38" s="340"/>
      <c r="K38" s="400"/>
      <c r="L38" s="340"/>
      <c r="Q38">
        <v>1410</v>
      </c>
      <c r="R38" t="s">
        <v>612</v>
      </c>
      <c r="Y38" s="308"/>
      <c r="Z38" s="312"/>
    </row>
    <row r="39" spans="1:26" ht="12.75">
      <c r="A39" s="5">
        <v>1425</v>
      </c>
      <c r="B39" s="6" t="str">
        <f t="shared" si="1"/>
        <v>Unamortized Debt Expense</v>
      </c>
      <c r="D39" s="7"/>
      <c r="E39" s="318"/>
      <c r="F39" s="7"/>
      <c r="H39" s="7"/>
      <c r="J39" s="340"/>
      <c r="K39" s="400"/>
      <c r="L39" s="340"/>
      <c r="Q39">
        <v>1415</v>
      </c>
      <c r="R39" t="s">
        <v>613</v>
      </c>
      <c r="Y39" s="308"/>
      <c r="Z39" s="312"/>
    </row>
    <row r="40" spans="1:26" ht="12.75">
      <c r="A40" s="5">
        <v>1445</v>
      </c>
      <c r="B40" s="6" t="str">
        <f t="shared" si="1"/>
        <v>Unamortized Discount on Long-Term Debt--Debit</v>
      </c>
      <c r="D40" s="7"/>
      <c r="E40" s="318"/>
      <c r="F40" s="7"/>
      <c r="H40" s="7"/>
      <c r="J40" s="340"/>
      <c r="K40" s="400"/>
      <c r="L40" s="340"/>
      <c r="Q40">
        <v>1425</v>
      </c>
      <c r="R40" t="s">
        <v>614</v>
      </c>
      <c r="Y40" s="308"/>
      <c r="Z40" s="312"/>
    </row>
    <row r="41" spans="1:26" ht="12.75">
      <c r="A41" s="5">
        <v>1455</v>
      </c>
      <c r="B41" s="6" t="str">
        <f t="shared" si="1"/>
        <v>Unamortized Deferred Foreign Currency Translation Gains and Losses</v>
      </c>
      <c r="D41" s="7"/>
      <c r="E41" s="318"/>
      <c r="F41" s="7"/>
      <c r="H41" s="7"/>
      <c r="J41" s="340"/>
      <c r="K41" s="400"/>
      <c r="L41" s="340"/>
      <c r="Q41">
        <v>1445</v>
      </c>
      <c r="R41" t="s">
        <v>615</v>
      </c>
      <c r="Y41" s="308"/>
      <c r="Z41" s="312"/>
    </row>
    <row r="42" spans="1:26" ht="12.75">
      <c r="A42" s="5">
        <v>1460</v>
      </c>
      <c r="B42" s="6" t="str">
        <f t="shared" si="1"/>
        <v>Other Non-Current Assets</v>
      </c>
      <c r="D42" s="7"/>
      <c r="E42" s="318"/>
      <c r="F42" s="7"/>
      <c r="H42" s="7"/>
      <c r="J42" s="340"/>
      <c r="K42" s="400"/>
      <c r="L42" s="340"/>
      <c r="Q42">
        <v>1455</v>
      </c>
      <c r="R42" t="s">
        <v>616</v>
      </c>
      <c r="Y42" s="308"/>
      <c r="Z42" s="312"/>
    </row>
    <row r="43" spans="1:26" ht="12.75">
      <c r="A43" s="5">
        <v>1465</v>
      </c>
      <c r="B43" s="6" t="str">
        <f t="shared" si="1"/>
        <v>O.M.E.R.S. Past Service Costs</v>
      </c>
      <c r="D43" s="7"/>
      <c r="E43" s="318"/>
      <c r="F43" s="7"/>
      <c r="H43" s="7"/>
      <c r="J43" s="340"/>
      <c r="K43" s="400"/>
      <c r="L43" s="340"/>
      <c r="Q43">
        <v>1460</v>
      </c>
      <c r="R43" t="s">
        <v>617</v>
      </c>
      <c r="Y43" s="308"/>
      <c r="Z43" s="312"/>
    </row>
    <row r="44" spans="1:26" ht="12.75">
      <c r="A44" s="5">
        <v>1470</v>
      </c>
      <c r="B44" s="6" t="str">
        <f t="shared" si="1"/>
        <v>Past Service Costs - Employee Future Benefits</v>
      </c>
      <c r="D44" s="7"/>
      <c r="E44" s="318"/>
      <c r="F44" s="7"/>
      <c r="H44" s="7"/>
      <c r="J44" s="340"/>
      <c r="K44" s="400"/>
      <c r="L44" s="340"/>
      <c r="Q44">
        <v>1465</v>
      </c>
      <c r="R44" t="s">
        <v>618</v>
      </c>
      <c r="Y44" s="308"/>
      <c r="Z44" s="312"/>
    </row>
    <row r="45" spans="1:26" ht="12.75">
      <c r="A45" s="5">
        <v>1475</v>
      </c>
      <c r="B45" s="6" t="str">
        <f t="shared" si="1"/>
        <v>Past Service Costs -Other Pension Plans</v>
      </c>
      <c r="D45" s="7"/>
      <c r="E45" s="318"/>
      <c r="F45" s="7"/>
      <c r="H45" s="7"/>
      <c r="J45" s="340"/>
      <c r="K45" s="400"/>
      <c r="L45" s="340"/>
      <c r="Q45">
        <v>1470</v>
      </c>
      <c r="R45" t="s">
        <v>619</v>
      </c>
      <c r="Y45" s="308"/>
      <c r="Z45" s="312"/>
    </row>
    <row r="46" spans="1:26" ht="12.75">
      <c r="A46" s="5">
        <v>1480</v>
      </c>
      <c r="B46" s="6" t="str">
        <f t="shared" si="1"/>
        <v>Portfolio Investments - Associated Companies</v>
      </c>
      <c r="D46" s="7"/>
      <c r="E46" s="318"/>
      <c r="F46" s="7"/>
      <c r="H46" s="7"/>
      <c r="J46" s="340"/>
      <c r="K46" s="400"/>
      <c r="L46" s="340"/>
      <c r="Q46">
        <v>1475</v>
      </c>
      <c r="R46" t="s">
        <v>620</v>
      </c>
      <c r="Y46" s="308"/>
      <c r="Z46" s="312"/>
    </row>
    <row r="47" spans="1:26" ht="12.75">
      <c r="A47" s="5">
        <v>1485</v>
      </c>
      <c r="B47" s="6" t="str">
        <f t="shared" si="1"/>
        <v>Investment In Subsidiary Companies - Significant Influence</v>
      </c>
      <c r="D47" s="7"/>
      <c r="E47" s="318"/>
      <c r="F47" s="7"/>
      <c r="H47" s="7"/>
      <c r="J47" s="340"/>
      <c r="K47" s="400"/>
      <c r="L47" s="340"/>
      <c r="Q47">
        <v>1480</v>
      </c>
      <c r="R47" t="s">
        <v>621</v>
      </c>
      <c r="Y47" s="308"/>
      <c r="Z47" s="312"/>
    </row>
    <row r="48" spans="1:26" ht="12.75">
      <c r="A48" s="5">
        <v>1490</v>
      </c>
      <c r="B48" s="6" t="str">
        <f t="shared" si="1"/>
        <v>Investment in Subsidiary Companies</v>
      </c>
      <c r="D48" s="7"/>
      <c r="E48" s="318"/>
      <c r="F48" s="7"/>
      <c r="H48" s="7"/>
      <c r="J48" s="340"/>
      <c r="K48" s="400"/>
      <c r="L48" s="340"/>
      <c r="Q48">
        <v>1485</v>
      </c>
      <c r="R48" t="s">
        <v>622</v>
      </c>
      <c r="Y48" s="308"/>
      <c r="Z48" s="312"/>
    </row>
    <row r="49" spans="1:26" ht="12.75">
      <c r="A49" s="5"/>
      <c r="B49" s="315" t="s">
        <v>108</v>
      </c>
      <c r="D49" s="5"/>
      <c r="E49" s="319"/>
      <c r="F49" s="5"/>
      <c r="G49" s="5"/>
      <c r="H49" s="5"/>
      <c r="I49" s="5"/>
      <c r="J49" s="391"/>
      <c r="K49" s="400"/>
      <c r="L49" s="391"/>
      <c r="Q49">
        <v>1490</v>
      </c>
      <c r="R49" t="s">
        <v>623</v>
      </c>
      <c r="Y49" s="308"/>
      <c r="Z49" s="312"/>
    </row>
    <row r="50" spans="1:26" ht="12.75">
      <c r="A50" s="5">
        <v>1505</v>
      </c>
      <c r="B50" s="6" t="str">
        <f aca="true" t="shared" si="2" ref="B50:B78">VLOOKUP(A50,Q$11:U$383,2)</f>
        <v>Unrecovered Plant and Regulatory Study Costs</v>
      </c>
      <c r="D50" s="7"/>
      <c r="E50" s="318"/>
      <c r="F50" s="7"/>
      <c r="H50" s="7"/>
      <c r="J50" s="340"/>
      <c r="K50" s="400"/>
      <c r="L50" s="340"/>
      <c r="Q50">
        <v>1505</v>
      </c>
      <c r="R50" t="s">
        <v>624</v>
      </c>
      <c r="Y50" s="308"/>
      <c r="Z50" s="312"/>
    </row>
    <row r="51" spans="1:26" ht="12.75">
      <c r="A51" s="5">
        <v>1508</v>
      </c>
      <c r="B51" s="6" t="str">
        <f t="shared" si="2"/>
        <v>Other Regulatory Assets</v>
      </c>
      <c r="D51" s="7">
        <v>268798.24</v>
      </c>
      <c r="E51" s="318"/>
      <c r="F51" s="7">
        <v>289032.78</v>
      </c>
      <c r="H51" s="7">
        <v>299474.73</v>
      </c>
      <c r="J51" s="340">
        <v>295204.78395458334</v>
      </c>
      <c r="K51" s="400"/>
      <c r="L51" s="340">
        <v>569.82407</v>
      </c>
      <c r="Q51">
        <v>1508</v>
      </c>
      <c r="R51" t="s">
        <v>625</v>
      </c>
      <c r="Y51" s="308"/>
      <c r="Z51" s="312"/>
    </row>
    <row r="52" spans="1:26" ht="12.75">
      <c r="A52" s="5">
        <v>1510</v>
      </c>
      <c r="B52" s="6" t="str">
        <f t="shared" si="2"/>
        <v>Preliminary Survey and Investigation Charges</v>
      </c>
      <c r="D52" s="7"/>
      <c r="E52" s="318"/>
      <c r="F52" s="7"/>
      <c r="H52" s="7"/>
      <c r="J52" s="340"/>
      <c r="K52" s="400"/>
      <c r="L52" s="340"/>
      <c r="Q52">
        <v>1510</v>
      </c>
      <c r="R52" t="s">
        <v>626</v>
      </c>
      <c r="Y52" s="308"/>
      <c r="Z52" s="312"/>
    </row>
    <row r="53" spans="1:26" ht="12.75">
      <c r="A53" s="5">
        <v>1515</v>
      </c>
      <c r="B53" s="6" t="str">
        <f t="shared" si="2"/>
        <v>Emission Allowance Inventory</v>
      </c>
      <c r="D53" s="7"/>
      <c r="E53" s="318"/>
      <c r="F53" s="7"/>
      <c r="H53" s="7"/>
      <c r="J53" s="340"/>
      <c r="K53" s="400"/>
      <c r="L53" s="340"/>
      <c r="Q53">
        <v>1515</v>
      </c>
      <c r="R53" t="s">
        <v>627</v>
      </c>
      <c r="Y53" s="308"/>
      <c r="Z53" s="312"/>
    </row>
    <row r="54" spans="1:26" ht="12.75">
      <c r="A54" s="5">
        <v>1516</v>
      </c>
      <c r="B54" s="6" t="str">
        <f t="shared" si="2"/>
        <v>Emission Allowance Withheld</v>
      </c>
      <c r="D54" s="7"/>
      <c r="E54" s="318"/>
      <c r="F54" s="7"/>
      <c r="H54" s="7"/>
      <c r="J54" s="340"/>
      <c r="K54" s="400"/>
      <c r="L54" s="340"/>
      <c r="Q54">
        <v>1516</v>
      </c>
      <c r="R54" t="s">
        <v>628</v>
      </c>
      <c r="Y54" s="308"/>
      <c r="Z54" s="312"/>
    </row>
    <row r="55" spans="1:26" ht="12.75">
      <c r="A55" s="5">
        <v>1518</v>
      </c>
      <c r="B55" s="6" t="str">
        <f t="shared" si="2"/>
        <v>RCVA - Retail</v>
      </c>
      <c r="D55" s="7">
        <v>-1437.51</v>
      </c>
      <c r="E55" s="318"/>
      <c r="F55" s="7">
        <v>-109693.87</v>
      </c>
      <c r="H55" s="7">
        <v>-132242.5</v>
      </c>
      <c r="J55" s="340">
        <v>-233810.98524208332</v>
      </c>
      <c r="K55" s="400"/>
      <c r="L55" s="340">
        <v>-141924.03613708334</v>
      </c>
      <c r="Q55">
        <v>1518</v>
      </c>
      <c r="R55" t="s">
        <v>859</v>
      </c>
      <c r="Y55" s="308"/>
      <c r="Z55" s="312"/>
    </row>
    <row r="56" spans="1:26" ht="12.75">
      <c r="A56" s="5">
        <v>1525</v>
      </c>
      <c r="B56" s="6" t="str">
        <f t="shared" si="2"/>
        <v>Miscellaneous Deferred Debits</v>
      </c>
      <c r="D56" s="7">
        <v>1672.4</v>
      </c>
      <c r="E56" s="318"/>
      <c r="F56" s="7">
        <v>1801.38</v>
      </c>
      <c r="H56" s="7">
        <v>1867.95</v>
      </c>
      <c r="J56" s="340">
        <v>1886.97355</v>
      </c>
      <c r="K56" s="400"/>
      <c r="L56" s="340">
        <v>0.009616666666573792</v>
      </c>
      <c r="Q56">
        <v>1525</v>
      </c>
      <c r="R56" t="s">
        <v>629</v>
      </c>
      <c r="Y56" s="308"/>
      <c r="Z56" s="312"/>
    </row>
    <row r="57" spans="1:26" ht="12.75">
      <c r="A57" s="5">
        <v>1530</v>
      </c>
      <c r="B57" s="6" t="str">
        <f t="shared" si="2"/>
        <v>Deferred Losses from Disposition of Utility Plant</v>
      </c>
      <c r="D57" s="7"/>
      <c r="E57" s="318"/>
      <c r="F57" s="7"/>
      <c r="H57" s="7"/>
      <c r="J57" s="340"/>
      <c r="K57" s="400"/>
      <c r="L57" s="340"/>
      <c r="Q57">
        <v>1530</v>
      </c>
      <c r="R57" t="s">
        <v>630</v>
      </c>
      <c r="Y57" s="308"/>
      <c r="Z57" s="312"/>
    </row>
    <row r="58" spans="1:26" ht="12.75">
      <c r="A58" s="5">
        <v>1540</v>
      </c>
      <c r="B58" s="6" t="str">
        <f t="shared" si="2"/>
        <v>Deferred Losses from Disposition of Utility Plant</v>
      </c>
      <c r="D58" s="7"/>
      <c r="E58" s="318"/>
      <c r="F58" s="7"/>
      <c r="H58" s="7"/>
      <c r="J58" s="340"/>
      <c r="K58" s="400"/>
      <c r="L58" s="340"/>
      <c r="Q58">
        <v>1545</v>
      </c>
      <c r="R58" t="s">
        <v>631</v>
      </c>
      <c r="Y58" s="308"/>
      <c r="Z58" s="312"/>
    </row>
    <row r="59" spans="1:26" ht="12.75">
      <c r="A59" s="5">
        <v>1545</v>
      </c>
      <c r="B59" s="6" t="str">
        <f t="shared" si="2"/>
        <v>Development Charge Deposits/ Receivables</v>
      </c>
      <c r="D59" s="7"/>
      <c r="E59" s="318"/>
      <c r="F59" s="7"/>
      <c r="H59" s="7"/>
      <c r="J59" s="340"/>
      <c r="K59" s="400"/>
      <c r="L59" s="340"/>
      <c r="Q59">
        <v>1548</v>
      </c>
      <c r="R59" t="s">
        <v>632</v>
      </c>
      <c r="Y59" s="308"/>
      <c r="Z59" s="312"/>
    </row>
    <row r="60" spans="1:26" ht="12.75">
      <c r="A60" s="5">
        <v>1548</v>
      </c>
      <c r="B60" s="6" t="str">
        <f t="shared" si="2"/>
        <v>RCVA - Service Transaction Request (STR)</v>
      </c>
      <c r="D60" s="7">
        <v>43858.3</v>
      </c>
      <c r="E60" s="318"/>
      <c r="F60" s="7">
        <v>59276</v>
      </c>
      <c r="H60" s="7">
        <v>70666.02</v>
      </c>
      <c r="J60" s="340">
        <v>76121.27301958327</v>
      </c>
      <c r="K60" s="400"/>
      <c r="L60" s="340">
        <v>9843.053167916569</v>
      </c>
      <c r="Q60">
        <v>1550</v>
      </c>
      <c r="R60" t="s">
        <v>633</v>
      </c>
      <c r="Y60" s="308"/>
      <c r="Z60" s="312"/>
    </row>
    <row r="61" spans="1:26" ht="12.75">
      <c r="A61" s="5">
        <v>1550</v>
      </c>
      <c r="B61" s="6" t="str">
        <f t="shared" si="2"/>
        <v>LV Charges - Variance</v>
      </c>
      <c r="D61" s="7">
        <v>14233.45</v>
      </c>
      <c r="E61" s="318"/>
      <c r="F61" s="7">
        <v>41754.85</v>
      </c>
      <c r="H61" s="7">
        <v>66621.13</v>
      </c>
      <c r="J61" s="340">
        <v>88824.98248625</v>
      </c>
      <c r="K61" s="400"/>
      <c r="L61" s="340">
        <v>43216.066637916665</v>
      </c>
      <c r="M61" s="365"/>
      <c r="Q61">
        <v>1555</v>
      </c>
      <c r="R61" t="s">
        <v>634</v>
      </c>
      <c r="Y61" s="308"/>
      <c r="Z61" s="312"/>
    </row>
    <row r="62" spans="1:26" ht="12.75">
      <c r="A62" s="5">
        <v>1555</v>
      </c>
      <c r="B62" s="6" t="str">
        <f t="shared" si="2"/>
        <v>Smart Meters Recovery</v>
      </c>
      <c r="D62" s="7">
        <v>-64163.37</v>
      </c>
      <c r="E62" s="318"/>
      <c r="F62" s="7">
        <v>-150913.35</v>
      </c>
      <c r="H62" s="7">
        <v>-169558.92</v>
      </c>
      <c r="J62" s="340">
        <v>4104807.634645834</v>
      </c>
      <c r="K62" s="400"/>
      <c r="L62" s="340">
        <v>3541680.3782337504</v>
      </c>
      <c r="Q62">
        <v>1556</v>
      </c>
      <c r="R62" t="s">
        <v>635</v>
      </c>
      <c r="Y62" s="308"/>
      <c r="Z62" s="312"/>
    </row>
    <row r="63" spans="1:26" ht="12.75">
      <c r="A63" s="5">
        <v>1556</v>
      </c>
      <c r="B63" s="6" t="str">
        <f t="shared" si="2"/>
        <v>Smart Meters OM &amp; A</v>
      </c>
      <c r="D63" s="7">
        <v>6670.51</v>
      </c>
      <c r="E63" s="318"/>
      <c r="F63" s="7">
        <v>44984.39</v>
      </c>
      <c r="H63" s="7">
        <v>15027</v>
      </c>
      <c r="J63" s="340">
        <v>411892.08375958336</v>
      </c>
      <c r="K63" s="400"/>
      <c r="L63" s="340">
        <v>1092844.45096625</v>
      </c>
      <c r="Q63">
        <v>1562</v>
      </c>
      <c r="R63" t="s">
        <v>574</v>
      </c>
      <c r="Y63" s="308"/>
      <c r="Z63" s="312"/>
    </row>
    <row r="64" spans="1:26" ht="12.75">
      <c r="A64" s="5">
        <v>1562</v>
      </c>
      <c r="B64" s="6" t="str">
        <f t="shared" si="2"/>
        <v>Deferred PILs</v>
      </c>
      <c r="D64" s="7">
        <v>-288892</v>
      </c>
      <c r="E64" s="318"/>
      <c r="F64" s="7">
        <v>-321519</v>
      </c>
      <c r="H64" s="7">
        <v>-348934.83</v>
      </c>
      <c r="J64" s="340">
        <v>-356783.4287125</v>
      </c>
      <c r="K64" s="400"/>
      <c r="L64" s="340">
        <v>-360578.3555625002</v>
      </c>
      <c r="Q64">
        <v>1563</v>
      </c>
      <c r="R64" t="s">
        <v>636</v>
      </c>
      <c r="Y64" s="308"/>
      <c r="Z64" s="312"/>
    </row>
    <row r="65" spans="1:26" ht="12.75">
      <c r="A65" s="5">
        <v>1563</v>
      </c>
      <c r="B65" s="6" t="str">
        <f t="shared" si="2"/>
        <v>Deferred PILs - Contra</v>
      </c>
      <c r="D65" s="7"/>
      <c r="E65" s="318"/>
      <c r="F65" s="339"/>
      <c r="H65" s="7"/>
      <c r="J65" s="340"/>
      <c r="K65" s="400"/>
      <c r="L65" s="340"/>
      <c r="Q65">
        <v>1565</v>
      </c>
      <c r="R65" t="s">
        <v>637</v>
      </c>
      <c r="Y65" s="308"/>
      <c r="Z65" s="312"/>
    </row>
    <row r="66" spans="1:26" ht="12.75">
      <c r="A66" s="5">
        <v>1565</v>
      </c>
      <c r="B66" s="6" t="str">
        <f t="shared" si="2"/>
        <v>C &amp; DM Costs</v>
      </c>
      <c r="D66" s="7">
        <v>-742998.11</v>
      </c>
      <c r="E66" s="318"/>
      <c r="F66" s="7">
        <v>-312124.18</v>
      </c>
      <c r="H66" s="7"/>
      <c r="J66" s="340"/>
      <c r="K66" s="400"/>
      <c r="L66" s="340"/>
      <c r="Q66">
        <v>1566</v>
      </c>
      <c r="R66" t="s">
        <v>638</v>
      </c>
      <c r="Y66" s="308"/>
      <c r="Z66" s="312"/>
    </row>
    <row r="67" spans="1:26" ht="12.75">
      <c r="A67" s="5">
        <v>1566</v>
      </c>
      <c r="B67" s="6" t="str">
        <f t="shared" si="2"/>
        <v>C &amp; DM Costs Contra</v>
      </c>
      <c r="D67" s="7">
        <v>742998.11</v>
      </c>
      <c r="E67" s="318"/>
      <c r="F67" s="7">
        <v>312124.18</v>
      </c>
      <c r="H67" s="7"/>
      <c r="J67" s="340"/>
      <c r="K67" s="400"/>
      <c r="L67" s="340"/>
      <c r="Q67">
        <v>1570</v>
      </c>
      <c r="R67" t="s">
        <v>639</v>
      </c>
      <c r="Y67" s="308"/>
      <c r="Z67" s="312"/>
    </row>
    <row r="68" spans="1:26" ht="12.75">
      <c r="A68" s="5">
        <v>1570</v>
      </c>
      <c r="B68" s="6" t="str">
        <f t="shared" si="2"/>
        <v>Qualifying Transition Costs</v>
      </c>
      <c r="D68" s="7"/>
      <c r="E68" s="318"/>
      <c r="F68" s="7"/>
      <c r="H68" s="7"/>
      <c r="J68" s="340"/>
      <c r="K68" s="400"/>
      <c r="L68" s="340"/>
      <c r="Q68">
        <v>1571</v>
      </c>
      <c r="R68" t="s">
        <v>640</v>
      </c>
      <c r="Y68" s="308"/>
      <c r="Z68" s="312"/>
    </row>
    <row r="69" spans="1:26" ht="12.75">
      <c r="A69" s="5">
        <v>1571</v>
      </c>
      <c r="B69" s="6" t="str">
        <f t="shared" si="2"/>
        <v>Pre Market CofP Variance</v>
      </c>
      <c r="D69" s="7">
        <v>945.88</v>
      </c>
      <c r="E69" s="318"/>
      <c r="F69" s="7">
        <v>-406.36</v>
      </c>
      <c r="H69" s="7"/>
      <c r="J69" s="340"/>
      <c r="K69" s="400"/>
      <c r="L69" s="340"/>
      <c r="Q69">
        <v>1572</v>
      </c>
      <c r="R69" t="s">
        <v>819</v>
      </c>
      <c r="Y69" s="308"/>
      <c r="Z69" s="312"/>
    </row>
    <row r="70" spans="1:26" ht="12.75">
      <c r="A70" s="5">
        <v>1572</v>
      </c>
      <c r="B70" s="6" t="str">
        <f t="shared" si="2"/>
        <v>Extraordinary Event Losses</v>
      </c>
      <c r="D70" s="7"/>
      <c r="E70" s="318"/>
      <c r="F70" s="7">
        <v>461119.22</v>
      </c>
      <c r="H70" s="7">
        <v>329722.24</v>
      </c>
      <c r="J70" s="340">
        <v>97693.91</v>
      </c>
      <c r="K70" s="400"/>
      <c r="L70" s="340">
        <v>20317.91</v>
      </c>
      <c r="Q70">
        <v>1574</v>
      </c>
      <c r="R70" t="s">
        <v>641</v>
      </c>
      <c r="Y70" s="308"/>
      <c r="Z70" s="312"/>
    </row>
    <row r="71" spans="1:26" ht="12.75">
      <c r="A71" s="5">
        <v>1574</v>
      </c>
      <c r="B71" s="6" t="str">
        <f t="shared" si="2"/>
        <v>Deferred Rate Impact Amounts</v>
      </c>
      <c r="D71" s="7"/>
      <c r="E71" s="318"/>
      <c r="F71" s="7"/>
      <c r="H71" s="7"/>
      <c r="J71" s="340"/>
      <c r="K71" s="400"/>
      <c r="L71" s="340"/>
      <c r="Q71">
        <v>1580</v>
      </c>
      <c r="R71" t="s">
        <v>642</v>
      </c>
      <c r="Y71" s="308"/>
      <c r="Z71" s="312"/>
    </row>
    <row r="72" spans="1:26" ht="12.75">
      <c r="A72" s="5">
        <v>1580</v>
      </c>
      <c r="B72" s="6" t="str">
        <f t="shared" si="2"/>
        <v>RSVA - Wholesale Market Services</v>
      </c>
      <c r="D72" s="7">
        <v>-207717.43</v>
      </c>
      <c r="E72" s="318"/>
      <c r="F72" s="7">
        <v>-1053327.96</v>
      </c>
      <c r="H72" s="7">
        <v>-1436723.37</v>
      </c>
      <c r="J72" s="340">
        <v>-1722603.8977834764</v>
      </c>
      <c r="K72" s="400"/>
      <c r="L72" s="340">
        <v>-472784.3072069314</v>
      </c>
      <c r="Q72">
        <v>1582</v>
      </c>
      <c r="R72" t="s">
        <v>643</v>
      </c>
      <c r="Y72" s="308"/>
      <c r="Z72" s="312"/>
    </row>
    <row r="73" spans="1:26" ht="12.75">
      <c r="A73" s="5">
        <v>1582</v>
      </c>
      <c r="B73" s="6" t="str">
        <f t="shared" si="2"/>
        <v>RSVA - One-Time</v>
      </c>
      <c r="D73" s="7">
        <v>31695.16</v>
      </c>
      <c r="E73" s="318"/>
      <c r="F73" s="7">
        <v>35573.55</v>
      </c>
      <c r="H73" s="7">
        <v>36874.89</v>
      </c>
      <c r="J73" s="340">
        <v>61178.139429999996</v>
      </c>
      <c r="K73" s="400"/>
      <c r="L73" s="340">
        <v>0</v>
      </c>
      <c r="Q73">
        <v>1584</v>
      </c>
      <c r="R73" t="s">
        <v>644</v>
      </c>
      <c r="Y73" s="308"/>
      <c r="Z73" s="312"/>
    </row>
    <row r="74" spans="1:26" ht="12.75">
      <c r="A74" s="5">
        <v>1584</v>
      </c>
      <c r="B74" s="6" t="str">
        <f t="shared" si="2"/>
        <v>RSVA - Network Charges</v>
      </c>
      <c r="D74" s="7">
        <v>-28716.79</v>
      </c>
      <c r="E74" s="318"/>
      <c r="F74" s="7">
        <v>-45479.51</v>
      </c>
      <c r="H74" s="7">
        <v>-330873.03</v>
      </c>
      <c r="J74" s="340">
        <v>-482328.7151205923</v>
      </c>
      <c r="K74" s="400"/>
      <c r="L74" s="340">
        <v>-266369.97276265454</v>
      </c>
      <c r="Q74">
        <v>1586</v>
      </c>
      <c r="R74" t="s">
        <v>645</v>
      </c>
      <c r="Y74" s="308"/>
      <c r="Z74" s="312"/>
    </row>
    <row r="75" spans="1:26" ht="12.75">
      <c r="A75" s="5">
        <v>1586</v>
      </c>
      <c r="B75" s="6" t="str">
        <f t="shared" si="2"/>
        <v>RSVA - Connection Charges</v>
      </c>
      <c r="D75" s="7">
        <v>-95162.72</v>
      </c>
      <c r="E75" s="318"/>
      <c r="F75" s="7">
        <v>26467.01</v>
      </c>
      <c r="H75" s="7">
        <v>10076.1</v>
      </c>
      <c r="J75" s="340">
        <v>-125835.69487844408</v>
      </c>
      <c r="K75" s="400"/>
      <c r="L75" s="340">
        <v>-275995.3614533844</v>
      </c>
      <c r="Q75">
        <v>1588</v>
      </c>
      <c r="R75" t="s">
        <v>646</v>
      </c>
      <c r="Y75" s="308"/>
      <c r="Z75" s="312"/>
    </row>
    <row r="76" spans="1:26" ht="12.75">
      <c r="A76" s="5">
        <v>1588</v>
      </c>
      <c r="B76" s="6" t="str">
        <f t="shared" si="2"/>
        <v>RSVA - Commodity (Power)</v>
      </c>
      <c r="D76" s="7">
        <v>2726907.77</v>
      </c>
      <c r="E76" s="318"/>
      <c r="F76" s="7">
        <v>3010032.94</v>
      </c>
      <c r="H76" s="7">
        <v>3750470.87</v>
      </c>
      <c r="J76" s="340">
        <v>2321003.5983787496</v>
      </c>
      <c r="K76" s="400"/>
      <c r="L76" s="340">
        <v>346699.2900854166</v>
      </c>
      <c r="Q76">
        <v>1590</v>
      </c>
      <c r="R76" t="s">
        <v>820</v>
      </c>
      <c r="Y76" s="308"/>
      <c r="Z76" s="312"/>
    </row>
    <row r="77" spans="1:26" ht="12.75">
      <c r="A77" s="5">
        <v>1590</v>
      </c>
      <c r="B77" s="6" t="str">
        <f t="shared" si="2"/>
        <v>Recovery of Regulatory Assets (25% of 2002 bal.)</v>
      </c>
      <c r="D77" s="7">
        <v>962617.15</v>
      </c>
      <c r="E77" s="318"/>
      <c r="F77" s="7">
        <v>332188.61</v>
      </c>
      <c r="H77" s="7">
        <v>9356.13</v>
      </c>
      <c r="J77" s="340">
        <v>40022.7300000001</v>
      </c>
      <c r="K77" s="400"/>
      <c r="L77" s="340">
        <v>0</v>
      </c>
      <c r="Q77">
        <v>1592</v>
      </c>
      <c r="R77" t="s">
        <v>134</v>
      </c>
      <c r="Y77" s="308"/>
      <c r="Z77" s="312"/>
    </row>
    <row r="78" spans="1:26" ht="12.75">
      <c r="A78" s="5">
        <v>1592</v>
      </c>
      <c r="B78" s="6" t="str">
        <f t="shared" si="2"/>
        <v>PILs and Tax Variance for 2006 &amp; Subsequent Years</v>
      </c>
      <c r="D78" s="7"/>
      <c r="E78" s="318"/>
      <c r="F78" s="7"/>
      <c r="H78" s="7"/>
      <c r="J78" s="340">
        <v>-93.77692916666666</v>
      </c>
      <c r="K78" s="400"/>
      <c r="L78" s="340">
        <v>-187.975975</v>
      </c>
      <c r="Q78">
        <v>1805</v>
      </c>
      <c r="R78" t="s">
        <v>548</v>
      </c>
      <c r="Y78" s="308"/>
      <c r="Z78" s="312"/>
    </row>
    <row r="79" spans="1:26" ht="12.75">
      <c r="A79" s="5"/>
      <c r="B79" s="315" t="s">
        <v>110</v>
      </c>
      <c r="D79" s="319"/>
      <c r="E79" s="319"/>
      <c r="F79" s="319"/>
      <c r="G79" s="5"/>
      <c r="H79" s="5"/>
      <c r="I79" s="5"/>
      <c r="J79" s="391"/>
      <c r="K79" s="400"/>
      <c r="L79" s="391"/>
      <c r="Q79">
        <v>1806</v>
      </c>
      <c r="R79" t="s">
        <v>549</v>
      </c>
      <c r="Y79" s="308"/>
      <c r="Z79" s="312"/>
    </row>
    <row r="80" spans="1:26" ht="12.75">
      <c r="A80" s="5">
        <v>1805</v>
      </c>
      <c r="B80" s="6" t="str">
        <f aca="true" t="shared" si="3" ref="B80:B114">VLOOKUP(A80,Q$11:U$383,2)</f>
        <v>Land</v>
      </c>
      <c r="D80" s="292">
        <f>'FA Continuity 2006'!G10</f>
        <v>311178.69</v>
      </c>
      <c r="E80" s="318"/>
      <c r="F80" s="292">
        <f>'FA Continuity 2007'!G10</f>
        <v>311178.69</v>
      </c>
      <c r="H80" s="292">
        <f>'FA Continuity 2008'!G10</f>
        <v>312176.47000000003</v>
      </c>
      <c r="J80" s="401">
        <f>'FA Continuity 2009'!G10</f>
        <v>371194.54000000004</v>
      </c>
      <c r="K80" s="400"/>
      <c r="L80" s="401">
        <f>'FA Continuity 2010'!G10</f>
        <v>371194.54000000004</v>
      </c>
      <c r="Q80">
        <v>1808</v>
      </c>
      <c r="R80" t="s">
        <v>647</v>
      </c>
      <c r="Y80" s="308"/>
      <c r="Z80" s="312"/>
    </row>
    <row r="81" spans="1:26" ht="12.75">
      <c r="A81" s="5">
        <v>1806</v>
      </c>
      <c r="B81" s="6" t="str">
        <f t="shared" si="3"/>
        <v>Land Rights</v>
      </c>
      <c r="D81" s="292">
        <f>'FA Continuity 2006'!G11</f>
        <v>0</v>
      </c>
      <c r="E81" s="318"/>
      <c r="F81" s="292">
        <f>'FA Continuity 2007'!G11</f>
        <v>0</v>
      </c>
      <c r="H81" s="292">
        <f>'FA Continuity 2008'!G11</f>
        <v>0</v>
      </c>
      <c r="J81" s="401">
        <f>'FA Continuity 2009'!G11</f>
        <v>0</v>
      </c>
      <c r="K81" s="400"/>
      <c r="L81" s="401">
        <f>'FA Continuity 2010'!G11</f>
        <v>0</v>
      </c>
      <c r="Q81">
        <v>1810</v>
      </c>
      <c r="R81" t="s">
        <v>546</v>
      </c>
      <c r="Y81" s="308"/>
      <c r="Z81" s="312"/>
    </row>
    <row r="82" spans="1:26" ht="12.75">
      <c r="A82" s="5">
        <v>1808</v>
      </c>
      <c r="B82" s="6" t="str">
        <f t="shared" si="3"/>
        <v>Buildings and Fixtures</v>
      </c>
      <c r="D82" s="292">
        <f>'FA Continuity 2006'!G12</f>
        <v>767945.81</v>
      </c>
      <c r="E82" s="318"/>
      <c r="F82" s="292">
        <f>'FA Continuity 2007'!G12</f>
        <v>767945.81</v>
      </c>
      <c r="H82" s="292">
        <f>'FA Continuity 2008'!G12</f>
        <v>769640.81</v>
      </c>
      <c r="J82" s="401">
        <f>'FA Continuity 2009'!G12</f>
        <v>769640.81</v>
      </c>
      <c r="K82" s="400"/>
      <c r="L82" s="401">
        <f>'FA Continuity 2010'!G12</f>
        <v>769640.81</v>
      </c>
      <c r="Q82">
        <v>1815</v>
      </c>
      <c r="R82" t="s">
        <v>891</v>
      </c>
      <c r="Y82" s="308"/>
      <c r="Z82" s="312"/>
    </row>
    <row r="83" spans="1:26" ht="12.75">
      <c r="A83" s="5">
        <v>1810</v>
      </c>
      <c r="B83" s="6" t="str">
        <f t="shared" si="3"/>
        <v>Leasehold Improvements</v>
      </c>
      <c r="D83" s="292">
        <f>'FA Continuity 2006'!G13</f>
        <v>0</v>
      </c>
      <c r="E83" s="318"/>
      <c r="F83" s="292">
        <f>'FA Continuity 2007'!G13</f>
        <v>0</v>
      </c>
      <c r="H83" s="292">
        <f>'FA Continuity 2008'!G13</f>
        <v>0</v>
      </c>
      <c r="J83" s="401">
        <f>'FA Continuity 2009'!G13</f>
        <v>0</v>
      </c>
      <c r="K83" s="400"/>
      <c r="L83" s="401">
        <f>'FA Continuity 2010'!G13</f>
        <v>0</v>
      </c>
      <c r="Q83">
        <v>1820</v>
      </c>
      <c r="R83" t="s">
        <v>892</v>
      </c>
      <c r="Y83" s="308"/>
      <c r="Z83" s="312"/>
    </row>
    <row r="84" spans="1:26" ht="12.75">
      <c r="A84" s="5">
        <v>1815</v>
      </c>
      <c r="B84" s="6" t="str">
        <f>VLOOKUP(A84,Q$11:U$383,2)</f>
        <v>Transformer Station Equipment -  &gt; 50 kV</v>
      </c>
      <c r="D84" s="292">
        <f>'FA Continuity 2006'!G14</f>
        <v>0</v>
      </c>
      <c r="E84" s="318"/>
      <c r="F84" s="292">
        <f>'FA Continuity 2007'!G14</f>
        <v>0</v>
      </c>
      <c r="H84" s="292">
        <f>'FA Continuity 2008'!G14</f>
        <v>0</v>
      </c>
      <c r="J84" s="401">
        <f>'FA Continuity 2009'!G14</f>
        <v>0</v>
      </c>
      <c r="K84" s="400"/>
      <c r="L84" s="401">
        <f>'FA Continuity 2010'!G14</f>
        <v>0</v>
      </c>
      <c r="Q84">
        <v>1825</v>
      </c>
      <c r="R84" t="s">
        <v>226</v>
      </c>
      <c r="Y84" s="308"/>
      <c r="Z84" s="312"/>
    </row>
    <row r="85" spans="1:26" ht="12.75">
      <c r="A85" s="5">
        <v>1820</v>
      </c>
      <c r="B85" s="6" t="str">
        <f t="shared" si="3"/>
        <v>Distribution Station Equipment - &lt; 50 kV</v>
      </c>
      <c r="D85" s="292">
        <f>'FA Continuity 2006'!G15</f>
        <v>7671375.09</v>
      </c>
      <c r="E85" s="318"/>
      <c r="F85" s="292">
        <f>'FA Continuity 2007'!G15</f>
        <v>7690408.8</v>
      </c>
      <c r="H85" s="292">
        <f>'FA Continuity 2008'!G15</f>
        <v>7922982.149999999</v>
      </c>
      <c r="J85" s="401">
        <f>'FA Continuity 2009'!G15</f>
        <v>9323770.78279602</v>
      </c>
      <c r="K85" s="400"/>
      <c r="L85" s="401">
        <f>'FA Continuity 2010'!G15</f>
        <v>9655552.678328903</v>
      </c>
      <c r="Q85">
        <v>1830</v>
      </c>
      <c r="R85" t="s">
        <v>648</v>
      </c>
      <c r="Y85" s="308"/>
      <c r="Z85" s="312"/>
    </row>
    <row r="86" spans="1:26" ht="12.75">
      <c r="A86" s="5">
        <v>1825</v>
      </c>
      <c r="B86" s="6" t="str">
        <f t="shared" si="3"/>
        <v>Storage Battery Equipment</v>
      </c>
      <c r="D86" s="292">
        <f>'FA Continuity 2006'!G16</f>
        <v>0</v>
      </c>
      <c r="E86" s="318"/>
      <c r="F86" s="292">
        <f>'FA Continuity 2007'!G16</f>
        <v>0</v>
      </c>
      <c r="H86" s="292">
        <f>'FA Continuity 2008'!G16</f>
        <v>0</v>
      </c>
      <c r="J86" s="401">
        <f>'FA Continuity 2009'!G16</f>
        <v>0</v>
      </c>
      <c r="K86" s="400"/>
      <c r="L86" s="401">
        <f>'FA Continuity 2010'!G16</f>
        <v>0</v>
      </c>
      <c r="Q86">
        <v>1835</v>
      </c>
      <c r="R86" t="s">
        <v>649</v>
      </c>
      <c r="Y86" s="308"/>
      <c r="Z86" s="312"/>
    </row>
    <row r="87" spans="1:26" ht="12.75">
      <c r="A87" s="5">
        <v>1830</v>
      </c>
      <c r="B87" s="6" t="str">
        <f t="shared" si="3"/>
        <v>Poles, Towers and Fixtures</v>
      </c>
      <c r="D87" s="292">
        <f>'FA Continuity 2006'!G17</f>
        <v>14290708.61</v>
      </c>
      <c r="E87" s="318"/>
      <c r="F87" s="292">
        <f>'FA Continuity 2007'!G17</f>
        <v>14803031.7</v>
      </c>
      <c r="H87" s="292">
        <f>'FA Continuity 2008'!G17</f>
        <v>15948603.809999999</v>
      </c>
      <c r="J87" s="401">
        <f>'FA Continuity 2009'!G17</f>
        <v>17412767.15761844</v>
      </c>
      <c r="K87" s="400"/>
      <c r="L87" s="401">
        <f>'FA Continuity 2010'!G17</f>
        <v>18499190.37194004</v>
      </c>
      <c r="M87" s="365"/>
      <c r="N87" s="310"/>
      <c r="Q87">
        <v>1840</v>
      </c>
      <c r="R87" t="s">
        <v>650</v>
      </c>
      <c r="Y87" s="308"/>
      <c r="Z87" s="312"/>
    </row>
    <row r="88" spans="1:26" ht="12.75">
      <c r="A88" s="5">
        <v>1835</v>
      </c>
      <c r="B88" s="6" t="str">
        <f t="shared" si="3"/>
        <v>Overhead Conductors and Devices</v>
      </c>
      <c r="D88" s="292">
        <f>'FA Continuity 2006'!G18</f>
        <v>11328699.99</v>
      </c>
      <c r="E88" s="318"/>
      <c r="F88" s="292">
        <f>'FA Continuity 2007'!G18</f>
        <v>11893136.290000001</v>
      </c>
      <c r="H88" s="292">
        <f>'FA Continuity 2008'!G18</f>
        <v>12672714.110000001</v>
      </c>
      <c r="J88" s="401">
        <f>'FA Continuity 2009'!G18</f>
        <v>13832029.262533123</v>
      </c>
      <c r="K88" s="400"/>
      <c r="L88" s="401">
        <f>'FA Continuity 2010'!G18</f>
        <v>14633157.090548294</v>
      </c>
      <c r="Q88">
        <v>1845</v>
      </c>
      <c r="R88" t="s">
        <v>651</v>
      </c>
      <c r="Y88" s="308"/>
      <c r="Z88" s="312"/>
    </row>
    <row r="89" spans="1:26" ht="12.75">
      <c r="A89" s="5">
        <v>1840</v>
      </c>
      <c r="B89" s="6" t="str">
        <f t="shared" si="3"/>
        <v>Underground Conduit</v>
      </c>
      <c r="D89" s="292">
        <f>'FA Continuity 2006'!G19</f>
        <v>292033.18</v>
      </c>
      <c r="E89" s="318"/>
      <c r="F89" s="292">
        <f>'FA Continuity 2007'!G19</f>
        <v>330585.81</v>
      </c>
      <c r="H89" s="292">
        <f>'FA Continuity 2008'!G19</f>
        <v>387944.44</v>
      </c>
      <c r="J89" s="401">
        <f>'FA Continuity 2009'!G19</f>
        <v>1022701.027219313</v>
      </c>
      <c r="K89" s="400"/>
      <c r="L89" s="401">
        <f>'FA Continuity 2010'!G19</f>
        <v>1737894.639386257</v>
      </c>
      <c r="Q89">
        <v>1850</v>
      </c>
      <c r="R89" t="s">
        <v>547</v>
      </c>
      <c r="Y89" s="308"/>
      <c r="Z89" s="312"/>
    </row>
    <row r="90" spans="1:26" ht="12.75">
      <c r="A90" s="5">
        <v>1845</v>
      </c>
      <c r="B90" s="6" t="str">
        <f t="shared" si="3"/>
        <v>Underground Conductors and Devices</v>
      </c>
      <c r="D90" s="292">
        <f>'FA Continuity 2006'!G20</f>
        <v>5565882.98</v>
      </c>
      <c r="E90" s="318"/>
      <c r="F90" s="292">
        <f>'FA Continuity 2007'!G20</f>
        <v>5755349.61</v>
      </c>
      <c r="H90" s="292">
        <f>'FA Continuity 2008'!G20</f>
        <v>5984831.010000001</v>
      </c>
      <c r="J90" s="401">
        <f>'FA Continuity 2009'!G20</f>
        <v>6396741.643601825</v>
      </c>
      <c r="K90" s="400"/>
      <c r="L90" s="401">
        <f>'FA Continuity 2010'!G20</f>
        <v>6894149.101498551</v>
      </c>
      <c r="Q90">
        <v>1855</v>
      </c>
      <c r="R90" t="s">
        <v>575</v>
      </c>
      <c r="Y90" s="308"/>
      <c r="Z90" s="312"/>
    </row>
    <row r="91" spans="1:26" ht="12.75">
      <c r="A91" s="5">
        <v>1850</v>
      </c>
      <c r="B91" s="6" t="str">
        <f t="shared" si="3"/>
        <v>Line Transformers</v>
      </c>
      <c r="D91" s="292">
        <f>'FA Continuity 2006'!G21</f>
        <v>12482404</v>
      </c>
      <c r="E91" s="318"/>
      <c r="F91" s="292">
        <f>'FA Continuity 2007'!G21</f>
        <v>12750217.76</v>
      </c>
      <c r="H91" s="292">
        <f>'FA Continuity 2008'!G21</f>
        <v>13293535.67</v>
      </c>
      <c r="J91" s="401">
        <f>'FA Continuity 2009'!G21</f>
        <v>14385884.06</v>
      </c>
      <c r="K91" s="400"/>
      <c r="L91" s="401">
        <f>'FA Continuity 2010'!G21</f>
        <v>15852284.600000001</v>
      </c>
      <c r="Q91">
        <v>1860</v>
      </c>
      <c r="R91" t="s">
        <v>576</v>
      </c>
      <c r="Y91" s="308"/>
      <c r="Z91" s="312"/>
    </row>
    <row r="92" spans="1:26" ht="12.75">
      <c r="A92" s="5">
        <v>1855</v>
      </c>
      <c r="B92" s="6" t="str">
        <f t="shared" si="3"/>
        <v>Services</v>
      </c>
      <c r="D92" s="292">
        <f>'FA Continuity 2006'!G22</f>
        <v>8437243.85</v>
      </c>
      <c r="E92" s="318"/>
      <c r="F92" s="292">
        <f>'FA Continuity 2007'!G22</f>
        <v>8948078.2</v>
      </c>
      <c r="H92" s="292">
        <f>'FA Continuity 2008'!G22</f>
        <v>9999790.67</v>
      </c>
      <c r="J92" s="401">
        <f>'FA Continuity 2009'!G22</f>
        <v>12219816.21</v>
      </c>
      <c r="K92" s="400"/>
      <c r="L92" s="401">
        <f>'FA Continuity 2010'!G22</f>
        <v>15192963.940000001</v>
      </c>
      <c r="Q92">
        <v>1865</v>
      </c>
      <c r="R92" t="s">
        <v>652</v>
      </c>
      <c r="Y92" s="308"/>
      <c r="Z92" s="312"/>
    </row>
    <row r="93" spans="1:26" ht="12.75">
      <c r="A93" s="5">
        <v>1860</v>
      </c>
      <c r="B93" s="6" t="str">
        <f t="shared" si="3"/>
        <v>Meters</v>
      </c>
      <c r="D93" s="292">
        <f>'FA Continuity 2006'!G23</f>
        <v>3427133.0799999996</v>
      </c>
      <c r="E93" s="318"/>
      <c r="F93" s="292">
        <f>'FA Continuity 2007'!G23</f>
        <v>3475727.8499999996</v>
      </c>
      <c r="H93" s="292">
        <f>'FA Continuity 2008'!G23</f>
        <v>3528355.9899999998</v>
      </c>
      <c r="J93" s="401">
        <f>'FA Continuity 2009'!G23</f>
        <v>3605159.672424353</v>
      </c>
      <c r="K93" s="400"/>
      <c r="L93" s="401">
        <f>'FA Continuity 2010'!G23</f>
        <v>3823170.1478058244</v>
      </c>
      <c r="Q93">
        <v>1870</v>
      </c>
      <c r="R93" t="s">
        <v>653</v>
      </c>
      <c r="Y93" s="308"/>
      <c r="Z93" s="312"/>
    </row>
    <row r="94" spans="1:26" ht="12.75">
      <c r="A94" s="5">
        <v>1865</v>
      </c>
      <c r="B94" s="6" t="str">
        <f t="shared" si="3"/>
        <v>Other Installations on Customer's Premises</v>
      </c>
      <c r="D94" s="292">
        <f>'FA Continuity 2006'!G24</f>
        <v>0</v>
      </c>
      <c r="E94" s="318"/>
      <c r="F94" s="292">
        <f>'FA Continuity 2007'!G24</f>
        <v>0</v>
      </c>
      <c r="H94" s="292">
        <f>'FA Continuity 2008'!G24</f>
        <v>0</v>
      </c>
      <c r="J94" s="401">
        <f>'FA Continuity 2009'!G24</f>
        <v>0</v>
      </c>
      <c r="K94" s="400"/>
      <c r="L94" s="401">
        <f>'FA Continuity 2010'!G24</f>
        <v>0</v>
      </c>
      <c r="Q94">
        <v>1875</v>
      </c>
      <c r="R94" t="s">
        <v>654</v>
      </c>
      <c r="Y94" s="308"/>
      <c r="Z94" s="312"/>
    </row>
    <row r="95" spans="1:26" ht="12.75">
      <c r="A95" s="5">
        <v>1905</v>
      </c>
      <c r="B95" s="6" t="str">
        <f t="shared" si="3"/>
        <v>Land</v>
      </c>
      <c r="D95" s="292">
        <f>'FA Continuity 2006'!G25</f>
        <v>86550.51</v>
      </c>
      <c r="E95" s="318"/>
      <c r="F95" s="292">
        <f>'FA Continuity 2007'!G25</f>
        <v>86550.51</v>
      </c>
      <c r="H95" s="292">
        <f>'FA Continuity 2008'!G25</f>
        <v>86550.51</v>
      </c>
      <c r="J95" s="401">
        <f>+'FA Continuity 2009'!G27</f>
        <v>86550.51</v>
      </c>
      <c r="K95" s="400"/>
      <c r="L95" s="401">
        <f>+'FA Continuity 2010'!G27</f>
        <v>86550.51</v>
      </c>
      <c r="Q95">
        <v>1905</v>
      </c>
      <c r="R95" t="s">
        <v>548</v>
      </c>
      <c r="Y95" s="308"/>
      <c r="Z95" s="312"/>
    </row>
    <row r="96" spans="1:26" ht="12.75">
      <c r="A96" s="5">
        <v>1906</v>
      </c>
      <c r="B96" s="6" t="str">
        <f t="shared" si="3"/>
        <v>Land Rights</v>
      </c>
      <c r="D96" s="292">
        <f>'FA Continuity 2006'!G26</f>
        <v>0</v>
      </c>
      <c r="E96" s="318"/>
      <c r="F96" s="292">
        <f>'FA Continuity 2007'!G26</f>
        <v>0</v>
      </c>
      <c r="H96" s="292">
        <f>'FA Continuity 2008'!G26</f>
        <v>0</v>
      </c>
      <c r="J96" s="401">
        <f>+'FA Continuity 2009'!G28</f>
        <v>0</v>
      </c>
      <c r="K96" s="400"/>
      <c r="L96" s="401">
        <f>+'FA Continuity 2010'!G28</f>
        <v>0</v>
      </c>
      <c r="Q96">
        <v>1906</v>
      </c>
      <c r="R96" t="s">
        <v>549</v>
      </c>
      <c r="Y96" s="308"/>
      <c r="Z96" s="312"/>
    </row>
    <row r="97" spans="1:26" ht="12.75">
      <c r="A97" s="5">
        <v>1908</v>
      </c>
      <c r="B97" s="6" t="str">
        <f t="shared" si="3"/>
        <v>Buildings and Fixtures</v>
      </c>
      <c r="D97" s="292">
        <f>'FA Continuity 2006'!G27</f>
        <v>1564994.12</v>
      </c>
      <c r="E97" s="318"/>
      <c r="F97" s="292">
        <f>'FA Continuity 2007'!G27</f>
        <v>1578727.6</v>
      </c>
      <c r="H97" s="292">
        <f>'FA Continuity 2008'!G27</f>
        <v>1888764.73</v>
      </c>
      <c r="J97" s="401">
        <f>+'FA Continuity 2009'!G29</f>
        <v>2017636.925753811</v>
      </c>
      <c r="K97" s="400"/>
      <c r="L97" s="401">
        <f>+'FA Continuity 2010'!G29</f>
        <v>2049915.5120962071</v>
      </c>
      <c r="Q97">
        <v>1908</v>
      </c>
      <c r="R97" t="s">
        <v>647</v>
      </c>
      <c r="Y97" s="308"/>
      <c r="Z97" s="312"/>
    </row>
    <row r="98" spans="1:26" ht="12.75">
      <c r="A98" s="5">
        <v>1910</v>
      </c>
      <c r="B98" s="6" t="str">
        <f t="shared" si="3"/>
        <v>Leasehold Improvements</v>
      </c>
      <c r="D98" s="292">
        <f>'FA Continuity 2006'!G28</f>
        <v>0</v>
      </c>
      <c r="E98" s="318"/>
      <c r="F98" s="292">
        <f>'FA Continuity 2007'!G28</f>
        <v>0</v>
      </c>
      <c r="H98" s="292">
        <f>'FA Continuity 2008'!G28</f>
        <v>0</v>
      </c>
      <c r="J98" s="401">
        <f>+'FA Continuity 2009'!G30</f>
        <v>0</v>
      </c>
      <c r="K98" s="400"/>
      <c r="L98" s="401">
        <f>+'FA Continuity 2010'!G30</f>
        <v>0</v>
      </c>
      <c r="Q98">
        <v>1910</v>
      </c>
      <c r="R98" t="s">
        <v>546</v>
      </c>
      <c r="Y98" s="308"/>
      <c r="Z98" s="312"/>
    </row>
    <row r="99" spans="1:26" ht="12.75">
      <c r="A99" s="5">
        <v>1915</v>
      </c>
      <c r="B99" s="6" t="str">
        <f t="shared" si="3"/>
        <v>Office Furniture and Equipment</v>
      </c>
      <c r="D99" s="292">
        <f>'FA Continuity 2006'!G29</f>
        <v>277235.01999999996</v>
      </c>
      <c r="E99" s="318"/>
      <c r="F99" s="292">
        <f>'FA Continuity 2007'!G29</f>
        <v>295747.1</v>
      </c>
      <c r="H99" s="292">
        <f>'FA Continuity 2008'!G29</f>
        <v>310685.81</v>
      </c>
      <c r="J99" s="401">
        <f>+'FA Continuity 2009'!G31</f>
        <v>315440.7311400948</v>
      </c>
      <c r="K99" s="400"/>
      <c r="L99" s="401">
        <f>+'FA Continuity 2010'!G31</f>
        <v>340725.6237749718</v>
      </c>
      <c r="Q99">
        <v>1915</v>
      </c>
      <c r="R99" t="s">
        <v>655</v>
      </c>
      <c r="Y99" s="308"/>
      <c r="Z99" s="312"/>
    </row>
    <row r="100" spans="1:26" ht="12.75">
      <c r="A100" s="5">
        <v>1920</v>
      </c>
      <c r="B100" s="6" t="str">
        <f t="shared" si="3"/>
        <v>Computer Equipment - Hardware</v>
      </c>
      <c r="D100" s="292">
        <f>'FA Continuity 2006'!G30</f>
        <v>509168.57999999996</v>
      </c>
      <c r="E100" s="318"/>
      <c r="F100" s="292">
        <f>'FA Continuity 2007'!G30</f>
        <v>524331.61</v>
      </c>
      <c r="H100" s="292">
        <f>'FA Continuity 2008'!G30</f>
        <v>572148.62</v>
      </c>
      <c r="J100" s="401">
        <f>+'FA Continuity 2009'!G32</f>
        <v>591579.130754726</v>
      </c>
      <c r="K100" s="400"/>
      <c r="L100" s="401">
        <f>+'FA Continuity 2010'!G32</f>
        <v>618047.5715554908</v>
      </c>
      <c r="Q100">
        <v>1920</v>
      </c>
      <c r="R100" t="s">
        <v>656</v>
      </c>
      <c r="Y100" s="308"/>
      <c r="Z100" s="312"/>
    </row>
    <row r="101" spans="1:26" ht="12.75">
      <c r="A101" s="5">
        <v>1925</v>
      </c>
      <c r="B101" s="6" t="str">
        <f t="shared" si="3"/>
        <v>Computer Software</v>
      </c>
      <c r="D101" s="292">
        <f>'FA Continuity 2006'!G31</f>
        <v>807891.51</v>
      </c>
      <c r="E101" s="318"/>
      <c r="F101" s="292">
        <f>'FA Continuity 2007'!G31</f>
        <v>854898.81</v>
      </c>
      <c r="H101" s="292">
        <f>'FA Continuity 2008'!G31</f>
        <v>876576.0900000001</v>
      </c>
      <c r="J101" s="401">
        <f>+'FA Continuity 2009'!G33</f>
        <v>907368.6796703669</v>
      </c>
      <c r="K101" s="400"/>
      <c r="L101" s="401">
        <f>+'FA Continuity 2010'!G33</f>
        <v>1069837.5642604276</v>
      </c>
      <c r="Q101">
        <v>1925</v>
      </c>
      <c r="R101" t="s">
        <v>539</v>
      </c>
      <c r="Y101" s="308"/>
      <c r="Z101" s="312"/>
    </row>
    <row r="102" spans="1:26" ht="12.75">
      <c r="A102" s="5">
        <v>1930</v>
      </c>
      <c r="B102" s="6" t="str">
        <f t="shared" si="3"/>
        <v>Transportation Equipment</v>
      </c>
      <c r="D102" s="292">
        <f>'FA Continuity 2006'!G32</f>
        <v>1762436.8399999999</v>
      </c>
      <c r="E102" s="318"/>
      <c r="F102" s="292">
        <f>'FA Continuity 2007'!G32</f>
        <v>1830483.46</v>
      </c>
      <c r="H102" s="292">
        <f>'FA Continuity 2008'!G32</f>
        <v>2135325.24</v>
      </c>
      <c r="J102" s="401">
        <f>+'FA Continuity 2009'!G34</f>
        <v>2569335.35</v>
      </c>
      <c r="K102" s="400"/>
      <c r="L102" s="401">
        <f>+'FA Continuity 2010'!G34</f>
        <v>2620335.35</v>
      </c>
      <c r="Q102">
        <v>1930</v>
      </c>
      <c r="R102" t="s">
        <v>550</v>
      </c>
      <c r="Y102" s="308"/>
      <c r="Z102" s="312"/>
    </row>
    <row r="103" spans="1:26" ht="12.75">
      <c r="A103" s="5">
        <v>1935</v>
      </c>
      <c r="B103" s="6" t="str">
        <f t="shared" si="3"/>
        <v>Stores Equipment</v>
      </c>
      <c r="D103" s="292">
        <f>'FA Continuity 2006'!G33</f>
        <v>75195.87</v>
      </c>
      <c r="E103" s="318"/>
      <c r="F103" s="292">
        <f>'FA Continuity 2007'!G33</f>
        <v>75195.87</v>
      </c>
      <c r="H103" s="292">
        <f>'FA Continuity 2008'!G33</f>
        <v>75195.87</v>
      </c>
      <c r="J103" s="401">
        <f>+'FA Continuity 2009'!G35</f>
        <v>75195.87</v>
      </c>
      <c r="K103" s="400"/>
      <c r="L103" s="401">
        <f>+'FA Continuity 2010'!G35</f>
        <v>75195.87</v>
      </c>
      <c r="Q103">
        <v>1935</v>
      </c>
      <c r="R103" t="s">
        <v>551</v>
      </c>
      <c r="Y103" s="308"/>
      <c r="Z103" s="312"/>
    </row>
    <row r="104" spans="1:26" ht="12.75">
      <c r="A104" s="5">
        <v>1940</v>
      </c>
      <c r="B104" s="6" t="str">
        <f t="shared" si="3"/>
        <v>Tools, Shop and Garage Equipment</v>
      </c>
      <c r="D104" s="292">
        <f>'FA Continuity 2006'!G34</f>
        <v>984180.5</v>
      </c>
      <c r="E104" s="318"/>
      <c r="F104" s="292">
        <f>'FA Continuity 2007'!G34</f>
        <v>1011833.1</v>
      </c>
      <c r="H104" s="292">
        <f>'FA Continuity 2008'!G34</f>
        <v>1082849.96</v>
      </c>
      <c r="J104" s="401">
        <f>+'FA Continuity 2009'!G36</f>
        <v>1136361.103549119</v>
      </c>
      <c r="K104" s="400"/>
      <c r="L104" s="401">
        <f>+'FA Continuity 2010'!G36</f>
        <v>1196076.488282552</v>
      </c>
      <c r="Q104">
        <v>1940</v>
      </c>
      <c r="R104" t="s">
        <v>657</v>
      </c>
      <c r="Y104" s="308"/>
      <c r="Z104" s="312"/>
    </row>
    <row r="105" spans="1:26" ht="12.75">
      <c r="A105" s="5">
        <v>1945</v>
      </c>
      <c r="B105" s="6" t="str">
        <f t="shared" si="3"/>
        <v>Measurement and Testing Equipment</v>
      </c>
      <c r="D105" s="292">
        <f>'FA Continuity 2006'!G35</f>
        <v>0</v>
      </c>
      <c r="E105" s="318"/>
      <c r="F105" s="292">
        <f>'FA Continuity 2007'!G35</f>
        <v>0</v>
      </c>
      <c r="H105" s="292">
        <f>'FA Continuity 2008'!G35</f>
        <v>0</v>
      </c>
      <c r="J105" s="401">
        <f>+'FA Continuity 2009'!G37</f>
        <v>0</v>
      </c>
      <c r="K105" s="400"/>
      <c r="L105" s="401">
        <f>+'FA Continuity 2010'!G37</f>
        <v>0</v>
      </c>
      <c r="Q105">
        <v>1945</v>
      </c>
      <c r="R105" t="s">
        <v>658</v>
      </c>
      <c r="Y105" s="308"/>
      <c r="Z105" s="312"/>
    </row>
    <row r="106" spans="1:26" ht="12.75">
      <c r="A106" s="5">
        <v>1950</v>
      </c>
      <c r="B106" s="6" t="str">
        <f t="shared" si="3"/>
        <v>Power Operated Equipment</v>
      </c>
      <c r="D106" s="292">
        <f>'FA Continuity 2006'!G36</f>
        <v>0</v>
      </c>
      <c r="E106" s="318"/>
      <c r="F106" s="292">
        <f>'FA Continuity 2007'!G36</f>
        <v>0</v>
      </c>
      <c r="H106" s="292">
        <f>'FA Continuity 2008'!G36</f>
        <v>0</v>
      </c>
      <c r="J106" s="401">
        <f>+'FA Continuity 2009'!G38</f>
        <v>0</v>
      </c>
      <c r="K106" s="400"/>
      <c r="L106" s="401">
        <f>+'FA Continuity 2010'!G38</f>
        <v>0</v>
      </c>
      <c r="Q106">
        <v>1950</v>
      </c>
      <c r="R106" t="s">
        <v>659</v>
      </c>
      <c r="Y106" s="308"/>
      <c r="Z106" s="312"/>
    </row>
    <row r="107" spans="1:26" ht="12.75">
      <c r="A107" s="5">
        <v>1955</v>
      </c>
      <c r="B107" s="6" t="str">
        <f t="shared" si="3"/>
        <v>Communication Equipment</v>
      </c>
      <c r="D107" s="292">
        <f>'FA Continuity 2006'!G37</f>
        <v>84242.26000000001</v>
      </c>
      <c r="E107" s="318"/>
      <c r="F107" s="292">
        <f>'FA Continuity 2007'!G37</f>
        <v>84998.24</v>
      </c>
      <c r="H107" s="292">
        <f>'FA Continuity 2008'!G37</f>
        <v>85917.44</v>
      </c>
      <c r="J107" s="401">
        <f>+'FA Continuity 2009'!G39</f>
        <v>85917.44</v>
      </c>
      <c r="K107" s="400"/>
      <c r="L107" s="401">
        <f>+'FA Continuity 2010'!G39</f>
        <v>85917.44</v>
      </c>
      <c r="Q107">
        <v>1955</v>
      </c>
      <c r="R107" t="s">
        <v>660</v>
      </c>
      <c r="Y107" s="308"/>
      <c r="Z107" s="312"/>
    </row>
    <row r="108" spans="1:26" ht="12.75">
      <c r="A108" s="5">
        <v>1960</v>
      </c>
      <c r="B108" s="6" t="str">
        <f t="shared" si="3"/>
        <v>Miscellaneous Equipment</v>
      </c>
      <c r="D108" s="292">
        <f>'FA Continuity 2006'!G38</f>
        <v>12091.68</v>
      </c>
      <c r="E108" s="318"/>
      <c r="F108" s="292">
        <f>'FA Continuity 2007'!G38</f>
        <v>15309</v>
      </c>
      <c r="H108" s="292">
        <f>'FA Continuity 2008'!G38</f>
        <v>18079.15</v>
      </c>
      <c r="J108" s="401">
        <f>+'FA Continuity 2009'!G40</f>
        <v>18079.15</v>
      </c>
      <c r="K108" s="400"/>
      <c r="L108" s="401">
        <f>+'FA Continuity 2010'!G40</f>
        <v>18079.15</v>
      </c>
      <c r="Q108">
        <v>1960</v>
      </c>
      <c r="R108" t="s">
        <v>552</v>
      </c>
      <c r="Y108" s="308"/>
      <c r="Z108" s="312"/>
    </row>
    <row r="109" spans="1:26" ht="12.75">
      <c r="A109" s="5">
        <v>1970</v>
      </c>
      <c r="B109" s="6" t="str">
        <f t="shared" si="3"/>
        <v>Load Management Controls - Customer Premises </v>
      </c>
      <c r="D109" s="292">
        <f>'FA Continuity 2006'!G39</f>
        <v>403930.62</v>
      </c>
      <c r="E109" s="318"/>
      <c r="F109" s="292">
        <f>'FA Continuity 2007'!G39</f>
        <v>403930.62</v>
      </c>
      <c r="H109" s="292">
        <f>'FA Continuity 2008'!G39</f>
        <v>403930.62</v>
      </c>
      <c r="J109" s="401">
        <f>+'FA Continuity 2009'!G41</f>
        <v>403930.62</v>
      </c>
      <c r="K109" s="400"/>
      <c r="L109" s="401">
        <f>+'FA Continuity 2010'!G41</f>
        <v>403930.62</v>
      </c>
      <c r="Q109">
        <v>1970</v>
      </c>
      <c r="R109" t="s">
        <v>661</v>
      </c>
      <c r="Y109" s="308"/>
      <c r="Z109" s="312"/>
    </row>
    <row r="110" spans="1:26" ht="12.75">
      <c r="A110" s="5">
        <v>1975</v>
      </c>
      <c r="B110" s="6" t="str">
        <f t="shared" si="3"/>
        <v>Load Management Controls - Utility Premises</v>
      </c>
      <c r="D110" s="292">
        <f>'FA Continuity 2006'!G40</f>
        <v>165151.45</v>
      </c>
      <c r="E110" s="318"/>
      <c r="F110" s="292">
        <f>'FA Continuity 2007'!G40</f>
        <v>165151.45</v>
      </c>
      <c r="H110" s="292">
        <f>'FA Continuity 2008'!G40</f>
        <v>165151.45</v>
      </c>
      <c r="J110" s="401">
        <f>+'FA Continuity 2009'!G42</f>
        <v>165151.45</v>
      </c>
      <c r="K110" s="400"/>
      <c r="L110" s="401">
        <f>+'FA Continuity 2010'!G42</f>
        <v>165151.45</v>
      </c>
      <c r="Q110">
        <v>1975</v>
      </c>
      <c r="R110" t="s">
        <v>662</v>
      </c>
      <c r="Y110" s="308"/>
      <c r="Z110" s="312"/>
    </row>
    <row r="111" spans="1:26" ht="12.75">
      <c r="A111" s="5">
        <v>1980</v>
      </c>
      <c r="B111" s="6" t="str">
        <f t="shared" si="3"/>
        <v>System Supervisory Equipment</v>
      </c>
      <c r="D111" s="292">
        <f>'FA Continuity 2006'!G41</f>
        <v>1125295.3399999999</v>
      </c>
      <c r="E111" s="318"/>
      <c r="F111" s="292">
        <f>'FA Continuity 2007'!G41</f>
        <v>1136105.16</v>
      </c>
      <c r="H111" s="292">
        <f>'FA Continuity 2008'!G41</f>
        <v>1137718.26</v>
      </c>
      <c r="J111" s="401">
        <f>+'FA Continuity 2009'!G43</f>
        <v>1242249.3512707017</v>
      </c>
      <c r="K111" s="400"/>
      <c r="L111" s="401">
        <f>+'FA Continuity 2010'!G43</f>
        <v>1242249.3512707017</v>
      </c>
      <c r="Q111">
        <v>1980</v>
      </c>
      <c r="R111" t="s">
        <v>553</v>
      </c>
      <c r="Y111" s="308"/>
      <c r="Z111" s="312"/>
    </row>
    <row r="112" spans="1:26" ht="12.75">
      <c r="A112" s="5">
        <v>1985</v>
      </c>
      <c r="B112" s="6" t="str">
        <f t="shared" si="3"/>
        <v>Sentinel Lighting Rentals</v>
      </c>
      <c r="D112" s="292">
        <f>'FA Continuity 2006'!G42</f>
        <v>0</v>
      </c>
      <c r="E112" s="318"/>
      <c r="F112" s="292">
        <f>'FA Continuity 2007'!G42</f>
        <v>0</v>
      </c>
      <c r="H112" s="292">
        <f>'FA Continuity 2008'!G42</f>
        <v>0</v>
      </c>
      <c r="J112" s="401">
        <f>+'FA Continuity 2009'!G44</f>
        <v>0</v>
      </c>
      <c r="K112" s="400"/>
      <c r="L112" s="401">
        <f>+'FA Continuity 2010'!G44</f>
        <v>0</v>
      </c>
      <c r="Q112">
        <v>1985</v>
      </c>
      <c r="R112" t="s">
        <v>663</v>
      </c>
      <c r="Y112" s="308"/>
      <c r="Z112" s="312"/>
    </row>
    <row r="113" spans="1:26" ht="12.75">
      <c r="A113" s="5">
        <v>1990</v>
      </c>
      <c r="B113" s="6" t="str">
        <f t="shared" si="3"/>
        <v>Other Tangible Property</v>
      </c>
      <c r="D113" s="292">
        <f>'FA Continuity 2006'!G43</f>
        <v>59186.01</v>
      </c>
      <c r="E113" s="318"/>
      <c r="F113" s="292">
        <f>'FA Continuity 2007'!G43</f>
        <v>53060.28</v>
      </c>
      <c r="H113" s="292">
        <f>'FA Continuity 2008'!G43</f>
        <v>53060.28</v>
      </c>
      <c r="J113" s="401">
        <f>+'FA Continuity 2009'!G45</f>
        <v>53060.28</v>
      </c>
      <c r="K113" s="400"/>
      <c r="L113" s="401">
        <f>+'FA Continuity 2010'!G45</f>
        <v>53060.28</v>
      </c>
      <c r="Q113">
        <v>1990</v>
      </c>
      <c r="R113" t="s">
        <v>664</v>
      </c>
      <c r="Y113" s="308"/>
      <c r="Z113" s="312"/>
    </row>
    <row r="114" spans="1:26" ht="12.75">
      <c r="A114" s="5">
        <v>1995</v>
      </c>
      <c r="B114" s="6" t="str">
        <f t="shared" si="3"/>
        <v>Contributions and Grants</v>
      </c>
      <c r="D114" s="292">
        <f>'FA Continuity 2006'!G44</f>
        <v>-2808889.76</v>
      </c>
      <c r="E114" s="318"/>
      <c r="F114" s="292">
        <f>'FA Continuity 2007'!G44</f>
        <v>-3815934.6799999997</v>
      </c>
      <c r="H114" s="292">
        <f>'FA Continuity 2008'!G44</f>
        <v>-5267808.15</v>
      </c>
      <c r="J114" s="401">
        <f>+'FA Continuity 2009'!G46</f>
        <v>-6364513.969163562</v>
      </c>
      <c r="K114" s="400"/>
      <c r="L114" s="401">
        <f>+'FA Continuity 2010'!G46</f>
        <v>-6958947.92598612</v>
      </c>
      <c r="Q114">
        <v>1995</v>
      </c>
      <c r="R114" t="s">
        <v>665</v>
      </c>
      <c r="Y114" s="308"/>
      <c r="Z114" s="312"/>
    </row>
    <row r="115" spans="2:26" ht="12.75">
      <c r="B115" s="315" t="s">
        <v>111</v>
      </c>
      <c r="D115" s="318"/>
      <c r="E115" s="318"/>
      <c r="F115" s="318"/>
      <c r="K115" s="400"/>
      <c r="Q115">
        <v>2005</v>
      </c>
      <c r="R115" t="s">
        <v>666</v>
      </c>
      <c r="Y115" s="308"/>
      <c r="Z115" s="312"/>
    </row>
    <row r="116" spans="1:26" ht="12.75">
      <c r="A116" s="5">
        <v>2005</v>
      </c>
      <c r="B116" s="6" t="str">
        <f aca="true" t="shared" si="4" ref="B116:B126">VLOOKUP(A116,Q$11:U$383,2)</f>
        <v>Property Under Capital Leases</v>
      </c>
      <c r="D116" s="7"/>
      <c r="E116" s="318"/>
      <c r="F116" s="7"/>
      <c r="H116" s="7"/>
      <c r="J116" s="340"/>
      <c r="K116" s="400"/>
      <c r="L116" s="340"/>
      <c r="Q116">
        <v>2010</v>
      </c>
      <c r="R116" t="s">
        <v>667</v>
      </c>
      <c r="Y116" s="308"/>
      <c r="Z116" s="312"/>
    </row>
    <row r="117" spans="1:26" ht="12.75">
      <c r="A117" s="5">
        <v>2010</v>
      </c>
      <c r="B117" s="6" t="str">
        <f t="shared" si="4"/>
        <v>Electric Plant Purchased or Sold</v>
      </c>
      <c r="D117" s="7"/>
      <c r="E117" s="318"/>
      <c r="F117" s="7"/>
      <c r="H117" s="7"/>
      <c r="J117" s="340"/>
      <c r="K117" s="400"/>
      <c r="L117" s="340"/>
      <c r="Q117">
        <v>2020</v>
      </c>
      <c r="R117" t="s">
        <v>668</v>
      </c>
      <c r="Y117" s="308"/>
      <c r="Z117" s="312"/>
    </row>
    <row r="118" spans="1:26" ht="12.75">
      <c r="A118" s="5">
        <v>2020</v>
      </c>
      <c r="B118" s="6" t="str">
        <f t="shared" si="4"/>
        <v>Experimental Electric Plant Unclassified</v>
      </c>
      <c r="D118" s="7"/>
      <c r="E118" s="318"/>
      <c r="F118" s="7"/>
      <c r="H118" s="7"/>
      <c r="J118" s="340"/>
      <c r="K118" s="400"/>
      <c r="L118" s="340"/>
      <c r="Q118">
        <v>2030</v>
      </c>
      <c r="R118" t="s">
        <v>669</v>
      </c>
      <c r="Y118" s="308"/>
      <c r="Z118" s="312"/>
    </row>
    <row r="119" spans="1:26" ht="12.75">
      <c r="A119" s="5">
        <v>2030</v>
      </c>
      <c r="B119" s="6" t="str">
        <f t="shared" si="4"/>
        <v>Electric Plant and Equipment Leased to Others</v>
      </c>
      <c r="D119" s="7"/>
      <c r="E119" s="318"/>
      <c r="F119" s="7"/>
      <c r="H119" s="7"/>
      <c r="J119" s="340"/>
      <c r="K119" s="400"/>
      <c r="L119" s="340"/>
      <c r="Q119">
        <v>2040</v>
      </c>
      <c r="R119" t="s">
        <v>670</v>
      </c>
      <c r="Y119" s="308"/>
      <c r="Z119" s="312"/>
    </row>
    <row r="120" spans="1:26" ht="12.75">
      <c r="A120" s="5">
        <v>2040</v>
      </c>
      <c r="B120" s="6" t="str">
        <f t="shared" si="4"/>
        <v>Electric Plant Held for Future Use</v>
      </c>
      <c r="D120" s="7"/>
      <c r="E120" s="318"/>
      <c r="F120" s="7"/>
      <c r="H120" s="7"/>
      <c r="J120" s="340"/>
      <c r="K120" s="400"/>
      <c r="L120" s="340"/>
      <c r="Q120">
        <v>2050</v>
      </c>
      <c r="R120" t="s">
        <v>671</v>
      </c>
      <c r="Y120" s="308"/>
      <c r="Z120" s="312"/>
    </row>
    <row r="121" spans="1:26" ht="12.75">
      <c r="A121" s="5">
        <v>2050</v>
      </c>
      <c r="B121" s="6" t="str">
        <f t="shared" si="4"/>
        <v>Completed Construction Not Classified--Electric</v>
      </c>
      <c r="D121" s="7"/>
      <c r="E121" s="318"/>
      <c r="F121" s="7"/>
      <c r="H121" s="7"/>
      <c r="J121" s="340"/>
      <c r="K121" s="400"/>
      <c r="L121" s="340"/>
      <c r="Q121">
        <v>2055</v>
      </c>
      <c r="R121" t="s">
        <v>672</v>
      </c>
      <c r="Y121" s="308"/>
      <c r="Z121" s="312"/>
    </row>
    <row r="122" spans="1:26" ht="12.75">
      <c r="A122" s="5">
        <v>2055</v>
      </c>
      <c r="B122" s="6" t="str">
        <f t="shared" si="4"/>
        <v>Construction Work in Progress--Electric</v>
      </c>
      <c r="D122" s="7"/>
      <c r="E122" s="318"/>
      <c r="F122" s="7"/>
      <c r="H122" s="7"/>
      <c r="J122" s="340"/>
      <c r="K122" s="400"/>
      <c r="L122" s="340"/>
      <c r="Q122">
        <v>2060</v>
      </c>
      <c r="R122" t="s">
        <v>673</v>
      </c>
      <c r="Y122" s="308"/>
      <c r="Z122" s="312"/>
    </row>
    <row r="123" spans="1:26" ht="12.75">
      <c r="A123" s="5">
        <v>2060</v>
      </c>
      <c r="B123" s="6" t="str">
        <f t="shared" si="4"/>
        <v>Electric Plant Acquisition Adjustment</v>
      </c>
      <c r="D123" s="7"/>
      <c r="E123" s="318"/>
      <c r="F123" s="7"/>
      <c r="H123" s="7"/>
      <c r="J123" s="340"/>
      <c r="K123" s="400"/>
      <c r="L123" s="340"/>
      <c r="Q123">
        <v>2065</v>
      </c>
      <c r="R123" s="310" t="s">
        <v>674</v>
      </c>
      <c r="Y123" s="308"/>
      <c r="Z123" s="312"/>
    </row>
    <row r="124" spans="1:26" ht="12.75">
      <c r="A124" s="5">
        <v>2065</v>
      </c>
      <c r="B124" s="6" t="str">
        <f t="shared" si="4"/>
        <v>Other Electric Plant Adjustment</v>
      </c>
      <c r="D124" s="7"/>
      <c r="E124" s="318"/>
      <c r="F124" s="7"/>
      <c r="H124" s="7"/>
      <c r="J124" s="340"/>
      <c r="K124" s="400"/>
      <c r="L124" s="340"/>
      <c r="Q124">
        <v>2070</v>
      </c>
      <c r="R124" t="s">
        <v>675</v>
      </c>
      <c r="Y124" s="308"/>
      <c r="Z124" s="312"/>
    </row>
    <row r="125" spans="1:26" ht="12.75">
      <c r="A125" s="5">
        <v>2070</v>
      </c>
      <c r="B125" s="6" t="str">
        <f t="shared" si="4"/>
        <v>Other Utility Plant</v>
      </c>
      <c r="D125" s="7"/>
      <c r="E125" s="318"/>
      <c r="F125" s="7"/>
      <c r="H125" s="7"/>
      <c r="J125" s="340"/>
      <c r="K125" s="400"/>
      <c r="L125" s="340"/>
      <c r="Q125">
        <v>2075</v>
      </c>
      <c r="R125" t="s">
        <v>676</v>
      </c>
      <c r="Y125" s="308"/>
      <c r="Z125" s="312"/>
    </row>
    <row r="126" spans="1:26" ht="12.75">
      <c r="A126" s="5">
        <v>2075</v>
      </c>
      <c r="B126" s="6" t="str">
        <f t="shared" si="4"/>
        <v>Non-Utility Property Owned or Under Capital Lease</v>
      </c>
      <c r="D126" s="7"/>
      <c r="E126" s="318"/>
      <c r="F126" s="7"/>
      <c r="H126" s="7"/>
      <c r="J126" s="340"/>
      <c r="K126" s="400"/>
      <c r="L126" s="340"/>
      <c r="Q126">
        <v>2105</v>
      </c>
      <c r="R126" t="s">
        <v>677</v>
      </c>
      <c r="X126" s="310"/>
      <c r="Y126" s="308"/>
      <c r="Z126" s="312"/>
    </row>
    <row r="127" spans="2:26" ht="12.75">
      <c r="B127" s="315" t="s">
        <v>112</v>
      </c>
      <c r="D127"/>
      <c r="E127" s="318"/>
      <c r="F127"/>
      <c r="K127" s="400"/>
      <c r="Q127">
        <v>2120</v>
      </c>
      <c r="R127" t="s">
        <v>678</v>
      </c>
      <c r="Y127" s="308"/>
      <c r="Z127" s="312"/>
    </row>
    <row r="128" spans="1:26" ht="12.75">
      <c r="A128" s="5">
        <v>2105</v>
      </c>
      <c r="B128" s="6" t="str">
        <f>VLOOKUP(A128,Q$11:U$383,2)</f>
        <v>Accumulated Amortization of Electric Utility Plant - Property, Plant and Equipment</v>
      </c>
      <c r="D128" s="292">
        <f>-'FA Continuity 2006'!L50</f>
        <v>-39505917.46</v>
      </c>
      <c r="E128" s="318"/>
      <c r="F128" s="292">
        <f>-'FA Continuity 2007'!L50</f>
        <v>-41790297.62</v>
      </c>
      <c r="H128" s="292">
        <f>-'FA Continuity 2008'!L50</f>
        <v>-43929480.12</v>
      </c>
      <c r="J128" s="401">
        <f>-'FA Continuity 2009'!L50</f>
        <v>-46471073.75406902</v>
      </c>
      <c r="K128" s="400"/>
      <c r="L128" s="401">
        <f>-'FA Continuity 2010'!L50</f>
        <v>-49372181.83382449</v>
      </c>
      <c r="Q128">
        <v>2140</v>
      </c>
      <c r="R128" s="311" t="s">
        <v>679</v>
      </c>
      <c r="Y128" s="308"/>
      <c r="Z128" s="312"/>
    </row>
    <row r="129" spans="1:26" ht="12.75">
      <c r="A129" s="5">
        <v>2120</v>
      </c>
      <c r="B129" s="6" t="str">
        <f>VLOOKUP(A129,Q$11:U$383,2)</f>
        <v>Accumulated Amortization of Electric Utility Plant - Intangibles</v>
      </c>
      <c r="D129" s="7"/>
      <c r="E129" s="318"/>
      <c r="F129" s="7"/>
      <c r="H129" s="7"/>
      <c r="J129" s="402"/>
      <c r="K129" s="400"/>
      <c r="L129" s="402"/>
      <c r="Q129">
        <v>2160</v>
      </c>
      <c r="R129" s="311" t="s">
        <v>680</v>
      </c>
      <c r="Y129" s="308"/>
      <c r="Z129" s="312"/>
    </row>
    <row r="130" spans="1:26" ht="12.75">
      <c r="A130" s="5">
        <v>2140</v>
      </c>
      <c r="B130" s="6" t="str">
        <f>VLOOKUP(A130,Q$11:U$383,2)</f>
        <v>Accumulated Amortization of Electric Plant Acquisition Adjustment</v>
      </c>
      <c r="D130" s="7"/>
      <c r="E130" s="318"/>
      <c r="F130" s="7"/>
      <c r="H130" s="7"/>
      <c r="J130" s="402"/>
      <c r="K130" s="400"/>
      <c r="L130" s="402"/>
      <c r="Q130">
        <v>2180</v>
      </c>
      <c r="R130" s="311" t="s">
        <v>681</v>
      </c>
      <c r="Y130" s="308"/>
      <c r="Z130" s="312"/>
    </row>
    <row r="131" spans="1:26" ht="12.75">
      <c r="A131" s="5">
        <v>2160</v>
      </c>
      <c r="B131" s="6" t="str">
        <f>VLOOKUP(A131,Q$11:U$383,2)</f>
        <v>Accumulated Amortization of Other Utility Plant</v>
      </c>
      <c r="D131" s="7"/>
      <c r="E131" s="318"/>
      <c r="F131" s="7"/>
      <c r="H131" s="7"/>
      <c r="J131" s="402"/>
      <c r="K131" s="400"/>
      <c r="L131" s="402"/>
      <c r="Q131">
        <v>2205</v>
      </c>
      <c r="R131" s="311" t="s">
        <v>682</v>
      </c>
      <c r="X131" s="311"/>
      <c r="Y131" s="308"/>
      <c r="Z131" s="312"/>
    </row>
    <row r="132" spans="1:26" ht="12.75">
      <c r="A132" s="5">
        <v>2180</v>
      </c>
      <c r="B132" s="6" t="str">
        <f>VLOOKUP(A132,Q$11:U$383,2)</f>
        <v>Accumulated Amortization of Non-Utility Property</v>
      </c>
      <c r="D132" s="7"/>
      <c r="E132" s="318"/>
      <c r="F132" s="7"/>
      <c r="H132" s="7"/>
      <c r="J132" s="402"/>
      <c r="K132" s="400"/>
      <c r="L132" s="402"/>
      <c r="Q132">
        <v>2208</v>
      </c>
      <c r="R132" s="311" t="s">
        <v>683</v>
      </c>
      <c r="X132" s="311"/>
      <c r="Y132" s="308"/>
      <c r="Z132" s="312"/>
    </row>
    <row r="133" spans="2:26" ht="12.75">
      <c r="B133" s="315" t="s">
        <v>113</v>
      </c>
      <c r="D133" s="318"/>
      <c r="E133" s="318"/>
      <c r="F133" s="318"/>
      <c r="K133" s="400"/>
      <c r="Q133">
        <v>2210</v>
      </c>
      <c r="R133" s="311" t="s">
        <v>684</v>
      </c>
      <c r="X133" s="311"/>
      <c r="Y133" s="308"/>
      <c r="Z133" s="312"/>
    </row>
    <row r="134" spans="1:26" ht="12.75">
      <c r="A134" s="5">
        <v>2205</v>
      </c>
      <c r="B134" s="6" t="str">
        <f aca="true" t="shared" si="5" ref="B134:B156">VLOOKUP(A134,Q$11:U$383,2)</f>
        <v>Accounts Payable</v>
      </c>
      <c r="D134" s="7">
        <v>-5436700.13</v>
      </c>
      <c r="E134" s="318"/>
      <c r="F134" s="7">
        <v>-4592686.33</v>
      </c>
      <c r="H134" s="7">
        <v>-5232269.15</v>
      </c>
      <c r="J134" s="340">
        <v>-5686353.453884772</v>
      </c>
      <c r="K134" s="400"/>
      <c r="L134" s="340">
        <v>-5628309.32554701</v>
      </c>
      <c r="Q134">
        <v>2215</v>
      </c>
      <c r="R134" s="311" t="s">
        <v>685</v>
      </c>
      <c r="X134" s="311"/>
      <c r="Y134" s="308"/>
      <c r="Z134" s="312"/>
    </row>
    <row r="135" spans="1:26" ht="12.75">
      <c r="A135" s="5">
        <v>2208</v>
      </c>
      <c r="B135" s="6" t="str">
        <f t="shared" si="5"/>
        <v>Customer Credit Balances</v>
      </c>
      <c r="D135" s="7">
        <v>-694196.88</v>
      </c>
      <c r="E135" s="318"/>
      <c r="F135" s="7">
        <v>-1020077.75</v>
      </c>
      <c r="H135" s="7">
        <v>-952940.69</v>
      </c>
      <c r="J135" s="340">
        <v>-952940.764738476</v>
      </c>
      <c r="K135" s="400"/>
      <c r="L135" s="340">
        <v>-952940.764738476</v>
      </c>
      <c r="Q135">
        <v>2220</v>
      </c>
      <c r="R135" s="311" t="s">
        <v>686</v>
      </c>
      <c r="X135" s="311"/>
      <c r="Y135" s="308"/>
      <c r="Z135" s="312"/>
    </row>
    <row r="136" spans="1:26" ht="12.75">
      <c r="A136" s="5">
        <v>2210</v>
      </c>
      <c r="B136" s="6" t="str">
        <f t="shared" si="5"/>
        <v>Current Portion of Customer Deposits </v>
      </c>
      <c r="D136" s="7">
        <v>-174673</v>
      </c>
      <c r="E136" s="318"/>
      <c r="F136" s="7">
        <v>-89720</v>
      </c>
      <c r="H136" s="7">
        <v>-72363.61</v>
      </c>
      <c r="J136" s="340">
        <v>-72364</v>
      </c>
      <c r="K136" s="400"/>
      <c r="L136" s="340">
        <v>-72364</v>
      </c>
      <c r="Q136">
        <v>2225</v>
      </c>
      <c r="R136" s="311" t="s">
        <v>687</v>
      </c>
      <c r="X136" s="311"/>
      <c r="Y136" s="308"/>
      <c r="Z136" s="312"/>
    </row>
    <row r="137" spans="1:26" ht="12.75">
      <c r="A137" s="5">
        <v>2215</v>
      </c>
      <c r="B137" s="6" t="str">
        <f t="shared" si="5"/>
        <v>Dividends Declared</v>
      </c>
      <c r="D137" s="7"/>
      <c r="E137" s="318"/>
      <c r="F137" s="7"/>
      <c r="H137" s="7"/>
      <c r="J137" s="340"/>
      <c r="K137" s="400"/>
      <c r="L137" s="340"/>
      <c r="Q137">
        <v>2240</v>
      </c>
      <c r="R137" s="311" t="s">
        <v>688</v>
      </c>
      <c r="X137" s="311"/>
      <c r="Y137" s="308"/>
      <c r="Z137" s="312"/>
    </row>
    <row r="138" spans="1:26" ht="12.75">
      <c r="A138" s="5">
        <v>2220</v>
      </c>
      <c r="B138" s="6" t="str">
        <f t="shared" si="5"/>
        <v>Miscellaneous Current and Accrued Liabilities</v>
      </c>
      <c r="D138" s="7">
        <v>-341724.71</v>
      </c>
      <c r="E138" s="318"/>
      <c r="F138" s="7">
        <v>-319452.85</v>
      </c>
      <c r="H138" s="7">
        <v>-906859.77</v>
      </c>
      <c r="J138" s="340">
        <v>-1203885.0324007086</v>
      </c>
      <c r="K138" s="400"/>
      <c r="L138" s="340">
        <v>-1191596.2329282034</v>
      </c>
      <c r="Q138">
        <v>2242</v>
      </c>
      <c r="R138" s="311" t="s">
        <v>689</v>
      </c>
      <c r="X138" s="311"/>
      <c r="Y138" s="308"/>
      <c r="Z138" s="312"/>
    </row>
    <row r="139" spans="1:26" ht="12.75">
      <c r="A139" s="5">
        <v>2225</v>
      </c>
      <c r="B139" s="6" t="str">
        <f t="shared" si="5"/>
        <v>Notes and Loans Payable</v>
      </c>
      <c r="D139" s="7"/>
      <c r="E139" s="318"/>
      <c r="F139" s="7"/>
      <c r="H139" s="7"/>
      <c r="J139" s="340"/>
      <c r="K139" s="400"/>
      <c r="L139" s="340"/>
      <c r="Q139">
        <v>2250</v>
      </c>
      <c r="R139" s="311" t="s">
        <v>821</v>
      </c>
      <c r="X139" s="311"/>
      <c r="Y139" s="308"/>
      <c r="Z139" s="312"/>
    </row>
    <row r="140" spans="1:26" ht="12.75">
      <c r="A140" s="5">
        <v>2240</v>
      </c>
      <c r="B140" s="6" t="str">
        <f t="shared" si="5"/>
        <v>Accounts Payable to Associated Companies</v>
      </c>
      <c r="D140" s="7">
        <v>-52035.09</v>
      </c>
      <c r="E140" s="318"/>
      <c r="F140" s="7">
        <v>-143531.92</v>
      </c>
      <c r="H140" s="7">
        <v>-28132.47</v>
      </c>
      <c r="J140" s="340">
        <v>-5000</v>
      </c>
      <c r="K140" s="400"/>
      <c r="L140" s="340">
        <v>-8260</v>
      </c>
      <c r="Q140">
        <v>2252</v>
      </c>
      <c r="R140" s="311" t="s">
        <v>690</v>
      </c>
      <c r="X140" s="311"/>
      <c r="Y140" s="308"/>
      <c r="Z140" s="312"/>
    </row>
    <row r="141" spans="1:26" ht="12.75">
      <c r="A141" s="5">
        <v>2242</v>
      </c>
      <c r="B141" s="6" t="str">
        <f t="shared" si="5"/>
        <v>Notes Payable to Associated Companies</v>
      </c>
      <c r="D141" s="7"/>
      <c r="E141" s="318"/>
      <c r="F141" s="7"/>
      <c r="H141" s="7"/>
      <c r="J141" s="340"/>
      <c r="K141" s="400"/>
      <c r="L141" s="340"/>
      <c r="Q141">
        <v>2254</v>
      </c>
      <c r="R141" s="311" t="s">
        <v>691</v>
      </c>
      <c r="X141" s="311"/>
      <c r="Y141" s="308"/>
      <c r="Z141" s="312"/>
    </row>
    <row r="142" spans="1:26" ht="12.75">
      <c r="A142" s="5">
        <v>2250</v>
      </c>
      <c r="B142" s="6" t="str">
        <f t="shared" si="5"/>
        <v>Competition Transition Charges Payable</v>
      </c>
      <c r="D142" s="7"/>
      <c r="E142" s="318"/>
      <c r="F142" s="7"/>
      <c r="H142" s="7">
        <v>-334261.74</v>
      </c>
      <c r="J142" s="340">
        <v>-334261.76621591597</v>
      </c>
      <c r="K142" s="400"/>
      <c r="L142" s="340">
        <v>-334261.766215916</v>
      </c>
      <c r="Q142">
        <v>2256</v>
      </c>
      <c r="R142" s="311" t="s">
        <v>692</v>
      </c>
      <c r="X142" s="311"/>
      <c r="Y142" s="308"/>
      <c r="Z142" s="312"/>
    </row>
    <row r="143" spans="1:26" ht="12.75">
      <c r="A143" s="5">
        <v>2252</v>
      </c>
      <c r="B143" s="6" t="str">
        <f t="shared" si="5"/>
        <v>Transmission Charges Payable</v>
      </c>
      <c r="D143" s="7"/>
      <c r="E143" s="318"/>
      <c r="F143" s="7"/>
      <c r="H143" s="7"/>
      <c r="J143" s="340"/>
      <c r="K143" s="400"/>
      <c r="L143" s="340"/>
      <c r="Q143">
        <v>2260</v>
      </c>
      <c r="R143" s="311" t="s">
        <v>693</v>
      </c>
      <c r="X143" s="311"/>
      <c r="Y143" s="308"/>
      <c r="Z143" s="312"/>
    </row>
    <row r="144" spans="1:26" ht="12.75">
      <c r="A144" s="5">
        <v>2254</v>
      </c>
      <c r="B144" s="6" t="str">
        <f t="shared" si="5"/>
        <v>Electric Safety Authority Fees Payable</v>
      </c>
      <c r="D144" s="7"/>
      <c r="E144" s="318"/>
      <c r="F144" s="7"/>
      <c r="H144" s="7"/>
      <c r="J144" s="340"/>
      <c r="K144" s="400"/>
      <c r="L144" s="340"/>
      <c r="Q144">
        <v>2262</v>
      </c>
      <c r="R144" s="311" t="s">
        <v>694</v>
      </c>
      <c r="X144" s="311"/>
      <c r="Y144" s="308"/>
      <c r="Z144" s="312"/>
    </row>
    <row r="145" spans="1:26" ht="12.75">
      <c r="A145" s="5">
        <v>2256</v>
      </c>
      <c r="B145" s="6" t="str">
        <f t="shared" si="5"/>
        <v>Independent Market Operator Fees and Penalties Payable</v>
      </c>
      <c r="D145" s="7"/>
      <c r="E145" s="318"/>
      <c r="F145" s="7"/>
      <c r="H145" s="7"/>
      <c r="J145" s="340"/>
      <c r="K145" s="400"/>
      <c r="L145" s="340"/>
      <c r="Q145">
        <v>2264</v>
      </c>
      <c r="R145" s="311" t="s">
        <v>695</v>
      </c>
      <c r="X145" s="311"/>
      <c r="Y145" s="308"/>
      <c r="Z145" s="312"/>
    </row>
    <row r="146" spans="1:26" ht="12.75">
      <c r="A146" s="5">
        <v>2260</v>
      </c>
      <c r="B146" s="6" t="str">
        <f t="shared" si="5"/>
        <v>Current Portion of Long Term Debt</v>
      </c>
      <c r="D146" s="7"/>
      <c r="E146" s="318"/>
      <c r="F146" s="7"/>
      <c r="H146" s="7"/>
      <c r="J146" s="340">
        <v>-492039.397296482</v>
      </c>
      <c r="K146" s="400"/>
      <c r="L146" s="340">
        <v>-759608.566108362</v>
      </c>
      <c r="Q146">
        <v>2268</v>
      </c>
      <c r="R146" s="311" t="s">
        <v>696</v>
      </c>
      <c r="X146" s="311"/>
      <c r="Y146" s="308"/>
      <c r="Z146" s="312"/>
    </row>
    <row r="147" spans="1:26" ht="12.75">
      <c r="A147" s="5">
        <v>2262</v>
      </c>
      <c r="B147" s="6" t="str">
        <f t="shared" si="5"/>
        <v>Ontario Hydro Debt - Current Portion</v>
      </c>
      <c r="D147" s="7"/>
      <c r="E147" s="318"/>
      <c r="F147" s="7"/>
      <c r="H147" s="7"/>
      <c r="J147" s="340"/>
      <c r="K147" s="400"/>
      <c r="L147" s="340"/>
      <c r="Q147">
        <v>2270</v>
      </c>
      <c r="R147" s="311" t="s">
        <v>697</v>
      </c>
      <c r="X147" s="311"/>
      <c r="Y147" s="308"/>
      <c r="Z147" s="312"/>
    </row>
    <row r="148" spans="1:26" ht="12.75">
      <c r="A148" s="5">
        <v>2264</v>
      </c>
      <c r="B148" s="6" t="str">
        <f t="shared" si="5"/>
        <v>Pensions and Employee Benefits - Current Portion</v>
      </c>
      <c r="D148" s="7">
        <v>-40460</v>
      </c>
      <c r="E148" s="318"/>
      <c r="F148" s="7"/>
      <c r="H148" s="7"/>
      <c r="J148" s="340"/>
      <c r="K148" s="400"/>
      <c r="L148" s="340"/>
      <c r="Q148">
        <v>2272</v>
      </c>
      <c r="R148" s="311" t="s">
        <v>698</v>
      </c>
      <c r="X148" s="311"/>
      <c r="Y148" s="308"/>
      <c r="Z148" s="312"/>
    </row>
    <row r="149" spans="1:26" ht="12.75">
      <c r="A149" s="5">
        <v>2268</v>
      </c>
      <c r="B149" s="6" t="str">
        <f t="shared" si="5"/>
        <v>Accrued Interest on Long Term Debt</v>
      </c>
      <c r="D149" s="7">
        <v>-0.15</v>
      </c>
      <c r="E149" s="318"/>
      <c r="F149" s="7">
        <v>-0.19</v>
      </c>
      <c r="H149" s="7">
        <v>-0.27</v>
      </c>
      <c r="J149" s="340"/>
      <c r="K149" s="400"/>
      <c r="L149" s="340"/>
      <c r="Q149">
        <v>2285</v>
      </c>
      <c r="R149" s="311" t="s">
        <v>699</v>
      </c>
      <c r="X149" s="311"/>
      <c r="Y149" s="308"/>
      <c r="Z149" s="312"/>
    </row>
    <row r="150" spans="1:26" ht="12.75">
      <c r="A150" s="5">
        <v>2270</v>
      </c>
      <c r="B150" s="6" t="str">
        <f t="shared" si="5"/>
        <v>Matured Long Term Debt</v>
      </c>
      <c r="D150" s="7"/>
      <c r="E150" s="318"/>
      <c r="F150" s="7"/>
      <c r="H150" s="7"/>
      <c r="J150" s="340"/>
      <c r="K150" s="400"/>
      <c r="L150" s="340"/>
      <c r="Q150">
        <v>2290</v>
      </c>
      <c r="R150" s="311" t="s">
        <v>700</v>
      </c>
      <c r="X150" s="311"/>
      <c r="Y150" s="308"/>
      <c r="Z150" s="312"/>
    </row>
    <row r="151" spans="1:26" ht="12.75">
      <c r="A151" s="5">
        <v>2272</v>
      </c>
      <c r="B151" s="6" t="str">
        <f t="shared" si="5"/>
        <v>Matured Interest on Long Term Debt</v>
      </c>
      <c r="D151" s="7"/>
      <c r="E151" s="318"/>
      <c r="F151" s="7"/>
      <c r="H151" s="7"/>
      <c r="J151" s="340"/>
      <c r="K151" s="400"/>
      <c r="L151" s="340"/>
      <c r="Q151">
        <v>2292</v>
      </c>
      <c r="R151" s="311" t="s">
        <v>701</v>
      </c>
      <c r="X151" s="311"/>
      <c r="Y151" s="308"/>
      <c r="Z151" s="312"/>
    </row>
    <row r="152" spans="1:26" ht="12.75">
      <c r="A152" s="5">
        <v>2285</v>
      </c>
      <c r="B152" s="6" t="str">
        <f t="shared" si="5"/>
        <v>Obligations Under Capital Leases--Current</v>
      </c>
      <c r="D152" s="7"/>
      <c r="E152" s="318"/>
      <c r="F152" s="7"/>
      <c r="H152" s="7"/>
      <c r="J152" s="340"/>
      <c r="K152" s="400"/>
      <c r="L152" s="340"/>
      <c r="Q152">
        <v>2294</v>
      </c>
      <c r="R152" s="311" t="s">
        <v>702</v>
      </c>
      <c r="X152" s="311"/>
      <c r="Y152" s="308"/>
      <c r="Z152" s="312"/>
    </row>
    <row r="153" spans="1:26" ht="12.75">
      <c r="A153" s="5">
        <v>2290</v>
      </c>
      <c r="B153" s="6" t="str">
        <f t="shared" si="5"/>
        <v>Commodity Taxes</v>
      </c>
      <c r="D153" s="7">
        <v>-137106.96</v>
      </c>
      <c r="E153" s="318"/>
      <c r="F153" s="7">
        <v>-171575.96</v>
      </c>
      <c r="H153" s="7">
        <v>-56098.75</v>
      </c>
      <c r="J153" s="340">
        <v>-56098.75439978597</v>
      </c>
      <c r="K153" s="400"/>
      <c r="L153" s="340">
        <v>-56098.75439978597</v>
      </c>
      <c r="Q153">
        <v>2296</v>
      </c>
      <c r="R153" s="311" t="s">
        <v>703</v>
      </c>
      <c r="X153" s="311"/>
      <c r="Y153" s="308"/>
      <c r="Z153" s="312"/>
    </row>
    <row r="154" spans="1:26" ht="12.75">
      <c r="A154" s="5">
        <v>2292</v>
      </c>
      <c r="B154" s="6" t="str">
        <f t="shared" si="5"/>
        <v>Payroll Deductions / Expenses Payable</v>
      </c>
      <c r="D154" s="7">
        <v>-525826.85</v>
      </c>
      <c r="E154" s="318"/>
      <c r="F154" s="7">
        <v>-391444.33</v>
      </c>
      <c r="H154" s="7">
        <v>-412580.01</v>
      </c>
      <c r="J154" s="340">
        <v>-424957.4426583635</v>
      </c>
      <c r="K154" s="400"/>
      <c r="L154" s="340">
        <v>-437706.132609</v>
      </c>
      <c r="Q154">
        <v>2305</v>
      </c>
      <c r="R154" s="311" t="s">
        <v>704</v>
      </c>
      <c r="X154" s="311"/>
      <c r="Y154" s="308"/>
      <c r="Z154" s="312"/>
    </row>
    <row r="155" spans="1:26" ht="12.75">
      <c r="A155" s="5">
        <v>2294</v>
      </c>
      <c r="B155" s="6" t="str">
        <f t="shared" si="5"/>
        <v>Accrual for Taxes, "Payments in Lieu" of Taxes, Etc.</v>
      </c>
      <c r="D155" s="7">
        <v>290000.45</v>
      </c>
      <c r="E155" s="318"/>
      <c r="F155" s="7">
        <v>-715000</v>
      </c>
      <c r="H155" s="7">
        <v>-45143.42</v>
      </c>
      <c r="J155" s="340"/>
      <c r="K155" s="400"/>
      <c r="L155" s="340"/>
      <c r="Q155">
        <v>2306</v>
      </c>
      <c r="R155" s="311" t="s">
        <v>705</v>
      </c>
      <c r="X155" s="311"/>
      <c r="Y155" s="308"/>
      <c r="Z155" s="312"/>
    </row>
    <row r="156" spans="1:26" ht="12.75">
      <c r="A156" s="5">
        <v>2296</v>
      </c>
      <c r="B156" s="6" t="str">
        <f t="shared" si="5"/>
        <v>Future Income Taxes - Current</v>
      </c>
      <c r="D156" s="7"/>
      <c r="E156" s="318"/>
      <c r="F156" s="7"/>
      <c r="H156" s="7"/>
      <c r="J156" s="340"/>
      <c r="K156" s="400"/>
      <c r="L156" s="340"/>
      <c r="Q156">
        <v>2308</v>
      </c>
      <c r="R156" s="311" t="s">
        <v>706</v>
      </c>
      <c r="X156" s="311"/>
      <c r="Y156" s="308"/>
      <c r="Z156" s="312"/>
    </row>
    <row r="157" spans="2:26" ht="12.75">
      <c r="B157" s="315" t="s">
        <v>114</v>
      </c>
      <c r="D157"/>
      <c r="E157" s="318"/>
      <c r="F157"/>
      <c r="K157" s="400"/>
      <c r="Q157">
        <v>2310</v>
      </c>
      <c r="R157" s="311" t="s">
        <v>707</v>
      </c>
      <c r="X157" s="311"/>
      <c r="Y157" s="308"/>
      <c r="Z157" s="312"/>
    </row>
    <row r="158" spans="1:26" ht="12.75">
      <c r="A158" s="5">
        <v>2305</v>
      </c>
      <c r="B158" s="6" t="str">
        <f aca="true" t="shared" si="6" ref="B158:B170">VLOOKUP(A158,Q$11:U$383,2)</f>
        <v>Accumulated Provision for Injuries and Damages</v>
      </c>
      <c r="D158" s="7"/>
      <c r="E158" s="318"/>
      <c r="F158" s="7"/>
      <c r="H158" s="7"/>
      <c r="J158" s="340"/>
      <c r="K158" s="400"/>
      <c r="L158" s="340"/>
      <c r="Q158">
        <v>2315</v>
      </c>
      <c r="R158" s="311" t="s">
        <v>708</v>
      </c>
      <c r="X158" s="311"/>
      <c r="Y158" s="308"/>
      <c r="Z158" s="312"/>
    </row>
    <row r="159" spans="1:26" ht="12.75">
      <c r="A159" s="5">
        <v>2306</v>
      </c>
      <c r="B159" s="6" t="str">
        <f t="shared" si="6"/>
        <v>Employee Future Benefits</v>
      </c>
      <c r="D159" s="7">
        <v>-3837645</v>
      </c>
      <c r="E159" s="318"/>
      <c r="F159" s="7">
        <v>-4112778</v>
      </c>
      <c r="H159" s="7">
        <v>-4264214</v>
      </c>
      <c r="J159" s="340">
        <v>-4523305</v>
      </c>
      <c r="K159" s="400"/>
      <c r="L159" s="340">
        <v>-4813890</v>
      </c>
      <c r="Q159">
        <v>2320</v>
      </c>
      <c r="R159" s="311" t="s">
        <v>577</v>
      </c>
      <c r="X159" s="311"/>
      <c r="Y159" s="308"/>
      <c r="Z159" s="312"/>
    </row>
    <row r="160" spans="1:26" ht="12.75">
      <c r="A160" s="5">
        <v>2308</v>
      </c>
      <c r="B160" s="6" t="str">
        <f t="shared" si="6"/>
        <v>Other Pensions - Past Service Liability</v>
      </c>
      <c r="D160" s="7"/>
      <c r="E160" s="318"/>
      <c r="F160" s="7"/>
      <c r="H160" s="7"/>
      <c r="J160" s="340"/>
      <c r="K160" s="400"/>
      <c r="L160" s="340"/>
      <c r="Q160">
        <v>2325</v>
      </c>
      <c r="R160" s="311" t="s">
        <v>709</v>
      </c>
      <c r="X160" s="311"/>
      <c r="Y160" s="308"/>
      <c r="Z160" s="312"/>
    </row>
    <row r="161" spans="1:26" ht="12.75">
      <c r="A161" s="5">
        <v>2310</v>
      </c>
      <c r="B161" s="6" t="str">
        <f t="shared" si="6"/>
        <v>Vested Sick Leave Liability</v>
      </c>
      <c r="D161" s="7"/>
      <c r="E161" s="318"/>
      <c r="F161" s="7"/>
      <c r="H161" s="7"/>
      <c r="J161" s="340"/>
      <c r="K161" s="400"/>
      <c r="L161" s="340"/>
      <c r="Q161">
        <v>2330</v>
      </c>
      <c r="R161" s="311" t="s">
        <v>710</v>
      </c>
      <c r="X161" s="311"/>
      <c r="Y161" s="308"/>
      <c r="Z161" s="312"/>
    </row>
    <row r="162" spans="1:26" ht="12.75">
      <c r="A162" s="5">
        <v>2315</v>
      </c>
      <c r="B162" s="6" t="str">
        <f t="shared" si="6"/>
        <v>Accumulated Provision for Rate Refunds</v>
      </c>
      <c r="D162" s="7"/>
      <c r="E162" s="318"/>
      <c r="F162" s="7"/>
      <c r="H162" s="7"/>
      <c r="J162" s="340"/>
      <c r="K162" s="400"/>
      <c r="L162" s="340"/>
      <c r="Q162">
        <v>2335</v>
      </c>
      <c r="R162" s="311" t="s">
        <v>711</v>
      </c>
      <c r="X162" s="311"/>
      <c r="Y162" s="308"/>
      <c r="Z162" s="312"/>
    </row>
    <row r="163" spans="1:26" ht="12.75">
      <c r="A163" s="5">
        <v>2320</v>
      </c>
      <c r="B163" s="6" t="str">
        <f t="shared" si="6"/>
        <v>Other Miscellaneous Non-Current Liabilities</v>
      </c>
      <c r="D163" s="7"/>
      <c r="E163" s="318"/>
      <c r="F163" s="7"/>
      <c r="H163" s="7"/>
      <c r="J163" s="340"/>
      <c r="K163" s="400"/>
      <c r="L163" s="340"/>
      <c r="Q163">
        <v>2340</v>
      </c>
      <c r="R163" s="311" t="s">
        <v>712</v>
      </c>
      <c r="X163" s="311"/>
      <c r="Y163" s="308"/>
      <c r="Z163" s="312"/>
    </row>
    <row r="164" spans="1:26" ht="12.75">
      <c r="A164" s="5">
        <v>2325</v>
      </c>
      <c r="B164" s="6" t="str">
        <f t="shared" si="6"/>
        <v>Obligations Under Capital Lease--Non-Current</v>
      </c>
      <c r="D164" s="7"/>
      <c r="E164" s="318"/>
      <c r="F164" s="7"/>
      <c r="H164" s="7"/>
      <c r="J164" s="340"/>
      <c r="K164" s="400"/>
      <c r="L164" s="340"/>
      <c r="Q164">
        <v>2345</v>
      </c>
      <c r="R164" s="311" t="s">
        <v>713</v>
      </c>
      <c r="X164" s="311"/>
      <c r="Y164" s="308"/>
      <c r="Z164" s="312"/>
    </row>
    <row r="165" spans="1:26" ht="12.75">
      <c r="A165" s="5">
        <v>2330</v>
      </c>
      <c r="B165" s="6" t="str">
        <f t="shared" si="6"/>
        <v>Devolpment Charge Fund</v>
      </c>
      <c r="D165" s="7"/>
      <c r="E165" s="318"/>
      <c r="F165" s="7"/>
      <c r="H165" s="7"/>
      <c r="J165" s="340"/>
      <c r="K165" s="400"/>
      <c r="L165" s="340"/>
      <c r="Q165">
        <v>2348</v>
      </c>
      <c r="R165" s="311" t="s">
        <v>714</v>
      </c>
      <c r="X165" s="311"/>
      <c r="Y165" s="308"/>
      <c r="Z165" s="312"/>
    </row>
    <row r="166" spans="1:26" ht="12.75">
      <c r="A166" s="5">
        <v>2335</v>
      </c>
      <c r="B166" s="6" t="str">
        <f t="shared" si="6"/>
        <v>Long Term Customer Deposits</v>
      </c>
      <c r="D166" s="7">
        <v>-930221.84</v>
      </c>
      <c r="E166" s="318"/>
      <c r="F166" s="7">
        <v>-927102.1</v>
      </c>
      <c r="H166" s="7">
        <v>-693782.79</v>
      </c>
      <c r="J166" s="340">
        <v>-659328.88</v>
      </c>
      <c r="K166" s="400"/>
      <c r="L166" s="340">
        <v>-659328.88</v>
      </c>
      <c r="Q166">
        <v>2350</v>
      </c>
      <c r="R166" s="311" t="s">
        <v>715</v>
      </c>
      <c r="X166" s="311"/>
      <c r="Y166" s="308"/>
      <c r="Z166" s="312"/>
    </row>
    <row r="167" spans="1:26" ht="12.75">
      <c r="A167" s="5">
        <v>2340</v>
      </c>
      <c r="B167" s="6" t="str">
        <f t="shared" si="6"/>
        <v>Collateral Funds Liability</v>
      </c>
      <c r="D167" s="7"/>
      <c r="E167" s="318"/>
      <c r="F167" s="7"/>
      <c r="H167" s="7"/>
      <c r="J167" s="340"/>
      <c r="K167" s="400"/>
      <c r="L167" s="340"/>
      <c r="Q167">
        <v>2405</v>
      </c>
      <c r="R167" s="311" t="s">
        <v>578</v>
      </c>
      <c r="X167" s="311"/>
      <c r="Y167" s="308"/>
      <c r="Z167" s="312"/>
    </row>
    <row r="168" spans="1:26" ht="12.75">
      <c r="A168" s="5">
        <v>2345</v>
      </c>
      <c r="B168" s="6" t="str">
        <f t="shared" si="6"/>
        <v>Unamortized Premium on Long Term Debt</v>
      </c>
      <c r="D168" s="7"/>
      <c r="E168" s="318"/>
      <c r="F168" s="7"/>
      <c r="H168" s="7"/>
      <c r="J168" s="340"/>
      <c r="K168" s="400"/>
      <c r="L168" s="340"/>
      <c r="Q168">
        <v>2410</v>
      </c>
      <c r="R168" s="311" t="s">
        <v>716</v>
      </c>
      <c r="X168" s="311"/>
      <c r="Y168" s="308"/>
      <c r="Z168" s="312"/>
    </row>
    <row r="169" spans="1:26" ht="12.75">
      <c r="A169" s="5">
        <v>2348</v>
      </c>
      <c r="B169" s="6" t="str">
        <f t="shared" si="6"/>
        <v>O.M.E.R.S. - Past Service Liability - Long Term Portion</v>
      </c>
      <c r="D169" s="7"/>
      <c r="E169" s="318"/>
      <c r="F169" s="7"/>
      <c r="H169" s="7"/>
      <c r="J169" s="340"/>
      <c r="K169" s="400"/>
      <c r="L169" s="340"/>
      <c r="Q169">
        <v>2415</v>
      </c>
      <c r="R169" s="311" t="s">
        <v>717</v>
      </c>
      <c r="X169" s="311"/>
      <c r="Y169" s="308"/>
      <c r="Z169" s="312"/>
    </row>
    <row r="170" spans="1:26" ht="12.75">
      <c r="A170" s="5">
        <v>2350</v>
      </c>
      <c r="B170" s="6" t="str">
        <f t="shared" si="6"/>
        <v>Future Income Tax - Non-Current</v>
      </c>
      <c r="D170" s="7"/>
      <c r="E170" s="318"/>
      <c r="F170" s="7"/>
      <c r="H170" s="7"/>
      <c r="J170" s="340"/>
      <c r="K170" s="400"/>
      <c r="L170" s="340"/>
      <c r="Q170">
        <v>2425</v>
      </c>
      <c r="R170" s="311" t="s">
        <v>718</v>
      </c>
      <c r="X170" s="311"/>
      <c r="Y170" s="308"/>
      <c r="Z170" s="312"/>
    </row>
    <row r="171" spans="2:26" ht="12.75">
      <c r="B171" s="315" t="s">
        <v>115</v>
      </c>
      <c r="D171"/>
      <c r="E171" s="318"/>
      <c r="F171"/>
      <c r="K171" s="400"/>
      <c r="Q171">
        <v>2435</v>
      </c>
      <c r="R171" s="311" t="s">
        <v>719</v>
      </c>
      <c r="X171" s="311"/>
      <c r="Y171" s="308"/>
      <c r="Z171" s="312"/>
    </row>
    <row r="172" spans="1:26" ht="12.75">
      <c r="A172" s="5">
        <v>2405</v>
      </c>
      <c r="B172" s="6" t="str">
        <f>VLOOKUP(A172,Q$11:U$383,2)</f>
        <v>Other Regulatory Liabilities</v>
      </c>
      <c r="D172" s="7">
        <v>-7850</v>
      </c>
      <c r="E172" s="318"/>
      <c r="F172" s="7">
        <v>-3350</v>
      </c>
      <c r="H172" s="7">
        <v>1150</v>
      </c>
      <c r="J172" s="340">
        <v>1150</v>
      </c>
      <c r="K172" s="400"/>
      <c r="L172" s="340">
        <v>1150.0000901937008</v>
      </c>
      <c r="Q172">
        <v>2505</v>
      </c>
      <c r="R172" s="311" t="s">
        <v>720</v>
      </c>
      <c r="X172" s="311"/>
      <c r="Y172" s="308"/>
      <c r="Z172" s="312"/>
    </row>
    <row r="173" spans="1:26" ht="12.75">
      <c r="A173" s="5">
        <v>2410</v>
      </c>
      <c r="B173" s="6" t="str">
        <f>VLOOKUP(A173,Q$11:U$383,2)</f>
        <v>Deferred Gains From Disposition of Utility Plant</v>
      </c>
      <c r="D173" s="7"/>
      <c r="E173" s="318"/>
      <c r="F173" s="7"/>
      <c r="H173" s="7"/>
      <c r="J173" s="340"/>
      <c r="K173" s="400"/>
      <c r="L173" s="340"/>
      <c r="Q173">
        <v>2510</v>
      </c>
      <c r="R173" s="311" t="s">
        <v>721</v>
      </c>
      <c r="X173" s="311"/>
      <c r="Y173" s="308"/>
      <c r="Z173" s="312"/>
    </row>
    <row r="174" spans="1:26" ht="12.75">
      <c r="A174" s="5">
        <v>2415</v>
      </c>
      <c r="B174" s="6" t="str">
        <f>VLOOKUP(A174,Q$11:U$383,2)</f>
        <v>Unamortized Gain on Reacquired Debt</v>
      </c>
      <c r="D174" s="7"/>
      <c r="E174" s="318"/>
      <c r="F174" s="7"/>
      <c r="H174" s="7"/>
      <c r="J174" s="340"/>
      <c r="K174" s="400"/>
      <c r="L174" s="340"/>
      <c r="Q174">
        <v>2515</v>
      </c>
      <c r="R174" s="311" t="s">
        <v>722</v>
      </c>
      <c r="X174" s="311"/>
      <c r="Y174" s="308"/>
      <c r="Z174" s="312"/>
    </row>
    <row r="175" spans="1:26" ht="12.75">
      <c r="A175" s="5">
        <v>2425</v>
      </c>
      <c r="B175" s="6" t="str">
        <f>VLOOKUP(A175,Q$11:U$383,2)</f>
        <v>Other Deferred Credits</v>
      </c>
      <c r="D175" s="7"/>
      <c r="E175" s="318"/>
      <c r="F175" s="7"/>
      <c r="H175" s="7"/>
      <c r="J175" s="340"/>
      <c r="K175" s="400"/>
      <c r="L175" s="340"/>
      <c r="Q175">
        <v>2520</v>
      </c>
      <c r="R175" s="311" t="s">
        <v>723</v>
      </c>
      <c r="X175" s="311"/>
      <c r="Y175" s="308"/>
      <c r="Z175" s="312"/>
    </row>
    <row r="176" spans="1:26" ht="12.75">
      <c r="A176" s="5">
        <v>2435</v>
      </c>
      <c r="B176" s="6" t="str">
        <f>VLOOKUP(A176,Q$11:U$383,2)</f>
        <v>Accrued Rate-Payer Benefit</v>
      </c>
      <c r="D176" s="7"/>
      <c r="E176" s="318"/>
      <c r="F176" s="7"/>
      <c r="H176" s="7"/>
      <c r="J176" s="340"/>
      <c r="K176" s="400"/>
      <c r="L176" s="340"/>
      <c r="Q176">
        <v>2525</v>
      </c>
      <c r="R176" s="311" t="s">
        <v>724</v>
      </c>
      <c r="X176" s="311"/>
      <c r="Y176" s="308"/>
      <c r="Z176" s="312"/>
    </row>
    <row r="177" spans="2:26" ht="12.75">
      <c r="B177" s="315" t="s">
        <v>454</v>
      </c>
      <c r="D177"/>
      <c r="E177" s="318"/>
      <c r="F177"/>
      <c r="K177" s="400"/>
      <c r="Q177">
        <v>2530</v>
      </c>
      <c r="R177" s="311" t="s">
        <v>725</v>
      </c>
      <c r="X177" s="311"/>
      <c r="Y177" s="308"/>
      <c r="Z177" s="312"/>
    </row>
    <row r="178" spans="1:26" ht="12.75">
      <c r="A178" s="5">
        <v>2505</v>
      </c>
      <c r="B178" s="6" t="str">
        <f aca="true" t="shared" si="7" ref="B178:B184">VLOOKUP(A178,Q$11:U$383,2)</f>
        <v>Debentures Outstanding - Long Term Portion</v>
      </c>
      <c r="D178" s="7"/>
      <c r="E178" s="318"/>
      <c r="F178" s="7"/>
      <c r="H178" s="7"/>
      <c r="J178" s="340"/>
      <c r="K178" s="400"/>
      <c r="L178" s="340"/>
      <c r="Q178">
        <v>2550</v>
      </c>
      <c r="R178" s="311" t="s">
        <v>726</v>
      </c>
      <c r="X178" s="311"/>
      <c r="Y178" s="308"/>
      <c r="Z178" s="312"/>
    </row>
    <row r="179" spans="1:26" ht="12.75">
      <c r="A179" s="5">
        <v>2510</v>
      </c>
      <c r="B179" s="6" t="str">
        <f t="shared" si="7"/>
        <v>Debenture Advances</v>
      </c>
      <c r="D179" s="7"/>
      <c r="E179" s="318"/>
      <c r="F179" s="7"/>
      <c r="H179" s="7"/>
      <c r="J179" s="340"/>
      <c r="K179" s="400"/>
      <c r="L179" s="340"/>
      <c r="Q179">
        <v>3005</v>
      </c>
      <c r="R179" s="311" t="s">
        <v>579</v>
      </c>
      <c r="X179" s="311"/>
      <c r="Y179" s="308"/>
      <c r="Z179" s="312"/>
    </row>
    <row r="180" spans="1:26" ht="12.75">
      <c r="A180" s="5">
        <v>2515</v>
      </c>
      <c r="B180" s="6" t="str">
        <f t="shared" si="7"/>
        <v>Required Bonds</v>
      </c>
      <c r="D180" s="7"/>
      <c r="E180" s="318"/>
      <c r="F180" s="7"/>
      <c r="H180" s="7"/>
      <c r="J180" s="340"/>
      <c r="K180" s="400"/>
      <c r="L180" s="340"/>
      <c r="Q180">
        <v>3008</v>
      </c>
      <c r="R180" s="311" t="s">
        <v>727</v>
      </c>
      <c r="X180" s="311"/>
      <c r="Y180" s="308"/>
      <c r="Z180" s="312"/>
    </row>
    <row r="181" spans="1:26" ht="12.75">
      <c r="A181" s="5">
        <v>2520</v>
      </c>
      <c r="B181" s="6" t="str">
        <f t="shared" si="7"/>
        <v>Other Long Term Debt</v>
      </c>
      <c r="D181" s="7"/>
      <c r="E181" s="318"/>
      <c r="F181" s="7"/>
      <c r="H181" s="7"/>
      <c r="J181" s="340"/>
      <c r="K181" s="400"/>
      <c r="L181" s="340"/>
      <c r="Q181">
        <v>3010</v>
      </c>
      <c r="R181" s="311" t="s">
        <v>728</v>
      </c>
      <c r="X181" s="311"/>
      <c r="Y181" s="308"/>
      <c r="Z181" s="312"/>
    </row>
    <row r="182" spans="1:26" ht="12.75">
      <c r="A182" s="5">
        <v>2525</v>
      </c>
      <c r="B182" s="6" t="str">
        <f t="shared" si="7"/>
        <v>Term Bank Loans - Long Term Portion</v>
      </c>
      <c r="D182" s="7"/>
      <c r="E182" s="318"/>
      <c r="F182" s="7"/>
      <c r="H182" s="7"/>
      <c r="J182" s="340">
        <v>-2919725.32270352</v>
      </c>
      <c r="K182" s="400"/>
      <c r="L182" s="340">
        <v>-4743349.11389164</v>
      </c>
      <c r="Q182">
        <v>3020</v>
      </c>
      <c r="R182" s="311" t="s">
        <v>729</v>
      </c>
      <c r="X182" s="311"/>
      <c r="Y182" s="308"/>
      <c r="Z182" s="312"/>
    </row>
    <row r="183" spans="1:26" ht="12.75">
      <c r="A183" s="5">
        <v>2530</v>
      </c>
      <c r="B183" s="6" t="str">
        <f t="shared" si="7"/>
        <v>Ontario Hydro Debt Outstanding - Long Term Portion</v>
      </c>
      <c r="D183" s="7"/>
      <c r="E183" s="318"/>
      <c r="F183" s="7"/>
      <c r="H183" s="7"/>
      <c r="J183" s="340"/>
      <c r="K183" s="400"/>
      <c r="L183" s="340"/>
      <c r="Q183">
        <v>3022</v>
      </c>
      <c r="R183" s="311" t="s">
        <v>730</v>
      </c>
      <c r="X183" s="311"/>
      <c r="Y183" s="308"/>
      <c r="Z183" s="312"/>
    </row>
    <row r="184" spans="1:26" ht="12.75">
      <c r="A184" s="5">
        <v>2550</v>
      </c>
      <c r="B184" s="6" t="str">
        <f t="shared" si="7"/>
        <v>Advances from Associated Companies</v>
      </c>
      <c r="D184" s="7">
        <v>-19511601</v>
      </c>
      <c r="E184" s="318"/>
      <c r="F184" s="7">
        <v>-19511601</v>
      </c>
      <c r="H184" s="7">
        <v>-19511601</v>
      </c>
      <c r="J184" s="340">
        <v>-19511601</v>
      </c>
      <c r="K184" s="400"/>
      <c r="L184" s="340">
        <v>-19511601</v>
      </c>
      <c r="Q184">
        <v>3026</v>
      </c>
      <c r="R184" s="311" t="s">
        <v>731</v>
      </c>
      <c r="X184" s="311"/>
      <c r="Y184" s="308"/>
      <c r="Z184" s="312"/>
    </row>
    <row r="185" spans="2:26" ht="12.75">
      <c r="B185" s="315" t="s">
        <v>116</v>
      </c>
      <c r="D185"/>
      <c r="E185" s="318"/>
      <c r="F185"/>
      <c r="K185" s="400"/>
      <c r="Q185">
        <v>3030</v>
      </c>
      <c r="R185" s="311" t="s">
        <v>732</v>
      </c>
      <c r="X185" s="311"/>
      <c r="Y185" s="308"/>
      <c r="Z185" s="312"/>
    </row>
    <row r="186" spans="1:26" ht="12.75">
      <c r="A186" s="5">
        <v>3005</v>
      </c>
      <c r="B186" s="6" t="str">
        <f aca="true" t="shared" si="8" ref="B186:B201">VLOOKUP(A186,Q$11:U$383,2)</f>
        <v>Common Shares Issued</v>
      </c>
      <c r="D186" s="7">
        <v>-19511601</v>
      </c>
      <c r="E186" s="318"/>
      <c r="F186" s="7">
        <v>-19511601</v>
      </c>
      <c r="H186" s="7">
        <v>-19511601</v>
      </c>
      <c r="J186" s="340">
        <v>-19511601</v>
      </c>
      <c r="K186" s="400"/>
      <c r="L186" s="340">
        <v>-19511601</v>
      </c>
      <c r="Q186">
        <v>3035</v>
      </c>
      <c r="R186" s="311" t="s">
        <v>733</v>
      </c>
      <c r="X186" s="311"/>
      <c r="Y186" s="308"/>
      <c r="Z186" s="312"/>
    </row>
    <row r="187" spans="1:26" ht="12.75">
      <c r="A187" s="5">
        <v>3008</v>
      </c>
      <c r="B187" s="6" t="str">
        <f t="shared" si="8"/>
        <v>Preference Shares Issued</v>
      </c>
      <c r="D187" s="7"/>
      <c r="E187" s="318"/>
      <c r="F187" s="7"/>
      <c r="H187" s="7"/>
      <c r="J187" s="340"/>
      <c r="K187" s="400"/>
      <c r="L187" s="340"/>
      <c r="Q187">
        <v>3040</v>
      </c>
      <c r="R187" s="311" t="s">
        <v>734</v>
      </c>
      <c r="X187" s="311"/>
      <c r="Y187" s="308"/>
      <c r="Z187" s="312"/>
    </row>
    <row r="188" spans="1:26" ht="12.75">
      <c r="A188" s="5">
        <v>3010</v>
      </c>
      <c r="B188" s="6" t="str">
        <f t="shared" si="8"/>
        <v>Contributed Surplus</v>
      </c>
      <c r="D188" s="7"/>
      <c r="E188" s="318"/>
      <c r="F188" s="7"/>
      <c r="H188" s="7"/>
      <c r="J188" s="340"/>
      <c r="K188" s="400"/>
      <c r="L188" s="340"/>
      <c r="Q188">
        <v>3045</v>
      </c>
      <c r="R188" s="311" t="s">
        <v>735</v>
      </c>
      <c r="X188" s="311"/>
      <c r="Y188" s="308"/>
      <c r="Z188" s="312"/>
    </row>
    <row r="189" spans="1:26" ht="12.75">
      <c r="A189" s="5">
        <v>3020</v>
      </c>
      <c r="B189" s="6" t="str">
        <f t="shared" si="8"/>
        <v>Donations Received</v>
      </c>
      <c r="D189" s="7"/>
      <c r="E189" s="318"/>
      <c r="F189" s="7"/>
      <c r="H189" s="7"/>
      <c r="J189" s="340"/>
      <c r="K189" s="400"/>
      <c r="L189" s="340"/>
      <c r="Q189">
        <v>3046</v>
      </c>
      <c r="R189" t="s">
        <v>736</v>
      </c>
      <c r="X189" s="311"/>
      <c r="Y189" s="308"/>
      <c r="Z189" s="312"/>
    </row>
    <row r="190" spans="1:26" ht="12.75">
      <c r="A190" s="5">
        <v>3022</v>
      </c>
      <c r="B190" s="6" t="str">
        <f t="shared" si="8"/>
        <v>Devolpment Charges Transferred to Equity</v>
      </c>
      <c r="D190" s="7"/>
      <c r="E190" s="318"/>
      <c r="F190" s="7"/>
      <c r="H190" s="7"/>
      <c r="J190" s="340"/>
      <c r="K190" s="400"/>
      <c r="L190" s="340"/>
      <c r="Q190">
        <v>3047</v>
      </c>
      <c r="R190" t="s">
        <v>737</v>
      </c>
      <c r="X190" s="311"/>
      <c r="Y190" s="308"/>
      <c r="Z190" s="312"/>
    </row>
    <row r="191" spans="1:26" ht="12.75">
      <c r="A191" s="5">
        <v>3026</v>
      </c>
      <c r="B191" s="6" t="str">
        <f t="shared" si="8"/>
        <v>Capital Stock Held in Treasury</v>
      </c>
      <c r="D191" s="7"/>
      <c r="E191" s="318"/>
      <c r="F191" s="7"/>
      <c r="H191" s="7"/>
      <c r="J191" s="340"/>
      <c r="K191" s="400"/>
      <c r="L191" s="340"/>
      <c r="Q191">
        <v>3048</v>
      </c>
      <c r="R191" t="s">
        <v>738</v>
      </c>
      <c r="X191" s="311"/>
      <c r="Y191" s="308"/>
      <c r="Z191" s="312"/>
    </row>
    <row r="192" spans="1:26" ht="12.75">
      <c r="A192" s="5">
        <v>3030</v>
      </c>
      <c r="B192" s="6" t="str">
        <f t="shared" si="8"/>
        <v>Miscellaneous Paid-In Capital</v>
      </c>
      <c r="D192" s="7"/>
      <c r="E192" s="318"/>
      <c r="F192" s="7"/>
      <c r="H192" s="7"/>
      <c r="J192" s="340"/>
      <c r="K192" s="400"/>
      <c r="L192" s="340"/>
      <c r="Q192">
        <v>3049</v>
      </c>
      <c r="R192" t="s">
        <v>739</v>
      </c>
      <c r="X192" s="311"/>
      <c r="Y192" s="308"/>
      <c r="Z192" s="312"/>
    </row>
    <row r="193" spans="1:26" ht="12.75">
      <c r="A193" s="5">
        <v>3035</v>
      </c>
      <c r="B193" s="6" t="str">
        <f t="shared" si="8"/>
        <v>Installments Received on Capital Stock</v>
      </c>
      <c r="D193" s="7"/>
      <c r="E193" s="318"/>
      <c r="F193" s="7"/>
      <c r="H193" s="7"/>
      <c r="J193" s="340"/>
      <c r="K193" s="400"/>
      <c r="L193" s="340"/>
      <c r="Q193">
        <v>3055</v>
      </c>
      <c r="R193" t="s">
        <v>740</v>
      </c>
      <c r="X193" s="311"/>
      <c r="Y193" s="308"/>
      <c r="Z193" s="312"/>
    </row>
    <row r="194" spans="1:26" ht="12.75">
      <c r="A194" s="5">
        <v>3040</v>
      </c>
      <c r="B194" s="6" t="str">
        <f t="shared" si="8"/>
        <v>Appropriated Retained Earnings</v>
      </c>
      <c r="D194" s="7"/>
      <c r="E194" s="318"/>
      <c r="F194" s="7"/>
      <c r="H194" s="7"/>
      <c r="J194" s="340"/>
      <c r="K194" s="400"/>
      <c r="L194" s="340"/>
      <c r="Q194">
        <v>3065</v>
      </c>
      <c r="R194" t="s">
        <v>741</v>
      </c>
      <c r="X194" s="311"/>
      <c r="Y194" s="308"/>
      <c r="Z194" s="312"/>
    </row>
    <row r="195" spans="1:26" ht="12.75">
      <c r="A195" s="5">
        <v>3045</v>
      </c>
      <c r="B195" s="6" t="str">
        <f t="shared" si="8"/>
        <v>Unappropriated Retained Earnings</v>
      </c>
      <c r="D195" s="340">
        <f>-5125521+30.26</f>
        <v>-5125490.74</v>
      </c>
      <c r="E195" s="318"/>
      <c r="F195" s="7">
        <f>-4474616.19</f>
        <v>-4474616.19</v>
      </c>
      <c r="H195" s="7">
        <f>-5834547.13</f>
        <v>-5834547.13</v>
      </c>
      <c r="J195" s="340">
        <v>-6250406</v>
      </c>
      <c r="K195" s="400"/>
      <c r="L195" s="340">
        <v>-4448474.33076126</v>
      </c>
      <c r="Q195">
        <v>4006</v>
      </c>
      <c r="R195" t="s">
        <v>742</v>
      </c>
      <c r="Y195" s="308"/>
      <c r="Z195" s="312"/>
    </row>
    <row r="196" spans="1:26" ht="12.75">
      <c r="A196" s="5">
        <v>3046</v>
      </c>
      <c r="B196" s="6" t="str">
        <f t="shared" si="8"/>
        <v>Balance Transferred From Income</v>
      </c>
      <c r="D196" s="339"/>
      <c r="E196" s="318"/>
      <c r="F196" s="7"/>
      <c r="H196" s="7"/>
      <c r="J196" s="340"/>
      <c r="K196" s="400"/>
      <c r="L196" s="340"/>
      <c r="Q196">
        <v>4010</v>
      </c>
      <c r="R196" t="s">
        <v>580</v>
      </c>
      <c r="Y196" s="308"/>
      <c r="Z196" s="312"/>
    </row>
    <row r="197" spans="1:26" ht="12.75">
      <c r="A197" s="5">
        <v>3047</v>
      </c>
      <c r="B197" s="6" t="str">
        <f t="shared" si="8"/>
        <v>Appropriations of Retained Earnings - Current Period</v>
      </c>
      <c r="D197" s="7"/>
      <c r="E197" s="318"/>
      <c r="F197" s="7"/>
      <c r="H197" s="7"/>
      <c r="J197" s="340"/>
      <c r="K197" s="400"/>
      <c r="L197" s="340"/>
      <c r="Q197">
        <v>4015</v>
      </c>
      <c r="R197" t="s">
        <v>581</v>
      </c>
      <c r="Y197" s="308"/>
      <c r="Z197" s="312"/>
    </row>
    <row r="198" spans="1:26" ht="12.75">
      <c r="A198" s="5">
        <v>3048</v>
      </c>
      <c r="B198" s="6" t="str">
        <f t="shared" si="8"/>
        <v>Dividends Payable-Preference Shares</v>
      </c>
      <c r="D198" s="7"/>
      <c r="E198" s="318"/>
      <c r="F198" s="7"/>
      <c r="H198" s="7"/>
      <c r="J198" s="340"/>
      <c r="K198" s="400"/>
      <c r="L198" s="340"/>
      <c r="Q198">
        <v>4020</v>
      </c>
      <c r="R198" t="s">
        <v>582</v>
      </c>
      <c r="Y198" s="308"/>
      <c r="Z198" s="312"/>
    </row>
    <row r="199" spans="1:26" ht="12.75">
      <c r="A199" s="5">
        <v>3049</v>
      </c>
      <c r="B199" s="6" t="str">
        <f t="shared" si="8"/>
        <v>Dividends Payable-Common Shares</v>
      </c>
      <c r="D199" s="7"/>
      <c r="E199" s="318"/>
      <c r="F199" s="7"/>
      <c r="H199" s="7">
        <v>1000000</v>
      </c>
      <c r="J199" s="340">
        <v>1332950</v>
      </c>
      <c r="K199" s="400"/>
      <c r="L199" s="340"/>
      <c r="Q199">
        <v>4025</v>
      </c>
      <c r="R199" t="s">
        <v>743</v>
      </c>
      <c r="Y199" s="308"/>
      <c r="Z199" s="312"/>
    </row>
    <row r="200" spans="1:26" ht="12.75">
      <c r="A200" s="5">
        <v>3055</v>
      </c>
      <c r="B200" s="6" t="str">
        <f t="shared" si="8"/>
        <v>Adjustment to Retained Earnings                 </v>
      </c>
      <c r="D200" s="7"/>
      <c r="E200" s="318"/>
      <c r="F200" s="7"/>
      <c r="H200" s="7"/>
      <c r="J200" s="340"/>
      <c r="K200" s="400"/>
      <c r="L200" s="340"/>
      <c r="Q200">
        <v>4030</v>
      </c>
      <c r="R200" t="s">
        <v>744</v>
      </c>
      <c r="Y200" s="308"/>
      <c r="Z200" s="312"/>
    </row>
    <row r="201" spans="1:26" ht="12.75">
      <c r="A201" s="5">
        <v>3065</v>
      </c>
      <c r="B201" s="6" t="str">
        <f t="shared" si="8"/>
        <v>Unappropriated Undistributed Subsidiary Earnings</v>
      </c>
      <c r="D201" s="7"/>
      <c r="E201" s="318"/>
      <c r="F201" s="7"/>
      <c r="H201" s="7"/>
      <c r="J201" s="340"/>
      <c r="K201" s="400"/>
      <c r="L201" s="340"/>
      <c r="Q201">
        <v>4035</v>
      </c>
      <c r="R201" t="s">
        <v>745</v>
      </c>
      <c r="Y201" s="308"/>
      <c r="Z201" s="312"/>
    </row>
    <row r="202" spans="2:26" ht="12.75">
      <c r="B202" s="315" t="s">
        <v>117</v>
      </c>
      <c r="D202"/>
      <c r="E202" s="318"/>
      <c r="F202"/>
      <c r="K202" s="400"/>
      <c r="Q202">
        <v>4040</v>
      </c>
      <c r="R202" t="s">
        <v>746</v>
      </c>
      <c r="Y202" s="308"/>
      <c r="Z202" s="312"/>
    </row>
    <row r="203" spans="1:26" ht="12.75">
      <c r="A203" s="5">
        <v>4006</v>
      </c>
      <c r="B203" s="6" t="str">
        <f aca="true" t="shared" si="9" ref="B203:B219">VLOOKUP(A203,Q$11:U$383,2)</f>
        <v>Residential Energy Sales</v>
      </c>
      <c r="D203" s="7">
        <v>-9764967.259135686</v>
      </c>
      <c r="E203" s="318"/>
      <c r="F203" s="7">
        <v>-11016848.657567218</v>
      </c>
      <c r="H203" s="7">
        <v>-10039459.53</v>
      </c>
      <c r="J203" s="340">
        <v>-11473276.6988187</v>
      </c>
      <c r="K203" s="400"/>
      <c r="L203" s="340">
        <v>-11436562.548645522</v>
      </c>
      <c r="Q203">
        <v>4045</v>
      </c>
      <c r="R203" t="s">
        <v>747</v>
      </c>
      <c r="Y203" s="308"/>
      <c r="Z203" s="312"/>
    </row>
    <row r="204" spans="1:26" ht="12.75">
      <c r="A204" s="5">
        <v>4010</v>
      </c>
      <c r="B204" s="6" t="str">
        <f t="shared" si="9"/>
        <v>Commercial Energy Sales</v>
      </c>
      <c r="D204" s="7">
        <v>-4748007.624784709</v>
      </c>
      <c r="E204" s="318"/>
      <c r="F204" s="7">
        <v>-5241082.269869311</v>
      </c>
      <c r="H204" s="7">
        <v>-4704556.83</v>
      </c>
      <c r="J204" s="340">
        <v>-4780971.143967383</v>
      </c>
      <c r="K204" s="400"/>
      <c r="L204" s="340">
        <v>-4747700.848502402</v>
      </c>
      <c r="Q204">
        <v>4050</v>
      </c>
      <c r="R204" t="s">
        <v>748</v>
      </c>
      <c r="Y204" s="308"/>
      <c r="Z204" s="312"/>
    </row>
    <row r="205" spans="1:26" ht="12.75">
      <c r="A205" s="5">
        <v>4015</v>
      </c>
      <c r="B205" s="6" t="str">
        <f t="shared" si="9"/>
        <v>Industrial Energy Sales</v>
      </c>
      <c r="D205" s="7"/>
      <c r="E205" s="318"/>
      <c r="F205" s="7"/>
      <c r="H205" s="7"/>
      <c r="J205" s="340"/>
      <c r="K205" s="400"/>
      <c r="L205" s="340"/>
      <c r="Q205">
        <v>4055</v>
      </c>
      <c r="R205" t="s">
        <v>583</v>
      </c>
      <c r="Y205" s="308"/>
      <c r="Z205" s="312"/>
    </row>
    <row r="206" spans="1:26" ht="12.75">
      <c r="A206" s="5">
        <v>4020</v>
      </c>
      <c r="B206" s="6" t="str">
        <f t="shared" si="9"/>
        <v>Energy Sales to Large Users</v>
      </c>
      <c r="D206" s="7"/>
      <c r="E206" s="318"/>
      <c r="F206" s="7"/>
      <c r="H206" s="7"/>
      <c r="J206" s="340"/>
      <c r="K206" s="400"/>
      <c r="L206" s="340"/>
      <c r="Q206">
        <v>4060</v>
      </c>
      <c r="R206" t="s">
        <v>749</v>
      </c>
      <c r="Y206" s="308"/>
      <c r="Z206" s="312"/>
    </row>
    <row r="207" spans="1:26" ht="12.75">
      <c r="A207" s="5">
        <v>4025</v>
      </c>
      <c r="B207" s="6" t="str">
        <f t="shared" si="9"/>
        <v>Street Lighting Energy Sales</v>
      </c>
      <c r="D207" s="7">
        <v>-210981.23820744696</v>
      </c>
      <c r="E207" s="318"/>
      <c r="F207" s="7">
        <v>-233601.525750669</v>
      </c>
      <c r="H207" s="7">
        <v>-148938.45</v>
      </c>
      <c r="J207" s="340">
        <v>-154765.3023248017</v>
      </c>
      <c r="K207" s="400"/>
      <c r="L207" s="340">
        <v>-173620.8639521105</v>
      </c>
      <c r="Q207">
        <v>4062</v>
      </c>
      <c r="R207" t="s">
        <v>750</v>
      </c>
      <c r="Y207" s="308"/>
      <c r="Z207" s="312"/>
    </row>
    <row r="208" spans="1:26" ht="12.75">
      <c r="A208" s="5">
        <v>4030</v>
      </c>
      <c r="B208" s="6" t="str">
        <f t="shared" si="9"/>
        <v>Sentinel Energy Sales</v>
      </c>
      <c r="D208" s="7">
        <v>-29312.310330347904</v>
      </c>
      <c r="E208" s="318"/>
      <c r="F208" s="7">
        <v>-27520.97</v>
      </c>
      <c r="H208" s="7">
        <v>-28141.7</v>
      </c>
      <c r="J208" s="340">
        <v>-31031.96179368115</v>
      </c>
      <c r="K208" s="400"/>
      <c r="L208" s="340">
        <v>-30768.42274407067</v>
      </c>
      <c r="Q208">
        <v>4064</v>
      </c>
      <c r="R208" t="s">
        <v>135</v>
      </c>
      <c r="Z208" s="312"/>
    </row>
    <row r="209" spans="1:26" ht="12.75">
      <c r="A209" s="5">
        <v>4035</v>
      </c>
      <c r="B209" s="6" t="str">
        <f t="shared" si="9"/>
        <v>General Energy Sales</v>
      </c>
      <c r="D209" s="7">
        <v>-10833854.848406652</v>
      </c>
      <c r="E209" s="318"/>
      <c r="F209" s="7">
        <v>-11624295.240474284</v>
      </c>
      <c r="H209" s="7">
        <v>-11453425.25</v>
      </c>
      <c r="J209" s="340">
        <v>-11852264.089735914</v>
      </c>
      <c r="K209" s="400"/>
      <c r="L209" s="340">
        <v>-12912998.66147817</v>
      </c>
      <c r="Q209">
        <v>4066</v>
      </c>
      <c r="R209" t="s">
        <v>0</v>
      </c>
      <c r="Y209" s="308"/>
      <c r="Z209" s="312"/>
    </row>
    <row r="210" spans="1:26" ht="12.75">
      <c r="A210" s="5">
        <v>4040</v>
      </c>
      <c r="B210" s="6" t="str">
        <f t="shared" si="9"/>
        <v>Other Energy Sales to Public Authorities</v>
      </c>
      <c r="D210" s="7"/>
      <c r="E210" s="318"/>
      <c r="F210" s="7"/>
      <c r="H210" s="7"/>
      <c r="J210" s="340"/>
      <c r="K210" s="400"/>
      <c r="L210" s="340"/>
      <c r="Q210">
        <v>4068</v>
      </c>
      <c r="R210" t="s">
        <v>1</v>
      </c>
      <c r="Y210" s="308"/>
      <c r="Z210" s="312"/>
    </row>
    <row r="211" spans="1:26" ht="12.75">
      <c r="A211" s="5">
        <v>4045</v>
      </c>
      <c r="B211" s="6" t="str">
        <f t="shared" si="9"/>
        <v>Energy Sales to Railroads and Railways</v>
      </c>
      <c r="D211" s="7"/>
      <c r="E211" s="318"/>
      <c r="F211" s="7"/>
      <c r="H211" s="7"/>
      <c r="J211" s="340"/>
      <c r="K211" s="400"/>
      <c r="L211" s="340"/>
      <c r="Q211">
        <v>4075</v>
      </c>
      <c r="R211" t="s">
        <v>751</v>
      </c>
      <c r="Y211" s="308"/>
      <c r="Z211" s="312"/>
    </row>
    <row r="212" spans="1:26" ht="12.75">
      <c r="A212" s="5">
        <v>4050</v>
      </c>
      <c r="B212" s="6" t="str">
        <f t="shared" si="9"/>
        <v>Revenue Adjustment</v>
      </c>
      <c r="D212" s="7"/>
      <c r="E212" s="318"/>
      <c r="F212" s="7"/>
      <c r="H212" s="7"/>
      <c r="J212" s="340"/>
      <c r="K212" s="400"/>
      <c r="L212" s="340"/>
      <c r="Q212">
        <v>4080</v>
      </c>
      <c r="R212" t="s">
        <v>752</v>
      </c>
      <c r="Y212" s="308"/>
      <c r="Z212" s="312"/>
    </row>
    <row r="213" spans="1:26" ht="12.75">
      <c r="A213" s="5">
        <v>4055</v>
      </c>
      <c r="B213" s="6" t="str">
        <f t="shared" si="9"/>
        <v>Energy Sales for Resale</v>
      </c>
      <c r="D213" s="7">
        <v>-7066310.809135161</v>
      </c>
      <c r="E213" s="318"/>
      <c r="F213" s="7">
        <v>-7993843.076338516</v>
      </c>
      <c r="H213" s="7">
        <v>-6577704.65</v>
      </c>
      <c r="J213" s="340">
        <v>-5737674.595706412</v>
      </c>
      <c r="K213" s="400"/>
      <c r="L213" s="340">
        <v>-6425347.592246674</v>
      </c>
      <c r="Q213">
        <v>4082</v>
      </c>
      <c r="R213" t="s">
        <v>753</v>
      </c>
      <c r="Y213" s="308"/>
      <c r="Z213" s="312"/>
    </row>
    <row r="214" spans="1:26" ht="12.75">
      <c r="A214" s="5">
        <v>4060</v>
      </c>
      <c r="B214" s="6" t="str">
        <f t="shared" si="9"/>
        <v>Interdepartmental Energy Sales</v>
      </c>
      <c r="D214" s="7"/>
      <c r="E214" s="318"/>
      <c r="F214" s="7"/>
      <c r="H214" s="7"/>
      <c r="J214" s="340"/>
      <c r="K214" s="400"/>
      <c r="L214" s="340"/>
      <c r="Q214">
        <v>4084</v>
      </c>
      <c r="R214" t="s">
        <v>754</v>
      </c>
      <c r="Y214" s="308"/>
      <c r="Z214" s="312"/>
    </row>
    <row r="215" spans="1:26" ht="12.75">
      <c r="A215" s="5">
        <v>4062</v>
      </c>
      <c r="B215" s="6" t="str">
        <f t="shared" si="9"/>
        <v>WMS</v>
      </c>
      <c r="D215" s="7">
        <v>-3039478.97</v>
      </c>
      <c r="E215" s="318"/>
      <c r="F215" s="7">
        <v>-3216055.4</v>
      </c>
      <c r="H215" s="7">
        <v>-3328633.87</v>
      </c>
      <c r="J215" s="340">
        <v>-3491913.447137632</v>
      </c>
      <c r="K215" s="400"/>
      <c r="L215" s="340">
        <v>-3589161.9692549435</v>
      </c>
      <c r="Q215">
        <v>4090</v>
      </c>
      <c r="R215" t="s">
        <v>755</v>
      </c>
      <c r="Y215" s="308"/>
      <c r="Z215" s="312"/>
    </row>
    <row r="216" spans="1:26" ht="12.75">
      <c r="A216" s="5">
        <v>4064</v>
      </c>
      <c r="B216" s="6" t="str">
        <f t="shared" si="9"/>
        <v>Billed WMS-One Time</v>
      </c>
      <c r="D216" s="7"/>
      <c r="E216" s="318"/>
      <c r="F216" s="7"/>
      <c r="H216" s="7"/>
      <c r="J216" s="340"/>
      <c r="K216" s="400"/>
      <c r="L216" s="340"/>
      <c r="Q216">
        <v>4205</v>
      </c>
      <c r="R216" t="s">
        <v>756</v>
      </c>
      <c r="Y216" s="308"/>
      <c r="Z216" s="312"/>
    </row>
    <row r="217" spans="1:26" ht="12.75">
      <c r="A217" s="5">
        <v>4066</v>
      </c>
      <c r="B217" s="6" t="str">
        <f t="shared" si="9"/>
        <v>NS</v>
      </c>
      <c r="D217" s="7">
        <v>-2993203.74</v>
      </c>
      <c r="E217" s="318"/>
      <c r="F217" s="7">
        <v>-3302139.75</v>
      </c>
      <c r="H217" s="7">
        <v>-2422649.1</v>
      </c>
      <c r="J217" s="340">
        <v>-2673294.31</v>
      </c>
      <c r="K217" s="400"/>
      <c r="L217" s="340">
        <v>-2821839.9765036916</v>
      </c>
      <c r="Q217">
        <v>4210</v>
      </c>
      <c r="R217" t="s">
        <v>757</v>
      </c>
      <c r="Y217" s="308"/>
      <c r="Z217" s="312"/>
    </row>
    <row r="218" spans="1:26" ht="12.75">
      <c r="A218" s="5">
        <v>4068</v>
      </c>
      <c r="B218" s="6" t="str">
        <f t="shared" si="9"/>
        <v>CS</v>
      </c>
      <c r="D218" s="7">
        <v>-2538540.04</v>
      </c>
      <c r="E218" s="318"/>
      <c r="F218" s="7">
        <v>-2690547.84</v>
      </c>
      <c r="H218" s="7">
        <v>-2373685.71</v>
      </c>
      <c r="J218" s="340">
        <v>-2412674.66</v>
      </c>
      <c r="K218" s="400"/>
      <c r="L218" s="340">
        <v>-2478187.893228147</v>
      </c>
      <c r="Q218">
        <v>4215</v>
      </c>
      <c r="R218" t="s">
        <v>758</v>
      </c>
      <c r="Y218" s="308"/>
      <c r="Z218" s="312"/>
    </row>
    <row r="219" spans="1:26" ht="12.75">
      <c r="A219" s="5">
        <v>4075</v>
      </c>
      <c r="B219" s="6" t="str">
        <f t="shared" si="9"/>
        <v>LV Charges</v>
      </c>
      <c r="D219" s="7"/>
      <c r="E219" s="318"/>
      <c r="F219" s="7"/>
      <c r="H219" s="7"/>
      <c r="J219" s="340">
        <v>-21480.57</v>
      </c>
      <c r="K219" s="400"/>
      <c r="L219" s="340">
        <v>-21564.85</v>
      </c>
      <c r="Q219">
        <v>4220</v>
      </c>
      <c r="R219" t="s">
        <v>759</v>
      </c>
      <c r="Y219" s="308"/>
      <c r="Z219" s="312"/>
    </row>
    <row r="220" spans="2:26" ht="12.75">
      <c r="B220" s="315" t="s">
        <v>118</v>
      </c>
      <c r="D220"/>
      <c r="E220" s="318"/>
      <c r="F220"/>
      <c r="K220" s="400"/>
      <c r="M220" s="388"/>
      <c r="N220" s="388"/>
      <c r="Q220">
        <v>4225</v>
      </c>
      <c r="R220" t="s">
        <v>760</v>
      </c>
      <c r="Y220" s="308"/>
      <c r="Z220" s="312"/>
    </row>
    <row r="221" spans="1:26" ht="12.75">
      <c r="A221" s="5">
        <v>4080</v>
      </c>
      <c r="B221" s="6" t="str">
        <f>VLOOKUP(A221,Q$11:U$383,2)</f>
        <v>Distribution Services Revenue</v>
      </c>
      <c r="D221" s="7">
        <v>-8570883.32</v>
      </c>
      <c r="E221" s="318"/>
      <c r="F221" s="7">
        <f>-10113227.43+0.64</f>
        <v>-10113226.79</v>
      </c>
      <c r="H221" s="343">
        <v>-9936308.15</v>
      </c>
      <c r="J221" s="340">
        <v>-10030666.8368508</v>
      </c>
      <c r="K221" s="400"/>
      <c r="L221" s="340">
        <v>-10049807.0267845</v>
      </c>
      <c r="M221" s="389"/>
      <c r="N221" s="389"/>
      <c r="Q221">
        <v>4230</v>
      </c>
      <c r="R221" t="s">
        <v>761</v>
      </c>
      <c r="Y221" s="308"/>
      <c r="Z221" s="312"/>
    </row>
    <row r="222" spans="1:26" ht="12.75">
      <c r="A222" s="5">
        <v>4082</v>
      </c>
      <c r="B222" s="6" t="str">
        <f>VLOOKUP(A222,Q$11:U$383,2)</f>
        <v>RS Rev</v>
      </c>
      <c r="D222" s="7"/>
      <c r="E222" s="318"/>
      <c r="F222" s="7"/>
      <c r="H222" s="7"/>
      <c r="J222" s="340"/>
      <c r="K222" s="400"/>
      <c r="L222" s="340"/>
      <c r="M222" s="389"/>
      <c r="N222" s="389"/>
      <c r="Q222">
        <v>4235</v>
      </c>
      <c r="R222" t="s">
        <v>762</v>
      </c>
      <c r="Y222" s="308"/>
      <c r="Z222" s="312"/>
    </row>
    <row r="223" spans="1:26" ht="12.75">
      <c r="A223" s="5">
        <v>4084</v>
      </c>
      <c r="B223" s="6" t="str">
        <f>VLOOKUP(A223,Q$11:U$383,2)</f>
        <v>Serv Tx Requests</v>
      </c>
      <c r="D223" s="7"/>
      <c r="E223" s="318"/>
      <c r="F223" s="7"/>
      <c r="H223" s="7"/>
      <c r="J223" s="340"/>
      <c r="K223" s="400"/>
      <c r="L223" s="340"/>
      <c r="M223" s="390"/>
      <c r="N223" s="21"/>
      <c r="Q223">
        <v>4240</v>
      </c>
      <c r="R223" t="s">
        <v>763</v>
      </c>
      <c r="Y223" s="308"/>
      <c r="Z223" s="312"/>
    </row>
    <row r="224" spans="1:26" ht="12.75">
      <c r="A224" s="5">
        <v>4090</v>
      </c>
      <c r="B224" s="6" t="str">
        <f>VLOOKUP(A224,Q$11:U$383,2)</f>
        <v>Electric Services Incidental to Energy Sales</v>
      </c>
      <c r="D224" s="7"/>
      <c r="E224" s="318"/>
      <c r="F224" s="7"/>
      <c r="H224" s="7"/>
      <c r="J224" s="340"/>
      <c r="K224" s="400"/>
      <c r="L224" s="340"/>
      <c r="Q224">
        <v>4245</v>
      </c>
      <c r="R224" t="s">
        <v>764</v>
      </c>
      <c r="Y224" s="308"/>
      <c r="Z224" s="312"/>
    </row>
    <row r="225" spans="2:26" ht="12.75">
      <c r="B225" s="315" t="s">
        <v>119</v>
      </c>
      <c r="D225"/>
      <c r="E225" s="318"/>
      <c r="F225"/>
      <c r="K225" s="400"/>
      <c r="Q225">
        <v>4305</v>
      </c>
      <c r="R225" t="s">
        <v>765</v>
      </c>
      <c r="Y225" s="308"/>
      <c r="Z225" s="312"/>
    </row>
    <row r="226" spans="1:26" ht="12.75">
      <c r="A226" s="5">
        <v>4205</v>
      </c>
      <c r="B226" s="6" t="str">
        <f aca="true" t="shared" si="10" ref="B226:B234">VLOOKUP(A226,Q$11:U$383,2)</f>
        <v>Interdepartmental Rents</v>
      </c>
      <c r="D226" s="7"/>
      <c r="E226" s="318"/>
      <c r="F226" s="7"/>
      <c r="H226" s="7"/>
      <c r="J226" s="340"/>
      <c r="K226" s="400"/>
      <c r="L226" s="402"/>
      <c r="Q226">
        <v>4310</v>
      </c>
      <c r="R226" t="s">
        <v>766</v>
      </c>
      <c r="Y226" s="308"/>
      <c r="Z226" s="312"/>
    </row>
    <row r="227" spans="1:26" ht="12.75">
      <c r="A227" s="5">
        <v>4210</v>
      </c>
      <c r="B227" s="6" t="str">
        <f t="shared" si="10"/>
        <v>Rent from Electric Property</v>
      </c>
      <c r="D227" s="7">
        <v>-203988.76</v>
      </c>
      <c r="E227" s="318"/>
      <c r="F227" s="7">
        <v>-177540.01</v>
      </c>
      <c r="H227" s="7">
        <v>-181918.36</v>
      </c>
      <c r="J227" s="340">
        <v>-182828.66666666666</v>
      </c>
      <c r="K227" s="400"/>
      <c r="L227" s="340">
        <v>-183307.78</v>
      </c>
      <c r="Q227">
        <v>4315</v>
      </c>
      <c r="R227" t="s">
        <v>767</v>
      </c>
      <c r="Y227" s="308"/>
      <c r="Z227" s="312"/>
    </row>
    <row r="228" spans="1:26" ht="12.75">
      <c r="A228" s="5">
        <v>4215</v>
      </c>
      <c r="B228" s="6" t="str">
        <f t="shared" si="10"/>
        <v>Other Utility Operating Income</v>
      </c>
      <c r="D228" s="7"/>
      <c r="E228" s="318"/>
      <c r="F228" s="7"/>
      <c r="H228" s="7"/>
      <c r="J228" s="340"/>
      <c r="K228" s="400"/>
      <c r="L228" s="340"/>
      <c r="Q228">
        <v>4320</v>
      </c>
      <c r="R228" t="s">
        <v>768</v>
      </c>
      <c r="Y228" s="308"/>
      <c r="Z228" s="312"/>
    </row>
    <row r="229" spans="1:26" ht="12.75">
      <c r="A229" s="5">
        <v>4220</v>
      </c>
      <c r="B229" s="6" t="str">
        <f t="shared" si="10"/>
        <v>Other Electric Revenues</v>
      </c>
      <c r="D229" s="7"/>
      <c r="E229" s="318"/>
      <c r="F229" s="7"/>
      <c r="H229" s="7"/>
      <c r="J229" s="340"/>
      <c r="K229" s="400"/>
      <c r="L229" s="340"/>
      <c r="Q229">
        <v>4325</v>
      </c>
      <c r="R229" t="s">
        <v>769</v>
      </c>
      <c r="Y229" s="308"/>
      <c r="Z229" s="312"/>
    </row>
    <row r="230" spans="1:26" ht="12.75">
      <c r="A230" s="5">
        <v>4225</v>
      </c>
      <c r="B230" s="6" t="str">
        <f t="shared" si="10"/>
        <v>Late Payment Charges</v>
      </c>
      <c r="D230" s="7">
        <v>-17719.5</v>
      </c>
      <c r="E230" s="318"/>
      <c r="F230" s="7">
        <v>-117945.58</v>
      </c>
      <c r="H230" s="7">
        <v>-132767.63</v>
      </c>
      <c r="J230" s="340">
        <v>-135000</v>
      </c>
      <c r="K230" s="400"/>
      <c r="L230" s="340">
        <v>-137700</v>
      </c>
      <c r="Q230">
        <v>4330</v>
      </c>
      <c r="R230" t="s">
        <v>770</v>
      </c>
      <c r="Y230" s="308"/>
      <c r="Z230" s="312"/>
    </row>
    <row r="231" spans="1:26" ht="12.75">
      <c r="A231" s="5">
        <v>4230</v>
      </c>
      <c r="B231" s="6" t="str">
        <f t="shared" si="10"/>
        <v>Sales of Water and Water Power</v>
      </c>
      <c r="D231" s="7"/>
      <c r="E231" s="318"/>
      <c r="F231" s="7"/>
      <c r="H231" s="7"/>
      <c r="J231" s="340"/>
      <c r="K231" s="400"/>
      <c r="L231" s="340"/>
      <c r="Q231">
        <v>4335</v>
      </c>
      <c r="R231" t="s">
        <v>771</v>
      </c>
      <c r="Y231" s="308"/>
      <c r="Z231" s="312"/>
    </row>
    <row r="232" spans="1:26" ht="12.75">
      <c r="A232" s="5">
        <v>4235</v>
      </c>
      <c r="B232" s="6" t="str">
        <f t="shared" si="10"/>
        <v>Miscellaneous Service Revenues</v>
      </c>
      <c r="D232" s="7">
        <v>-326963.79</v>
      </c>
      <c r="E232" s="318"/>
      <c r="F232" s="7">
        <v>-376426.75</v>
      </c>
      <c r="H232" s="7">
        <v>-297555.17</v>
      </c>
      <c r="J232" s="340">
        <v>-308710.2</v>
      </c>
      <c r="K232" s="400"/>
      <c r="L232" s="340">
        <v>-320753.06</v>
      </c>
      <c r="Q232">
        <v>4340</v>
      </c>
      <c r="R232" t="s">
        <v>772</v>
      </c>
      <c r="Y232" s="308"/>
      <c r="Z232" s="312"/>
    </row>
    <row r="233" spans="1:26" ht="12.75">
      <c r="A233" s="5">
        <v>4240</v>
      </c>
      <c r="B233" s="6" t="str">
        <f t="shared" si="10"/>
        <v>Provision for Rate Refunds</v>
      </c>
      <c r="D233" s="7"/>
      <c r="E233" s="318"/>
      <c r="F233" s="7"/>
      <c r="H233" s="7"/>
      <c r="J233" s="340"/>
      <c r="K233" s="400"/>
      <c r="L233" s="340"/>
      <c r="Q233">
        <v>4345</v>
      </c>
      <c r="R233" t="s">
        <v>773</v>
      </c>
      <c r="Y233" s="308"/>
      <c r="Z233" s="312"/>
    </row>
    <row r="234" spans="1:26" ht="12.75">
      <c r="A234" s="5">
        <v>4245</v>
      </c>
      <c r="B234" s="6" t="str">
        <f t="shared" si="10"/>
        <v>Government Assistance Directly Credited to Income</v>
      </c>
      <c r="D234" s="7"/>
      <c r="E234" s="318"/>
      <c r="F234" s="7"/>
      <c r="H234" s="7"/>
      <c r="J234" s="340"/>
      <c r="K234" s="400"/>
      <c r="L234" s="340"/>
      <c r="Q234">
        <v>4350</v>
      </c>
      <c r="R234" t="s">
        <v>774</v>
      </c>
      <c r="Y234" s="308"/>
      <c r="Z234" s="312"/>
    </row>
    <row r="235" spans="2:26" ht="12.75">
      <c r="B235" s="315" t="s">
        <v>120</v>
      </c>
      <c r="D235"/>
      <c r="E235" s="318"/>
      <c r="F235"/>
      <c r="K235" s="400"/>
      <c r="Q235">
        <v>4355</v>
      </c>
      <c r="R235" t="s">
        <v>775</v>
      </c>
      <c r="Y235" s="308"/>
      <c r="Z235" s="312"/>
    </row>
    <row r="236" spans="1:26" ht="12.75">
      <c r="A236" s="5">
        <v>4305</v>
      </c>
      <c r="B236" s="6" t="str">
        <f aca="true" t="shared" si="11" ref="B236:B255">VLOOKUP(A236,Q$11:U$383,2)</f>
        <v>Regulatory Debits</v>
      </c>
      <c r="D236" s="7"/>
      <c r="E236" s="318"/>
      <c r="F236" s="7"/>
      <c r="H236" s="7"/>
      <c r="J236" s="340"/>
      <c r="K236" s="400"/>
      <c r="L236" s="340"/>
      <c r="Q236">
        <v>4360</v>
      </c>
      <c r="R236" t="s">
        <v>776</v>
      </c>
      <c r="Y236" s="308"/>
      <c r="Z236" s="312"/>
    </row>
    <row r="237" spans="1:26" ht="12.75">
      <c r="A237" s="5">
        <v>4310</v>
      </c>
      <c r="B237" s="6" t="str">
        <f t="shared" si="11"/>
        <v>Regulatory Credits</v>
      </c>
      <c r="D237" s="7"/>
      <c r="E237" s="318"/>
      <c r="F237" s="7"/>
      <c r="H237" s="7"/>
      <c r="J237" s="340"/>
      <c r="K237" s="400"/>
      <c r="L237" s="340"/>
      <c r="Q237">
        <v>4365</v>
      </c>
      <c r="R237" t="s">
        <v>777</v>
      </c>
      <c r="Y237" s="308"/>
      <c r="Z237" s="312"/>
    </row>
    <row r="238" spans="1:26" ht="12.75">
      <c r="A238" s="5">
        <v>4315</v>
      </c>
      <c r="B238" s="6" t="str">
        <f t="shared" si="11"/>
        <v>Revenues from Electric Plant Leased to Others</v>
      </c>
      <c r="D238" s="7"/>
      <c r="E238" s="318"/>
      <c r="F238" s="7"/>
      <c r="H238" s="7"/>
      <c r="J238" s="340"/>
      <c r="K238" s="400"/>
      <c r="L238" s="340"/>
      <c r="Q238">
        <v>4370</v>
      </c>
      <c r="R238" t="s">
        <v>778</v>
      </c>
      <c r="Y238" s="308"/>
      <c r="Z238" s="312"/>
    </row>
    <row r="239" spans="1:26" ht="12.75">
      <c r="A239" s="5">
        <v>4320</v>
      </c>
      <c r="B239" s="6" t="str">
        <f t="shared" si="11"/>
        <v>Expenses of Electric Plant Leased to Others</v>
      </c>
      <c r="D239" s="7"/>
      <c r="E239" s="318"/>
      <c r="F239" s="7"/>
      <c r="H239" s="7"/>
      <c r="J239" s="340"/>
      <c r="K239" s="400"/>
      <c r="L239" s="340"/>
      <c r="Q239">
        <v>4375</v>
      </c>
      <c r="R239" t="s">
        <v>779</v>
      </c>
      <c r="Y239" s="308"/>
      <c r="Z239" s="312"/>
    </row>
    <row r="240" spans="1:26" ht="12.75">
      <c r="A240" s="5">
        <v>4325</v>
      </c>
      <c r="B240" s="6" t="str">
        <f t="shared" si="11"/>
        <v>Revenues from Merchandise, Jobbing, Etc.</v>
      </c>
      <c r="D240" s="7">
        <v>-53587.68</v>
      </c>
      <c r="E240" s="318"/>
      <c r="F240" s="7">
        <v>-17140.53</v>
      </c>
      <c r="H240" s="7">
        <v>-14711.2</v>
      </c>
      <c r="J240" s="340">
        <v>-15181.33</v>
      </c>
      <c r="K240" s="400"/>
      <c r="L240" s="340">
        <v>-12268.92</v>
      </c>
      <c r="Q240">
        <v>4380</v>
      </c>
      <c r="R240" t="s">
        <v>780</v>
      </c>
      <c r="Y240" s="308"/>
      <c r="Z240" s="312"/>
    </row>
    <row r="241" spans="1:26" ht="12.75">
      <c r="A241" s="5">
        <v>4330</v>
      </c>
      <c r="B241" s="6" t="str">
        <f t="shared" si="11"/>
        <v>Costs and Expenses of Merchandising, Jobbing, Etc</v>
      </c>
      <c r="D241" s="7">
        <v>35227.89</v>
      </c>
      <c r="E241" s="318"/>
      <c r="F241" s="7">
        <v>7174.51</v>
      </c>
      <c r="H241" s="7">
        <v>5468.65</v>
      </c>
      <c r="J241" s="340">
        <v>10155.33</v>
      </c>
      <c r="K241" s="400"/>
      <c r="L241" s="340">
        <v>6152</v>
      </c>
      <c r="Q241">
        <v>4381</v>
      </c>
      <c r="R241" t="s">
        <v>780</v>
      </c>
      <c r="Y241" s="308"/>
      <c r="Z241" s="312"/>
    </row>
    <row r="242" spans="1:26" ht="12.75">
      <c r="A242" s="5">
        <v>4335</v>
      </c>
      <c r="B242" s="6" t="str">
        <f t="shared" si="11"/>
        <v>Profits and Losses from Financial Instrument Hedges</v>
      </c>
      <c r="D242" s="7"/>
      <c r="E242" s="318"/>
      <c r="F242" s="7"/>
      <c r="H242" s="7"/>
      <c r="J242" s="402"/>
      <c r="K242" s="400"/>
      <c r="L242" s="340"/>
      <c r="Q242">
        <v>4390</v>
      </c>
      <c r="R242" t="s">
        <v>781</v>
      </c>
      <c r="Y242" s="308"/>
      <c r="Z242" s="312"/>
    </row>
    <row r="243" spans="1:26" ht="12.75">
      <c r="A243" s="5">
        <v>4340</v>
      </c>
      <c r="B243" s="6" t="str">
        <f t="shared" si="11"/>
        <v>Profits and Losses from Financial Instrument Investments</v>
      </c>
      <c r="D243" s="7"/>
      <c r="E243" s="318"/>
      <c r="F243" s="7"/>
      <c r="H243" s="7"/>
      <c r="J243" s="402"/>
      <c r="K243" s="400"/>
      <c r="L243" s="340"/>
      <c r="Q243">
        <v>4395</v>
      </c>
      <c r="R243" t="s">
        <v>782</v>
      </c>
      <c r="Y243" s="308"/>
      <c r="Z243" s="312"/>
    </row>
    <row r="244" spans="1:26" ht="12.75">
      <c r="A244" s="5">
        <v>4345</v>
      </c>
      <c r="B244" s="6" t="str">
        <f t="shared" si="11"/>
        <v>Gains from Disposition of Future Use Utility Plant</v>
      </c>
      <c r="D244" s="7"/>
      <c r="E244" s="318"/>
      <c r="F244" s="7"/>
      <c r="H244" s="7"/>
      <c r="J244" s="402"/>
      <c r="K244" s="400"/>
      <c r="L244" s="340"/>
      <c r="Q244">
        <v>4398</v>
      </c>
      <c r="R244" t="s">
        <v>783</v>
      </c>
      <c r="Y244" s="308"/>
      <c r="Z244" s="312"/>
    </row>
    <row r="245" spans="1:26" ht="12.75">
      <c r="A245" s="5">
        <v>4350</v>
      </c>
      <c r="B245" s="6" t="str">
        <f t="shared" si="11"/>
        <v>Losses from Disposition of Future Use Utility Plant</v>
      </c>
      <c r="D245" s="7"/>
      <c r="E245" s="318"/>
      <c r="F245" s="7"/>
      <c r="H245" s="7"/>
      <c r="J245" s="402"/>
      <c r="K245" s="400"/>
      <c r="L245" s="340"/>
      <c r="Q245">
        <v>4405</v>
      </c>
      <c r="R245" t="s">
        <v>784</v>
      </c>
      <c r="Y245" s="308"/>
      <c r="Z245" s="312"/>
    </row>
    <row r="246" spans="1:26" ht="12.75">
      <c r="A246" s="5">
        <v>4355</v>
      </c>
      <c r="B246" s="6" t="str">
        <f t="shared" si="11"/>
        <v>Gain on Disposition of Utility and Other Property</v>
      </c>
      <c r="D246" s="7">
        <v>-3500</v>
      </c>
      <c r="E246" s="318"/>
      <c r="F246" s="7">
        <v>-3150</v>
      </c>
      <c r="H246" s="7">
        <v>-2925.5</v>
      </c>
      <c r="J246" s="340">
        <v>-219</v>
      </c>
      <c r="K246" s="400"/>
      <c r="L246" s="340"/>
      <c r="Q246">
        <v>4415</v>
      </c>
      <c r="R246" t="s">
        <v>785</v>
      </c>
      <c r="Y246" s="308"/>
      <c r="Z246" s="312"/>
    </row>
    <row r="247" spans="1:26" ht="12.75">
      <c r="A247" s="5">
        <v>4360</v>
      </c>
      <c r="B247" s="6" t="str">
        <f t="shared" si="11"/>
        <v>Loss on Disposition of Utility and Other Property</v>
      </c>
      <c r="D247" s="7"/>
      <c r="E247" s="318"/>
      <c r="F247" s="7">
        <v>447.88</v>
      </c>
      <c r="H247" s="7">
        <v>21628.44</v>
      </c>
      <c r="J247" s="402"/>
      <c r="K247" s="400"/>
      <c r="L247" s="340"/>
      <c r="Q247">
        <v>4705</v>
      </c>
      <c r="R247" t="s">
        <v>584</v>
      </c>
      <c r="Y247" s="308"/>
      <c r="Z247" s="312"/>
    </row>
    <row r="248" spans="1:26" ht="12.75">
      <c r="A248" s="5">
        <v>4365</v>
      </c>
      <c r="B248" s="6" t="str">
        <f t="shared" si="11"/>
        <v>Gains from Disposition of Allowances for Emission</v>
      </c>
      <c r="D248" s="7"/>
      <c r="E248" s="318"/>
      <c r="F248" s="7"/>
      <c r="H248" s="7"/>
      <c r="J248" s="402"/>
      <c r="K248" s="400"/>
      <c r="L248" s="340"/>
      <c r="Q248">
        <v>4708</v>
      </c>
      <c r="R248" t="s">
        <v>750</v>
      </c>
      <c r="Y248" s="308"/>
      <c r="Z248" s="312"/>
    </row>
    <row r="249" spans="1:26" ht="12.75">
      <c r="A249" s="5">
        <v>4370</v>
      </c>
      <c r="B249" s="6" t="str">
        <f t="shared" si="11"/>
        <v>Losses from Disposition of Allowances for Emission</v>
      </c>
      <c r="D249" s="7"/>
      <c r="E249" s="318"/>
      <c r="F249" s="7"/>
      <c r="H249" s="7"/>
      <c r="J249" s="402"/>
      <c r="K249" s="400"/>
      <c r="L249" s="340"/>
      <c r="Q249">
        <v>4710</v>
      </c>
      <c r="R249" t="s">
        <v>130</v>
      </c>
      <c r="Y249" s="308"/>
      <c r="Z249" s="312"/>
    </row>
    <row r="250" spans="1:26" ht="12.75">
      <c r="A250" s="5">
        <v>4375</v>
      </c>
      <c r="B250" s="6" t="str">
        <f t="shared" si="11"/>
        <v>Revenues from Non-Utility Operations</v>
      </c>
      <c r="D250" s="7">
        <v>-54454.32</v>
      </c>
      <c r="E250" s="318"/>
      <c r="F250" s="7">
        <v>-56666.7</v>
      </c>
      <c r="H250" s="7">
        <v>-249961</v>
      </c>
      <c r="J250" s="340">
        <v>-302449.67</v>
      </c>
      <c r="K250" s="400"/>
      <c r="L250" s="340">
        <v>-248349</v>
      </c>
      <c r="Q250">
        <v>4712</v>
      </c>
      <c r="Y250" s="308"/>
      <c r="Z250" s="312"/>
    </row>
    <row r="251" spans="1:26" ht="12.75">
      <c r="A251" s="5">
        <v>4380</v>
      </c>
      <c r="B251" s="6" t="str">
        <f t="shared" si="11"/>
        <v>Expenses of Non-Utility Operations</v>
      </c>
      <c r="D251" s="7"/>
      <c r="E251" s="318"/>
      <c r="F251" s="7"/>
      <c r="H251" s="7">
        <v>185388.67</v>
      </c>
      <c r="J251" s="340">
        <v>235277.67</v>
      </c>
      <c r="K251" s="400"/>
      <c r="L251" s="340">
        <v>209000</v>
      </c>
      <c r="Q251">
        <v>4714</v>
      </c>
      <c r="R251" t="s">
        <v>786</v>
      </c>
      <c r="Y251" s="308"/>
      <c r="Z251" s="312"/>
    </row>
    <row r="252" spans="1:26" ht="12.75">
      <c r="A252" s="5">
        <v>4385</v>
      </c>
      <c r="B252" s="6" t="s">
        <v>865</v>
      </c>
      <c r="D252" s="7">
        <v>122.31</v>
      </c>
      <c r="E252" s="318"/>
      <c r="F252" s="7">
        <v>121.15</v>
      </c>
      <c r="H252" s="7">
        <v>122.47</v>
      </c>
      <c r="J252" s="340">
        <v>123.33</v>
      </c>
      <c r="K252" s="400"/>
      <c r="L252" s="340">
        <v>122.2</v>
      </c>
      <c r="Q252">
        <v>4715</v>
      </c>
      <c r="R252" t="s">
        <v>131</v>
      </c>
      <c r="Y252" s="308"/>
      <c r="Z252" s="312"/>
    </row>
    <row r="253" spans="1:26" ht="12.75">
      <c r="A253" s="5">
        <v>4390</v>
      </c>
      <c r="B253" s="6" t="str">
        <f t="shared" si="11"/>
        <v>Miscellaneous Non-Operating Income</v>
      </c>
      <c r="D253" s="7">
        <v>-6181.76</v>
      </c>
      <c r="E253" s="318"/>
      <c r="F253" s="7">
        <v>-7908.86</v>
      </c>
      <c r="H253" s="7">
        <v>-12959.9</v>
      </c>
      <c r="J253" s="340">
        <v>-7509.67</v>
      </c>
      <c r="K253" s="400"/>
      <c r="L253" s="340">
        <v>-7134.2</v>
      </c>
      <c r="Q253">
        <v>4716</v>
      </c>
      <c r="R253" t="s">
        <v>787</v>
      </c>
      <c r="Y253" s="308"/>
      <c r="Z253" s="312"/>
    </row>
    <row r="254" spans="1:26" ht="12.75">
      <c r="A254" s="5">
        <v>4395</v>
      </c>
      <c r="B254" s="6" t="str">
        <f t="shared" si="11"/>
        <v>Rate-Payer Benefit Including Interest</v>
      </c>
      <c r="D254" s="7"/>
      <c r="E254" s="318"/>
      <c r="F254" s="7"/>
      <c r="H254" s="7"/>
      <c r="J254" s="340"/>
      <c r="K254" s="400"/>
      <c r="L254" s="340"/>
      <c r="Q254">
        <v>4720</v>
      </c>
      <c r="R254" t="s">
        <v>123</v>
      </c>
      <c r="Y254" s="308"/>
      <c r="Z254" s="312"/>
    </row>
    <row r="255" spans="1:26" ht="12.75">
      <c r="A255" s="5">
        <v>4398</v>
      </c>
      <c r="B255" s="6" t="str">
        <f t="shared" si="11"/>
        <v>Foreign Exchange Gains and Losses, Including Amortization</v>
      </c>
      <c r="D255" s="7"/>
      <c r="E255" s="318"/>
      <c r="F255" s="7"/>
      <c r="H255" s="7"/>
      <c r="J255" s="340"/>
      <c r="K255" s="400"/>
      <c r="L255" s="340"/>
      <c r="Q255">
        <v>4725</v>
      </c>
      <c r="R255" t="s">
        <v>132</v>
      </c>
      <c r="Y255" s="308"/>
      <c r="Z255" s="312"/>
    </row>
    <row r="256" spans="2:26" ht="12.75">
      <c r="B256" s="315" t="s">
        <v>121</v>
      </c>
      <c r="D256"/>
      <c r="E256" s="318"/>
      <c r="F256"/>
      <c r="K256" s="400"/>
      <c r="Q256">
        <v>4730</v>
      </c>
      <c r="R256" t="s">
        <v>133</v>
      </c>
      <c r="Y256" s="308"/>
      <c r="Z256" s="312"/>
    </row>
    <row r="257" spans="1:26" ht="12.75">
      <c r="A257" s="5">
        <v>4405</v>
      </c>
      <c r="B257" s="6" t="str">
        <f>VLOOKUP(A257,Q$11:U$383,2)</f>
        <v>Interest and Dividend Income</v>
      </c>
      <c r="D257" s="7">
        <v>-374609.85</v>
      </c>
      <c r="E257" s="318"/>
      <c r="F257" s="7">
        <v>-855548.46</v>
      </c>
      <c r="H257" s="343">
        <v>-727239.39</v>
      </c>
      <c r="J257" s="340">
        <v>-208383.79779641298</v>
      </c>
      <c r="K257" s="400"/>
      <c r="L257" s="340">
        <v>-88751.45141012469</v>
      </c>
      <c r="Q257">
        <v>4750</v>
      </c>
      <c r="R257" t="s">
        <v>751</v>
      </c>
      <c r="Y257" s="308"/>
      <c r="Z257" s="312"/>
    </row>
    <row r="258" spans="1:26" ht="12.75">
      <c r="A258" s="5">
        <v>4415</v>
      </c>
      <c r="B258" s="6" t="str">
        <f>VLOOKUP(A258,Q$11:U$383,2)</f>
        <v>Equity in Earnings of Subsidiary Companies</v>
      </c>
      <c r="D258" s="7"/>
      <c r="E258" s="318"/>
      <c r="F258" s="7"/>
      <c r="H258" s="7"/>
      <c r="J258" s="402"/>
      <c r="K258" s="400"/>
      <c r="L258" s="402"/>
      <c r="Q258">
        <v>5005</v>
      </c>
      <c r="R258" t="s">
        <v>788</v>
      </c>
      <c r="Y258" s="308"/>
      <c r="Z258" s="312"/>
    </row>
    <row r="259" spans="2:26" ht="12.75">
      <c r="B259" s="315" t="s">
        <v>122</v>
      </c>
      <c r="D259"/>
      <c r="E259" s="318"/>
      <c r="F259"/>
      <c r="K259" s="400"/>
      <c r="Q259">
        <v>5010</v>
      </c>
      <c r="R259" t="s">
        <v>789</v>
      </c>
      <c r="Y259" s="308"/>
      <c r="Z259" s="312"/>
    </row>
    <row r="260" spans="1:26" ht="12.75">
      <c r="A260" s="5">
        <v>4705</v>
      </c>
      <c r="B260" s="6" t="str">
        <f aca="true" t="shared" si="12" ref="B260:B270">VLOOKUP(A260,Q$11:U$383,2)</f>
        <v>Power Purchased</v>
      </c>
      <c r="D260" s="7">
        <v>32653434.09</v>
      </c>
      <c r="E260" s="318"/>
      <c r="F260" s="7">
        <v>36137191.739999995</v>
      </c>
      <c r="H260" s="7">
        <v>32952226.41</v>
      </c>
      <c r="J260" s="340">
        <v>34029983.79234694</v>
      </c>
      <c r="K260" s="400"/>
      <c r="L260" s="340">
        <v>35726998.937568955</v>
      </c>
      <c r="M260" s="310"/>
      <c r="Q260">
        <v>5012</v>
      </c>
      <c r="R260" t="s">
        <v>790</v>
      </c>
      <c r="Y260" s="308"/>
      <c r="Z260" s="312"/>
    </row>
    <row r="261" spans="1:26" ht="12.75">
      <c r="A261" s="5">
        <v>4708</v>
      </c>
      <c r="B261" s="6" t="str">
        <f t="shared" si="12"/>
        <v>WMS</v>
      </c>
      <c r="D261" s="7">
        <v>2448886.67</v>
      </c>
      <c r="E261" s="318"/>
      <c r="F261" s="7">
        <v>2617899.89</v>
      </c>
      <c r="H261" s="7">
        <v>2733729.86</v>
      </c>
      <c r="J261" s="340">
        <v>2801401.3633214156</v>
      </c>
      <c r="K261" s="400"/>
      <c r="L261" s="340">
        <v>2824268.690716913</v>
      </c>
      <c r="M261" s="365"/>
      <c r="Q261">
        <v>5014</v>
      </c>
      <c r="R261" t="s">
        <v>791</v>
      </c>
      <c r="Y261" s="308"/>
      <c r="Z261" s="312"/>
    </row>
    <row r="262" spans="1:26" ht="12.75">
      <c r="A262" s="5">
        <v>4710</v>
      </c>
      <c r="B262" s="6" t="str">
        <f t="shared" si="12"/>
        <v>Cost of Power Adjustments</v>
      </c>
      <c r="D262" s="7"/>
      <c r="E262" s="318"/>
      <c r="F262" s="7"/>
      <c r="H262" s="7"/>
      <c r="J262" s="340"/>
      <c r="K262" s="400"/>
      <c r="L262" s="340"/>
      <c r="M262" s="312"/>
      <c r="Q262">
        <v>5015</v>
      </c>
      <c r="R262" t="s">
        <v>792</v>
      </c>
      <c r="Y262" s="308"/>
      <c r="Z262" s="312"/>
    </row>
    <row r="263" spans="1:26" ht="12.75">
      <c r="A263" s="5">
        <v>4712</v>
      </c>
      <c r="B263" s="6">
        <f t="shared" si="12"/>
        <v>0</v>
      </c>
      <c r="D263" s="7"/>
      <c r="E263" s="318"/>
      <c r="F263" s="7"/>
      <c r="H263" s="7"/>
      <c r="J263" s="340"/>
      <c r="K263" s="400"/>
      <c r="L263" s="340"/>
      <c r="Q263">
        <v>5016</v>
      </c>
      <c r="R263" t="s">
        <v>793</v>
      </c>
      <c r="Y263" s="308"/>
      <c r="Z263" s="312"/>
    </row>
    <row r="264" spans="1:26" ht="12.75">
      <c r="A264" s="5">
        <v>4714</v>
      </c>
      <c r="B264" s="6" t="str">
        <f t="shared" si="12"/>
        <v>NW</v>
      </c>
      <c r="D264" s="7">
        <v>2993203.74</v>
      </c>
      <c r="E264" s="318"/>
      <c r="F264" s="7">
        <v>3302139.75</v>
      </c>
      <c r="H264" s="7">
        <v>2422649.1</v>
      </c>
      <c r="J264" s="340">
        <v>2673294.31</v>
      </c>
      <c r="K264" s="400"/>
      <c r="L264" s="340">
        <v>2821839.976503691</v>
      </c>
      <c r="Q264">
        <v>5017</v>
      </c>
      <c r="R264" t="s">
        <v>794</v>
      </c>
      <c r="Y264" s="308"/>
      <c r="Z264" s="312"/>
    </row>
    <row r="265" spans="1:26" ht="12.75">
      <c r="A265" s="5">
        <v>4715</v>
      </c>
      <c r="B265" s="6" t="str">
        <f t="shared" si="12"/>
        <v>System Control and Load Dispatching</v>
      </c>
      <c r="D265" s="7"/>
      <c r="E265" s="318"/>
      <c r="F265" s="7"/>
      <c r="H265" s="7"/>
      <c r="J265" s="340"/>
      <c r="K265" s="400"/>
      <c r="L265" s="340"/>
      <c r="Q265">
        <v>5020</v>
      </c>
      <c r="R265" t="s">
        <v>795</v>
      </c>
      <c r="Y265" s="308"/>
      <c r="Z265" s="312"/>
    </row>
    <row r="266" spans="1:26" ht="12.75">
      <c r="A266" s="5">
        <v>4716</v>
      </c>
      <c r="B266" s="6" t="str">
        <f t="shared" si="12"/>
        <v>NCN</v>
      </c>
      <c r="D266" s="7">
        <v>2538540.04</v>
      </c>
      <c r="E266" s="318"/>
      <c r="F266" s="7">
        <v>2690547.84</v>
      </c>
      <c r="H266" s="7">
        <v>2373685.71</v>
      </c>
      <c r="J266" s="340">
        <v>2412674.66</v>
      </c>
      <c r="K266" s="400"/>
      <c r="L266" s="340">
        <v>2478187.8932281476</v>
      </c>
      <c r="Q266">
        <v>5025</v>
      </c>
      <c r="R266" t="s">
        <v>796</v>
      </c>
      <c r="Y266" s="308"/>
      <c r="Z266" s="312"/>
    </row>
    <row r="267" spans="1:26" ht="12.75">
      <c r="A267" s="5">
        <v>4720</v>
      </c>
      <c r="B267" s="6" t="str">
        <f t="shared" si="12"/>
        <v>Other Expenses</v>
      </c>
      <c r="D267" s="7"/>
      <c r="E267" s="318"/>
      <c r="F267" s="7"/>
      <c r="H267" s="7"/>
      <c r="J267" s="340"/>
      <c r="K267" s="400"/>
      <c r="L267" s="340"/>
      <c r="Q267">
        <v>5030</v>
      </c>
      <c r="R267" t="s">
        <v>797</v>
      </c>
      <c r="Y267" s="308"/>
      <c r="Z267" s="312"/>
    </row>
    <row r="268" spans="1:26" ht="12.75">
      <c r="A268" s="5">
        <v>4725</v>
      </c>
      <c r="B268" s="6" t="str">
        <f t="shared" si="12"/>
        <v>Competition Transition Expense</v>
      </c>
      <c r="D268" s="7"/>
      <c r="E268" s="318"/>
      <c r="F268" s="7"/>
      <c r="H268" s="7"/>
      <c r="J268" s="340"/>
      <c r="K268" s="400"/>
      <c r="L268" s="340"/>
      <c r="Q268">
        <v>5035</v>
      </c>
      <c r="R268" t="s">
        <v>798</v>
      </c>
      <c r="Y268" s="308"/>
      <c r="Z268" s="312"/>
    </row>
    <row r="269" spans="1:26" ht="12.75">
      <c r="A269" s="5">
        <v>4730</v>
      </c>
      <c r="B269" s="6" t="str">
        <f t="shared" si="12"/>
        <v>Rural Rate Assistance Expense</v>
      </c>
      <c r="D269" s="7">
        <v>590592.3</v>
      </c>
      <c r="E269" s="318"/>
      <c r="F269" s="7">
        <v>598155.51</v>
      </c>
      <c r="H269" s="7">
        <v>594904.01</v>
      </c>
      <c r="J269" s="340">
        <v>690512.0838162167</v>
      </c>
      <c r="K269" s="400"/>
      <c r="L269" s="340">
        <v>764893.2785380313</v>
      </c>
      <c r="Q269">
        <v>5040</v>
      </c>
      <c r="R269" t="s">
        <v>799</v>
      </c>
      <c r="Y269" s="308"/>
      <c r="Z269" s="312"/>
    </row>
    <row r="270" spans="1:26" ht="12.75">
      <c r="A270" s="5">
        <v>4750</v>
      </c>
      <c r="B270" s="6" t="str">
        <f t="shared" si="12"/>
        <v>LV Charges</v>
      </c>
      <c r="D270" s="7"/>
      <c r="E270" s="318"/>
      <c r="F270" s="7"/>
      <c r="H270" s="7"/>
      <c r="J270" s="340">
        <v>21480.57</v>
      </c>
      <c r="K270" s="400"/>
      <c r="L270" s="340">
        <v>21564.85</v>
      </c>
      <c r="N270" s="20"/>
      <c r="Q270">
        <v>5045</v>
      </c>
      <c r="R270" t="s">
        <v>800</v>
      </c>
      <c r="Y270" s="308"/>
      <c r="Z270" s="312"/>
    </row>
    <row r="271" spans="2:26" ht="12.75">
      <c r="B271" s="315" t="s">
        <v>160</v>
      </c>
      <c r="D271"/>
      <c r="E271" s="318"/>
      <c r="F271"/>
      <c r="K271" s="400"/>
      <c r="Q271">
        <v>5050</v>
      </c>
      <c r="R271" t="s">
        <v>801</v>
      </c>
      <c r="Y271" s="308"/>
      <c r="Z271" s="312"/>
    </row>
    <row r="272" spans="1:26" ht="12.75">
      <c r="A272" s="5">
        <v>5005</v>
      </c>
      <c r="B272" s="6" t="str">
        <f aca="true" t="shared" si="13" ref="B272:B294">VLOOKUP(A272,Q$11:U$383,2)</f>
        <v>Operation Supervision and Engineering</v>
      </c>
      <c r="D272" s="7">
        <v>414835.12</v>
      </c>
      <c r="E272" s="318"/>
      <c r="F272" s="7">
        <v>657709.45</v>
      </c>
      <c r="H272" s="7">
        <v>253126.3</v>
      </c>
      <c r="J272" s="340">
        <v>31368.91</v>
      </c>
      <c r="K272" s="403"/>
      <c r="L272" s="340">
        <v>30003.48</v>
      </c>
      <c r="M272" s="365"/>
      <c r="Q272">
        <v>5055</v>
      </c>
      <c r="R272" t="s">
        <v>802</v>
      </c>
      <c r="Y272" s="308"/>
      <c r="Z272" s="312"/>
    </row>
    <row r="273" spans="1:26" ht="12.75">
      <c r="A273" s="5">
        <v>5010</v>
      </c>
      <c r="B273" s="6" t="str">
        <f t="shared" si="13"/>
        <v>Load Dispatching</v>
      </c>
      <c r="D273" s="7">
        <v>110319.53</v>
      </c>
      <c r="E273" s="318"/>
      <c r="F273" s="7">
        <v>97908.54</v>
      </c>
      <c r="H273" s="7">
        <v>71260.72</v>
      </c>
      <c r="J273" s="340">
        <v>79083.21</v>
      </c>
      <c r="K273" s="403"/>
      <c r="L273" s="340">
        <v>85199.86</v>
      </c>
      <c r="Q273">
        <v>5060</v>
      </c>
      <c r="R273" t="s">
        <v>803</v>
      </c>
      <c r="Y273" s="308"/>
      <c r="Z273" s="312"/>
    </row>
    <row r="274" spans="1:26" ht="12.75">
      <c r="A274" s="5">
        <v>5012</v>
      </c>
      <c r="B274" s="6" t="str">
        <f t="shared" si="13"/>
        <v>Station Buildings and Fixtures Expense</v>
      </c>
      <c r="D274" s="7">
        <v>23677.79</v>
      </c>
      <c r="E274" s="318"/>
      <c r="F274" s="7">
        <v>29740.32</v>
      </c>
      <c r="H274" s="7">
        <v>33208.89</v>
      </c>
      <c r="J274" s="340">
        <v>11079.52</v>
      </c>
      <c r="K274" s="403"/>
      <c r="L274" s="340">
        <v>31460</v>
      </c>
      <c r="M274" s="365"/>
      <c r="Q274">
        <v>5065</v>
      </c>
      <c r="R274" t="s">
        <v>804</v>
      </c>
      <c r="Y274" s="308"/>
      <c r="Z274" s="312"/>
    </row>
    <row r="275" spans="1:26" ht="12.75">
      <c r="A275" s="5">
        <v>5014</v>
      </c>
      <c r="B275" s="6" t="str">
        <f t="shared" si="13"/>
        <v>Transformer Station Equipment - Operation Labour</v>
      </c>
      <c r="D275" s="7"/>
      <c r="E275" s="318"/>
      <c r="F275" s="7"/>
      <c r="H275" s="7"/>
      <c r="J275" s="340"/>
      <c r="K275" s="403"/>
      <c r="L275" s="340"/>
      <c r="Q275">
        <v>5070</v>
      </c>
      <c r="R275" t="s">
        <v>805</v>
      </c>
      <c r="Y275" s="308"/>
      <c r="Z275" s="312"/>
    </row>
    <row r="276" spans="1:26" ht="12.75">
      <c r="A276" s="5">
        <v>5015</v>
      </c>
      <c r="B276" s="6" t="str">
        <f t="shared" si="13"/>
        <v>Transformer Station Equipment - Operation Supplies and Expenses</v>
      </c>
      <c r="D276" s="7"/>
      <c r="E276" s="318"/>
      <c r="F276" s="7"/>
      <c r="H276" s="7"/>
      <c r="J276" s="340"/>
      <c r="K276" s="403"/>
      <c r="L276" s="340"/>
      <c r="Q276">
        <v>5075</v>
      </c>
      <c r="R276" t="s">
        <v>806</v>
      </c>
      <c r="Y276" s="308"/>
      <c r="Z276" s="312"/>
    </row>
    <row r="277" spans="1:26" ht="12.75">
      <c r="A277" s="5">
        <v>5016</v>
      </c>
      <c r="B277" s="6" t="str">
        <f t="shared" si="13"/>
        <v>Distribution Station Equipment - Operation Labour</v>
      </c>
      <c r="D277" s="7"/>
      <c r="E277" s="318"/>
      <c r="F277" s="7"/>
      <c r="H277" s="7"/>
      <c r="J277" s="340"/>
      <c r="K277" s="403"/>
      <c r="L277" s="340"/>
      <c r="Q277">
        <v>5085</v>
      </c>
      <c r="R277" t="s">
        <v>807</v>
      </c>
      <c r="Y277" s="308"/>
      <c r="Z277" s="312"/>
    </row>
    <row r="278" spans="1:26" ht="12.75">
      <c r="A278" s="5">
        <v>5017</v>
      </c>
      <c r="B278" s="6" t="str">
        <f t="shared" si="13"/>
        <v>Distribution Station Equipment - Operation Supplies and Expenses</v>
      </c>
      <c r="D278" s="7"/>
      <c r="E278" s="318"/>
      <c r="F278" s="7"/>
      <c r="H278" s="7"/>
      <c r="J278" s="340"/>
      <c r="K278" s="403"/>
      <c r="L278" s="340"/>
      <c r="Q278">
        <v>5090</v>
      </c>
      <c r="R278" t="s">
        <v>808</v>
      </c>
      <c r="Y278" s="308"/>
      <c r="Z278" s="312"/>
    </row>
    <row r="279" spans="1:26" ht="12.75">
      <c r="A279" s="5">
        <v>5020</v>
      </c>
      <c r="B279" s="6" t="str">
        <f t="shared" si="13"/>
        <v>Overhead Distribution Lines and Feeders - Operation Labour</v>
      </c>
      <c r="D279" s="7">
        <v>558.78</v>
      </c>
      <c r="E279" s="318"/>
      <c r="F279" s="7">
        <v>46.33</v>
      </c>
      <c r="H279" s="7">
        <v>286.91</v>
      </c>
      <c r="J279" s="340">
        <v>151.44</v>
      </c>
      <c r="K279" s="403"/>
      <c r="L279" s="340">
        <v>214.91</v>
      </c>
      <c r="Q279">
        <v>5095</v>
      </c>
      <c r="R279" t="s">
        <v>809</v>
      </c>
      <c r="Y279" s="308"/>
      <c r="Z279" s="312"/>
    </row>
    <row r="280" spans="1:26" ht="12.75">
      <c r="A280" s="5">
        <v>5025</v>
      </c>
      <c r="B280" s="6" t="str">
        <f t="shared" si="13"/>
        <v>Overhead Distribution Lines and Feeders - Operation Supplies and Expenses</v>
      </c>
      <c r="D280" s="7">
        <v>1355</v>
      </c>
      <c r="E280" s="318"/>
      <c r="F280" s="7">
        <v>1253.23</v>
      </c>
      <c r="H280" s="7">
        <v>231.88</v>
      </c>
      <c r="J280" s="340">
        <v>32.96</v>
      </c>
      <c r="K280" s="403"/>
      <c r="L280" s="340">
        <v>15.85</v>
      </c>
      <c r="Q280">
        <v>5096</v>
      </c>
      <c r="R280" t="s">
        <v>810</v>
      </c>
      <c r="Y280" s="308"/>
      <c r="Z280" s="312"/>
    </row>
    <row r="281" spans="1:26" ht="12.75">
      <c r="A281" s="5">
        <v>5030</v>
      </c>
      <c r="B281" s="6" t="str">
        <f t="shared" si="13"/>
        <v>Overhead Subtransmission Feeders - Operation</v>
      </c>
      <c r="D281" s="7">
        <v>1392.48</v>
      </c>
      <c r="E281" s="318"/>
      <c r="F281" s="7">
        <v>4525.45</v>
      </c>
      <c r="H281" s="7">
        <v>721.86</v>
      </c>
      <c r="J281" s="340">
        <v>323.97</v>
      </c>
      <c r="K281" s="403"/>
      <c r="L281" s="340">
        <v>613.36</v>
      </c>
      <c r="Q281">
        <v>5105</v>
      </c>
      <c r="R281" t="s">
        <v>811</v>
      </c>
      <c r="Y281" s="308"/>
      <c r="Z281" s="312"/>
    </row>
    <row r="282" spans="1:26" ht="12.75">
      <c r="A282" s="5">
        <v>5035</v>
      </c>
      <c r="B282" s="6" t="str">
        <f t="shared" si="13"/>
        <v>Overhead Distribution Transformers - Operation</v>
      </c>
      <c r="D282" s="7">
        <v>1677.72</v>
      </c>
      <c r="E282" s="318"/>
      <c r="F282" s="7">
        <v>3433.85</v>
      </c>
      <c r="H282" s="7">
        <v>12.96</v>
      </c>
      <c r="J282" s="340">
        <v>130.68</v>
      </c>
      <c r="K282" s="403"/>
      <c r="L282" s="340">
        <v>209.28</v>
      </c>
      <c r="Q282">
        <v>5110</v>
      </c>
      <c r="R282" t="s">
        <v>812</v>
      </c>
      <c r="Y282" s="308"/>
      <c r="Z282" s="312"/>
    </row>
    <row r="283" spans="1:26" ht="12.75">
      <c r="A283" s="5">
        <v>5040</v>
      </c>
      <c r="B283" s="6" t="str">
        <f t="shared" si="13"/>
        <v>Underground Distribution Lines and Feeders - Operation Labour</v>
      </c>
      <c r="D283" s="7">
        <v>43006</v>
      </c>
      <c r="E283" s="318"/>
      <c r="F283" s="7">
        <v>35808.58</v>
      </c>
      <c r="H283" s="7">
        <v>47400.29</v>
      </c>
      <c r="J283" s="340">
        <v>78775.18</v>
      </c>
      <c r="K283" s="403"/>
      <c r="L283" s="340">
        <v>53733.17</v>
      </c>
      <c r="Q283">
        <v>5112</v>
      </c>
      <c r="R283" t="s">
        <v>136</v>
      </c>
      <c r="Y283" s="308"/>
      <c r="Z283" s="312"/>
    </row>
    <row r="284" spans="1:26" ht="12.75">
      <c r="A284" s="5">
        <v>5045</v>
      </c>
      <c r="B284" s="6" t="str">
        <f t="shared" si="13"/>
        <v>Underground Distribution Lines and Feeders - Operation Supplies and Expenses</v>
      </c>
      <c r="D284" s="7">
        <v>9134.9</v>
      </c>
      <c r="E284" s="318"/>
      <c r="F284" s="7">
        <v>9130.7</v>
      </c>
      <c r="H284" s="7">
        <v>12817.34</v>
      </c>
      <c r="J284" s="340">
        <v>2981.17</v>
      </c>
      <c r="K284" s="403"/>
      <c r="L284" s="340">
        <v>4523.64</v>
      </c>
      <c r="Q284">
        <v>5114</v>
      </c>
      <c r="R284" t="s">
        <v>897</v>
      </c>
      <c r="Y284" s="308"/>
      <c r="Z284" s="312"/>
    </row>
    <row r="285" spans="1:26" ht="12.75">
      <c r="A285" s="5">
        <v>5050</v>
      </c>
      <c r="B285" s="6" t="str">
        <f t="shared" si="13"/>
        <v>Underground Subtransmission Feeders - Operation</v>
      </c>
      <c r="D285" s="7"/>
      <c r="E285" s="318"/>
      <c r="F285" s="7"/>
      <c r="H285" s="7"/>
      <c r="J285" s="340"/>
      <c r="K285" s="403"/>
      <c r="L285" s="340"/>
      <c r="Q285">
        <v>5120</v>
      </c>
      <c r="R285" t="s">
        <v>813</v>
      </c>
      <c r="Y285" s="308"/>
      <c r="Z285" s="312"/>
    </row>
    <row r="286" spans="1:26" ht="12.75">
      <c r="A286" s="5">
        <v>5055</v>
      </c>
      <c r="B286" s="6" t="str">
        <f t="shared" si="13"/>
        <v>Underground Distribution Transformers - Operation</v>
      </c>
      <c r="D286" s="7"/>
      <c r="E286" s="318"/>
      <c r="F286" s="7"/>
      <c r="H286" s="7"/>
      <c r="J286" s="340"/>
      <c r="K286" s="403"/>
      <c r="L286" s="340"/>
      <c r="Q286">
        <v>5125</v>
      </c>
      <c r="R286" t="s">
        <v>814</v>
      </c>
      <c r="Y286" s="308"/>
      <c r="Z286" s="312"/>
    </row>
    <row r="287" spans="1:26" ht="12.75">
      <c r="A287" s="5">
        <v>5060</v>
      </c>
      <c r="B287" s="6" t="str">
        <f t="shared" si="13"/>
        <v>Street Lighting and Signal System Expense</v>
      </c>
      <c r="D287" s="7"/>
      <c r="E287" s="318"/>
      <c r="F287" s="7"/>
      <c r="H287" s="7"/>
      <c r="J287" s="340"/>
      <c r="K287" s="403"/>
      <c r="L287" s="340"/>
      <c r="Q287">
        <v>5130</v>
      </c>
      <c r="R287" t="s">
        <v>815</v>
      </c>
      <c r="Y287" s="308"/>
      <c r="Z287" s="312"/>
    </row>
    <row r="288" spans="1:26" ht="12.75">
      <c r="A288" s="5">
        <v>5065</v>
      </c>
      <c r="B288" s="6" t="str">
        <f t="shared" si="13"/>
        <v>Meter Expense</v>
      </c>
      <c r="D288" s="7">
        <v>146621.49</v>
      </c>
      <c r="E288" s="318"/>
      <c r="F288" s="7">
        <v>143585.37</v>
      </c>
      <c r="H288" s="7">
        <v>150711.54</v>
      </c>
      <c r="J288" s="340">
        <v>95874.08</v>
      </c>
      <c r="K288" s="403"/>
      <c r="L288" s="340">
        <v>119034.84</v>
      </c>
      <c r="Q288">
        <v>5135</v>
      </c>
      <c r="R288" t="s">
        <v>816</v>
      </c>
      <c r="Y288" s="308"/>
      <c r="Z288" s="312"/>
    </row>
    <row r="289" spans="1:26" ht="12.75">
      <c r="A289" s="5">
        <v>5070</v>
      </c>
      <c r="B289" s="6" t="str">
        <f t="shared" si="13"/>
        <v>Customer Premises - Operation Labour</v>
      </c>
      <c r="D289" s="7">
        <v>101.01</v>
      </c>
      <c r="E289" s="318"/>
      <c r="F289" s="7"/>
      <c r="H289" s="7"/>
      <c r="J289" s="340"/>
      <c r="K289" s="403"/>
      <c r="L289" s="340"/>
      <c r="Q289">
        <v>5145</v>
      </c>
      <c r="R289" t="s">
        <v>2</v>
      </c>
      <c r="Y289" s="308"/>
      <c r="Z289" s="312"/>
    </row>
    <row r="290" spans="1:26" ht="12.75">
      <c r="A290" s="5">
        <v>5075</v>
      </c>
      <c r="B290" s="6" t="str">
        <f t="shared" si="13"/>
        <v>Customer Premises - Materials and Expenses</v>
      </c>
      <c r="D290" s="7"/>
      <c r="E290" s="318"/>
      <c r="F290" s="7"/>
      <c r="H290" s="7"/>
      <c r="J290" s="340"/>
      <c r="K290" s="403"/>
      <c r="L290" s="340"/>
      <c r="Q290">
        <v>5150</v>
      </c>
      <c r="R290" t="s">
        <v>3</v>
      </c>
      <c r="Y290" s="308"/>
      <c r="Z290" s="312"/>
    </row>
    <row r="291" spans="1:26" ht="12.75">
      <c r="A291" s="5">
        <v>5085</v>
      </c>
      <c r="B291" s="6" t="str">
        <f t="shared" si="13"/>
        <v>Miscellaneous Distribution Expense</v>
      </c>
      <c r="D291" s="7">
        <v>367587.05</v>
      </c>
      <c r="E291" s="318"/>
      <c r="F291" s="7">
        <v>358546.45</v>
      </c>
      <c r="H291" s="7">
        <v>163131.93</v>
      </c>
      <c r="J291" s="340">
        <v>225798.37</v>
      </c>
      <c r="K291" s="403"/>
      <c r="L291" s="340">
        <v>232539.03</v>
      </c>
      <c r="Q291">
        <v>5155</v>
      </c>
      <c r="R291" t="s">
        <v>4</v>
      </c>
      <c r="Y291" s="308"/>
      <c r="Z291" s="312"/>
    </row>
    <row r="292" spans="1:26" ht="12.75">
      <c r="A292" s="5">
        <v>5090</v>
      </c>
      <c r="B292" s="6" t="str">
        <f t="shared" si="13"/>
        <v>Underground Distribution Lines and Feeders - Rental Paid</v>
      </c>
      <c r="D292" s="7"/>
      <c r="E292" s="318"/>
      <c r="F292" s="7"/>
      <c r="H292" s="7"/>
      <c r="J292" s="340"/>
      <c r="K292" s="403"/>
      <c r="L292" s="340"/>
      <c r="Q292">
        <v>5160</v>
      </c>
      <c r="R292" t="s">
        <v>5</v>
      </c>
      <c r="Y292" s="308"/>
      <c r="Z292" s="312"/>
    </row>
    <row r="293" spans="1:26" ht="12.75">
      <c r="A293" s="5">
        <v>5095</v>
      </c>
      <c r="B293" s="6" t="str">
        <f t="shared" si="13"/>
        <v>Overhead Distribution Lines and Feeders - Rental Paid</v>
      </c>
      <c r="D293" s="7">
        <v>39690.65</v>
      </c>
      <c r="E293" s="318"/>
      <c r="F293" s="7">
        <v>36848.24</v>
      </c>
      <c r="H293" s="7">
        <v>50857.26</v>
      </c>
      <c r="J293" s="340">
        <v>39896.04</v>
      </c>
      <c r="K293" s="403"/>
      <c r="L293" s="340">
        <v>34782</v>
      </c>
      <c r="Q293">
        <v>5165</v>
      </c>
      <c r="R293" t="s">
        <v>6</v>
      </c>
      <c r="Y293" s="308"/>
      <c r="Z293" s="312"/>
    </row>
    <row r="294" spans="1:26" ht="12.75">
      <c r="A294" s="5">
        <v>5096</v>
      </c>
      <c r="B294" s="6" t="str">
        <f t="shared" si="13"/>
        <v>Other Rent</v>
      </c>
      <c r="D294" s="7">
        <v>237</v>
      </c>
      <c r="E294" s="318"/>
      <c r="F294" s="7">
        <v>318.08</v>
      </c>
      <c r="H294" s="7"/>
      <c r="J294" s="340">
        <v>4602</v>
      </c>
      <c r="K294" s="403"/>
      <c r="L294" s="340">
        <v>4525.66</v>
      </c>
      <c r="Q294">
        <v>5170</v>
      </c>
      <c r="R294" t="s">
        <v>7</v>
      </c>
      <c r="Y294" s="308"/>
      <c r="Z294" s="312"/>
    </row>
    <row r="295" spans="2:26" ht="12.75">
      <c r="B295" s="315" t="s">
        <v>199</v>
      </c>
      <c r="D295"/>
      <c r="E295" s="318"/>
      <c r="F295"/>
      <c r="K295" s="403"/>
      <c r="Q295">
        <v>5172</v>
      </c>
      <c r="R295" t="s">
        <v>8</v>
      </c>
      <c r="Y295" s="308"/>
      <c r="Z295" s="312"/>
    </row>
    <row r="296" spans="1:26" ht="12.75">
      <c r="A296" s="5">
        <v>5105</v>
      </c>
      <c r="B296" s="6" t="str">
        <f aca="true" t="shared" si="14" ref="B296:B313">VLOOKUP(A296,Q$11:U$383,2)</f>
        <v>Maintenance Supervision and Engineering</v>
      </c>
      <c r="D296" s="7"/>
      <c r="E296" s="318"/>
      <c r="F296" s="7"/>
      <c r="H296" s="7"/>
      <c r="J296" s="340"/>
      <c r="K296" s="403"/>
      <c r="L296" s="340"/>
      <c r="Q296">
        <v>5175</v>
      </c>
      <c r="R296" t="s">
        <v>9</v>
      </c>
      <c r="Y296" s="308"/>
      <c r="Z296" s="312"/>
    </row>
    <row r="297" spans="1:26" ht="12.75">
      <c r="A297" s="5">
        <v>5110</v>
      </c>
      <c r="B297" s="6" t="str">
        <f t="shared" si="14"/>
        <v>Maintenance of Structures</v>
      </c>
      <c r="D297" s="7">
        <v>14659.57</v>
      </c>
      <c r="E297" s="318"/>
      <c r="F297" s="7">
        <v>7223.26</v>
      </c>
      <c r="H297" s="7">
        <v>23077.72</v>
      </c>
      <c r="J297" s="340">
        <v>11867.36</v>
      </c>
      <c r="K297" s="403"/>
      <c r="L297" s="340">
        <v>23390</v>
      </c>
      <c r="Q297">
        <v>5178</v>
      </c>
      <c r="R297" t="s">
        <v>10</v>
      </c>
      <c r="Y297" s="308"/>
      <c r="Z297" s="312"/>
    </row>
    <row r="298" spans="1:26" ht="12.75">
      <c r="A298" s="5">
        <v>5112</v>
      </c>
      <c r="B298" s="6" t="str">
        <f t="shared" si="14"/>
        <v>Maintenance of Transformer Station Equipment</v>
      </c>
      <c r="D298" s="7"/>
      <c r="E298" s="318"/>
      <c r="F298" s="7"/>
      <c r="H298" s="7"/>
      <c r="J298" s="340"/>
      <c r="K298" s="403"/>
      <c r="L298" s="340"/>
      <c r="Q298">
        <v>5195</v>
      </c>
      <c r="R298" t="s">
        <v>11</v>
      </c>
      <c r="Y298" s="308"/>
      <c r="Z298" s="312"/>
    </row>
    <row r="299" spans="1:26" ht="12.75">
      <c r="A299" s="5">
        <v>5114</v>
      </c>
      <c r="B299" s="6" t="str">
        <f t="shared" si="14"/>
        <v>Maintenance of Distribution Station Equipment</v>
      </c>
      <c r="D299" s="7">
        <v>68550.56</v>
      </c>
      <c r="E299" s="318"/>
      <c r="F299" s="7">
        <v>55581.83</v>
      </c>
      <c r="H299" s="7">
        <v>79507.44</v>
      </c>
      <c r="J299" s="340">
        <v>158160.07</v>
      </c>
      <c r="K299" s="403"/>
      <c r="L299" s="340">
        <v>320848.93</v>
      </c>
      <c r="M299" s="365"/>
      <c r="Q299">
        <v>5205</v>
      </c>
      <c r="R299" t="s">
        <v>12</v>
      </c>
      <c r="Y299" s="308"/>
      <c r="Z299" s="312"/>
    </row>
    <row r="300" spans="1:26" ht="12.75">
      <c r="A300" s="5">
        <v>5120</v>
      </c>
      <c r="B300" s="6" t="str">
        <f t="shared" si="14"/>
        <v>Maintenance of Poles, Towers and Fixtures</v>
      </c>
      <c r="D300" s="7">
        <v>219306.14</v>
      </c>
      <c r="E300" s="318"/>
      <c r="F300" s="7">
        <v>-67401.87</v>
      </c>
      <c r="H300" s="7">
        <v>83890.24</v>
      </c>
      <c r="J300" s="340">
        <v>81353.23</v>
      </c>
      <c r="K300" s="403"/>
      <c r="L300" s="340">
        <v>114439.68</v>
      </c>
      <c r="Q300">
        <v>5210</v>
      </c>
      <c r="R300" t="s">
        <v>13</v>
      </c>
      <c r="Y300" s="308"/>
      <c r="Z300" s="312"/>
    </row>
    <row r="301" spans="1:26" ht="12.75">
      <c r="A301" s="5">
        <v>5125</v>
      </c>
      <c r="B301" s="6" t="str">
        <f t="shared" si="14"/>
        <v>Maintenance of Overhead Conductors and Devices</v>
      </c>
      <c r="D301" s="7">
        <v>199021.58</v>
      </c>
      <c r="E301" s="318"/>
      <c r="F301" s="7">
        <v>152163.02</v>
      </c>
      <c r="H301" s="7">
        <v>215563.63</v>
      </c>
      <c r="J301" s="340">
        <v>188023.17</v>
      </c>
      <c r="K301" s="403"/>
      <c r="L301" s="340">
        <v>200520.42</v>
      </c>
      <c r="Q301">
        <v>5215</v>
      </c>
      <c r="R301" t="s">
        <v>14</v>
      </c>
      <c r="Y301" s="308"/>
      <c r="Z301" s="312"/>
    </row>
    <row r="302" spans="1:26" ht="12.75">
      <c r="A302" s="5">
        <v>5130</v>
      </c>
      <c r="B302" s="6" t="str">
        <f t="shared" si="14"/>
        <v>Maintenance of Overhead Services</v>
      </c>
      <c r="D302" s="7">
        <v>312458.09</v>
      </c>
      <c r="E302" s="318"/>
      <c r="F302" s="7">
        <v>-20803.05</v>
      </c>
      <c r="H302" s="7">
        <v>102899.11</v>
      </c>
      <c r="J302" s="340">
        <v>108899.27</v>
      </c>
      <c r="K302" s="403"/>
      <c r="L302" s="340">
        <v>100040.63</v>
      </c>
      <c r="Q302">
        <v>5305</v>
      </c>
      <c r="R302" t="s">
        <v>585</v>
      </c>
      <c r="Y302" s="308"/>
      <c r="Z302" s="312"/>
    </row>
    <row r="303" spans="1:26" ht="12.75">
      <c r="A303" s="5">
        <v>5135</v>
      </c>
      <c r="B303" s="6" t="str">
        <f t="shared" si="14"/>
        <v>Overhead Distribution Lines and Feeders - Right of Way</v>
      </c>
      <c r="D303" s="7">
        <v>313857.43</v>
      </c>
      <c r="E303" s="318"/>
      <c r="F303" s="7">
        <v>241204.13</v>
      </c>
      <c r="H303" s="7">
        <v>272973.17</v>
      </c>
      <c r="J303" s="340">
        <v>312447.23</v>
      </c>
      <c r="K303" s="403"/>
      <c r="L303" s="340">
        <v>309574.33</v>
      </c>
      <c r="Q303">
        <v>5310</v>
      </c>
      <c r="R303" t="s">
        <v>15</v>
      </c>
      <c r="Y303" s="308"/>
      <c r="Z303" s="312"/>
    </row>
    <row r="304" spans="1:26" ht="12.75">
      <c r="A304" s="5">
        <v>5145</v>
      </c>
      <c r="B304" s="6" t="str">
        <f t="shared" si="14"/>
        <v>Maintenance of Underground Conduit</v>
      </c>
      <c r="D304" s="7">
        <v>7218.2</v>
      </c>
      <c r="E304" s="318"/>
      <c r="F304" s="7">
        <v>1542.89</v>
      </c>
      <c r="H304" s="7">
        <v>166.59</v>
      </c>
      <c r="J304" s="340">
        <v>354.77</v>
      </c>
      <c r="K304" s="403"/>
      <c r="L304" s="340">
        <v>322.21</v>
      </c>
      <c r="Q304">
        <v>5315</v>
      </c>
      <c r="R304" t="s">
        <v>16</v>
      </c>
      <c r="Y304" s="308"/>
      <c r="Z304" s="312"/>
    </row>
    <row r="305" spans="1:26" ht="12.75">
      <c r="A305" s="5">
        <v>5150</v>
      </c>
      <c r="B305" s="6" t="str">
        <f t="shared" si="14"/>
        <v>Maintenance of Underground Conductors and Devices</v>
      </c>
      <c r="D305" s="7">
        <v>68460.46</v>
      </c>
      <c r="E305" s="318"/>
      <c r="F305" s="7">
        <v>47210.36</v>
      </c>
      <c r="H305" s="7">
        <v>36788.82</v>
      </c>
      <c r="J305" s="340">
        <v>25657.8</v>
      </c>
      <c r="K305" s="403"/>
      <c r="L305" s="340">
        <v>29809.71</v>
      </c>
      <c r="Q305">
        <v>5320</v>
      </c>
      <c r="R305" t="s">
        <v>586</v>
      </c>
      <c r="Y305" s="308"/>
      <c r="Z305" s="312"/>
    </row>
    <row r="306" spans="1:26" ht="12.75">
      <c r="A306" s="5">
        <v>5155</v>
      </c>
      <c r="B306" s="6" t="str">
        <f t="shared" si="14"/>
        <v>Maintenance of Underground Services</v>
      </c>
      <c r="D306" s="7">
        <v>121186.3</v>
      </c>
      <c r="E306" s="318"/>
      <c r="F306" s="7">
        <v>46075.69</v>
      </c>
      <c r="H306" s="7">
        <v>44959.87</v>
      </c>
      <c r="J306" s="340">
        <v>57393.28</v>
      </c>
      <c r="K306" s="403"/>
      <c r="L306" s="340">
        <v>61509.06</v>
      </c>
      <c r="Q306">
        <v>5325</v>
      </c>
      <c r="R306" t="s">
        <v>17</v>
      </c>
      <c r="Y306" s="308"/>
      <c r="Z306" s="312"/>
    </row>
    <row r="307" spans="1:26" ht="12.75">
      <c r="A307" s="5">
        <v>5160</v>
      </c>
      <c r="B307" s="6" t="str">
        <f t="shared" si="14"/>
        <v>Maintenance of Line Transformers</v>
      </c>
      <c r="D307" s="7">
        <v>111755.52</v>
      </c>
      <c r="E307" s="318"/>
      <c r="F307" s="7">
        <v>93023.16</v>
      </c>
      <c r="H307" s="7">
        <v>99435.35</v>
      </c>
      <c r="J307" s="340">
        <v>96736.02</v>
      </c>
      <c r="K307" s="403"/>
      <c r="L307" s="340">
        <v>102042.18</v>
      </c>
      <c r="Q307">
        <v>5330</v>
      </c>
      <c r="R307" t="s">
        <v>18</v>
      </c>
      <c r="Y307" s="308"/>
      <c r="Z307" s="312"/>
    </row>
    <row r="308" spans="1:26" ht="12.75">
      <c r="A308" s="5">
        <v>5165</v>
      </c>
      <c r="B308" s="6" t="str">
        <f t="shared" si="14"/>
        <v>Maintenance of Street Lighting and Signal Systems</v>
      </c>
      <c r="D308" s="7"/>
      <c r="E308" s="318"/>
      <c r="F308" s="7"/>
      <c r="H308" s="7"/>
      <c r="J308" s="340"/>
      <c r="K308" s="403"/>
      <c r="L308" s="340"/>
      <c r="Q308">
        <v>5335</v>
      </c>
      <c r="R308" t="s">
        <v>19</v>
      </c>
      <c r="Y308" s="308"/>
      <c r="Z308" s="312"/>
    </row>
    <row r="309" spans="1:26" ht="12.75">
      <c r="A309" s="5">
        <v>5170</v>
      </c>
      <c r="B309" s="6" t="str">
        <f t="shared" si="14"/>
        <v>Sentinel Lights - Labour</v>
      </c>
      <c r="D309" s="7"/>
      <c r="E309" s="318"/>
      <c r="F309" s="7"/>
      <c r="H309" s="7"/>
      <c r="J309" s="340"/>
      <c r="K309" s="403"/>
      <c r="L309" s="340"/>
      <c r="Q309">
        <v>5340</v>
      </c>
      <c r="R309" t="s">
        <v>20</v>
      </c>
      <c r="Y309" s="308"/>
      <c r="Z309" s="312"/>
    </row>
    <row r="310" spans="1:26" ht="12.75">
      <c r="A310" s="5">
        <v>5172</v>
      </c>
      <c r="B310" s="6" t="str">
        <f t="shared" si="14"/>
        <v>Sentinel Lights - Materials and Expenses</v>
      </c>
      <c r="D310" s="7"/>
      <c r="E310" s="318"/>
      <c r="F310" s="7"/>
      <c r="H310" s="7"/>
      <c r="J310" s="340"/>
      <c r="K310" s="403"/>
      <c r="L310" s="340"/>
      <c r="Q310">
        <v>5405</v>
      </c>
      <c r="R310" t="s">
        <v>585</v>
      </c>
      <c r="Y310" s="308"/>
      <c r="Z310" s="312"/>
    </row>
    <row r="311" spans="1:26" ht="12.75">
      <c r="A311" s="5">
        <v>5175</v>
      </c>
      <c r="B311" s="6" t="str">
        <f t="shared" si="14"/>
        <v>Maintenance of Meters</v>
      </c>
      <c r="D311" s="7">
        <v>10357.33</v>
      </c>
      <c r="E311" s="318"/>
      <c r="F311" s="7">
        <v>9610.5</v>
      </c>
      <c r="H311" s="7">
        <v>9514.45</v>
      </c>
      <c r="J311" s="340">
        <v>5304.95</v>
      </c>
      <c r="K311" s="403"/>
      <c r="L311" s="340">
        <v>8330.62</v>
      </c>
      <c r="Q311">
        <v>5410</v>
      </c>
      <c r="R311" t="s">
        <v>21</v>
      </c>
      <c r="Y311" s="308"/>
      <c r="Z311" s="312"/>
    </row>
    <row r="312" spans="1:26" ht="12.75">
      <c r="A312" s="5">
        <v>5178</v>
      </c>
      <c r="B312" s="6" t="str">
        <f t="shared" si="14"/>
        <v>Customer Installations Expenses - Leased Property</v>
      </c>
      <c r="D312" s="7"/>
      <c r="E312" s="318"/>
      <c r="F312" s="7"/>
      <c r="H312" s="7"/>
      <c r="J312" s="340"/>
      <c r="K312" s="403"/>
      <c r="L312" s="340"/>
      <c r="Q312">
        <v>5415</v>
      </c>
      <c r="R312" t="s">
        <v>22</v>
      </c>
      <c r="Y312" s="308"/>
      <c r="Z312" s="312"/>
    </row>
    <row r="313" spans="1:26" ht="12.75">
      <c r="A313" s="5">
        <v>5195</v>
      </c>
      <c r="B313" s="6" t="str">
        <f t="shared" si="14"/>
        <v>Maintenance of Other Installations on Customer Premises</v>
      </c>
      <c r="D313" s="7"/>
      <c r="E313" s="318"/>
      <c r="F313" s="7"/>
      <c r="H313" s="7"/>
      <c r="J313" s="340"/>
      <c r="K313" s="403"/>
      <c r="L313" s="340"/>
      <c r="Q313">
        <v>5420</v>
      </c>
      <c r="R313" t="s">
        <v>23</v>
      </c>
      <c r="Y313" s="308"/>
      <c r="Z313" s="312"/>
    </row>
    <row r="314" spans="2:26" ht="12.75">
      <c r="B314" s="315" t="s">
        <v>123</v>
      </c>
      <c r="D314"/>
      <c r="E314" s="318"/>
      <c r="F314"/>
      <c r="K314" s="403"/>
      <c r="Q314">
        <v>5425</v>
      </c>
      <c r="R314" t="s">
        <v>24</v>
      </c>
      <c r="Y314" s="308"/>
      <c r="Z314" s="312"/>
    </row>
    <row r="315" spans="1:26" ht="12.75">
      <c r="A315" s="5">
        <v>5205</v>
      </c>
      <c r="B315" s="6" t="str">
        <f>VLOOKUP(A315,Q$11:U$383,2)</f>
        <v>Purchase of Transmission and System Services</v>
      </c>
      <c r="D315" s="7"/>
      <c r="E315" s="318"/>
      <c r="F315" s="7"/>
      <c r="H315" s="7"/>
      <c r="J315" s="340"/>
      <c r="K315" s="403"/>
      <c r="L315" s="340"/>
      <c r="Q315">
        <v>5505</v>
      </c>
      <c r="R315" t="s">
        <v>585</v>
      </c>
      <c r="Y315" s="308"/>
      <c r="Z315" s="312"/>
    </row>
    <row r="316" spans="1:26" ht="12.75">
      <c r="A316" s="5">
        <v>5210</v>
      </c>
      <c r="B316" s="6" t="str">
        <f>VLOOKUP(A316,Q$11:U$383,2)</f>
        <v>Transmission Charges</v>
      </c>
      <c r="D316" s="7"/>
      <c r="E316" s="318"/>
      <c r="F316" s="7"/>
      <c r="H316" s="7"/>
      <c r="J316" s="340"/>
      <c r="K316" s="403"/>
      <c r="L316" s="340"/>
      <c r="Q316">
        <v>5510</v>
      </c>
      <c r="R316" t="s">
        <v>25</v>
      </c>
      <c r="Y316" s="308"/>
      <c r="Z316" s="312"/>
    </row>
    <row r="317" spans="1:26" ht="12.75">
      <c r="A317" s="5">
        <v>5215</v>
      </c>
      <c r="B317" s="6" t="str">
        <f>VLOOKUP(A317,Q$11:U$383,2)</f>
        <v>Transmission Charges Recovered</v>
      </c>
      <c r="D317" s="7"/>
      <c r="E317" s="318"/>
      <c r="F317" s="7"/>
      <c r="H317" s="7"/>
      <c r="J317" s="340"/>
      <c r="K317" s="403"/>
      <c r="L317" s="340"/>
      <c r="Q317">
        <v>5515</v>
      </c>
      <c r="R317" t="s">
        <v>26</v>
      </c>
      <c r="Y317" s="308"/>
      <c r="Z317" s="312"/>
    </row>
    <row r="318" spans="2:26" ht="12.75">
      <c r="B318" s="315" t="s">
        <v>200</v>
      </c>
      <c r="D318"/>
      <c r="E318" s="318"/>
      <c r="F318"/>
      <c r="K318" s="403"/>
      <c r="Q318">
        <v>5520</v>
      </c>
      <c r="R318" t="s">
        <v>27</v>
      </c>
      <c r="Y318" s="308"/>
      <c r="Z318" s="312"/>
    </row>
    <row r="319" spans="1:26" ht="12.75">
      <c r="A319" s="5">
        <v>5305</v>
      </c>
      <c r="B319" s="6" t="str">
        <f aca="true" t="shared" si="15" ref="B319:B326">VLOOKUP(A319,Q$11:U$383,2)</f>
        <v>Supervision</v>
      </c>
      <c r="D319" s="7"/>
      <c r="E319" s="318"/>
      <c r="F319" s="7"/>
      <c r="H319" s="7"/>
      <c r="J319" s="340"/>
      <c r="K319" s="403"/>
      <c r="L319" s="340"/>
      <c r="Q319">
        <v>5605</v>
      </c>
      <c r="R319" t="s">
        <v>28</v>
      </c>
      <c r="Y319" s="308"/>
      <c r="Z319" s="312"/>
    </row>
    <row r="320" spans="1:26" ht="12.75">
      <c r="A320" s="5">
        <v>5310</v>
      </c>
      <c r="B320" s="6" t="str">
        <f t="shared" si="15"/>
        <v>Meter Reading Expense</v>
      </c>
      <c r="D320" s="7">
        <v>263105.7</v>
      </c>
      <c r="E320" s="318"/>
      <c r="F320" s="7">
        <v>250089.91</v>
      </c>
      <c r="H320" s="7">
        <v>261980.11</v>
      </c>
      <c r="J320" s="340">
        <v>318140.99</v>
      </c>
      <c r="K320" s="403"/>
      <c r="L320" s="340">
        <v>286317.45</v>
      </c>
      <c r="Q320">
        <v>5610</v>
      </c>
      <c r="R320" t="s">
        <v>29</v>
      </c>
      <c r="Y320" s="308"/>
      <c r="Z320" s="312"/>
    </row>
    <row r="321" spans="1:26" ht="12.75">
      <c r="A321" s="5">
        <v>5315</v>
      </c>
      <c r="B321" s="6" t="str">
        <f t="shared" si="15"/>
        <v>Customer Billing</v>
      </c>
      <c r="D321" s="7">
        <v>452715.21</v>
      </c>
      <c r="E321" s="318"/>
      <c r="F321" s="7">
        <v>426273.42</v>
      </c>
      <c r="H321" s="7">
        <v>471589.75</v>
      </c>
      <c r="J321" s="340">
        <v>390249.26</v>
      </c>
      <c r="K321" s="403"/>
      <c r="L321" s="340">
        <v>425573.18</v>
      </c>
      <c r="Q321">
        <v>5615</v>
      </c>
      <c r="R321" t="s">
        <v>30</v>
      </c>
      <c r="Y321" s="308"/>
      <c r="Z321" s="312"/>
    </row>
    <row r="322" spans="1:26" ht="12.75">
      <c r="A322" s="5">
        <v>5320</v>
      </c>
      <c r="B322" s="6" t="str">
        <f t="shared" si="15"/>
        <v>Collecting</v>
      </c>
      <c r="D322" s="7">
        <v>194192.58</v>
      </c>
      <c r="E322" s="318"/>
      <c r="F322" s="7">
        <v>198798.91</v>
      </c>
      <c r="H322" s="7">
        <v>208161.49</v>
      </c>
      <c r="J322" s="340">
        <v>196050.67</v>
      </c>
      <c r="K322" s="403"/>
      <c r="L322" s="340">
        <v>162196.25</v>
      </c>
      <c r="Q322">
        <v>5620</v>
      </c>
      <c r="R322" t="s">
        <v>31</v>
      </c>
      <c r="Y322" s="308"/>
      <c r="Z322" s="312"/>
    </row>
    <row r="323" spans="1:26" ht="12.75">
      <c r="A323" s="5">
        <v>5325</v>
      </c>
      <c r="B323" s="6" t="str">
        <f t="shared" si="15"/>
        <v>Collecting - Cash Over and Short</v>
      </c>
      <c r="D323" s="7">
        <v>577.74</v>
      </c>
      <c r="E323" s="318"/>
      <c r="F323" s="7">
        <v>10.48</v>
      </c>
      <c r="H323" s="7">
        <v>-20.97</v>
      </c>
      <c r="J323" s="340">
        <v>25</v>
      </c>
      <c r="K323" s="403"/>
      <c r="L323" s="340"/>
      <c r="Q323">
        <v>5625</v>
      </c>
      <c r="R323" t="s">
        <v>32</v>
      </c>
      <c r="Y323" s="308"/>
      <c r="Z323" s="312"/>
    </row>
    <row r="324" spans="1:26" ht="12.75">
      <c r="A324" s="5">
        <v>5330</v>
      </c>
      <c r="B324" s="6" t="str">
        <f t="shared" si="15"/>
        <v>Collection Charges</v>
      </c>
      <c r="D324" s="7"/>
      <c r="E324" s="318"/>
      <c r="F324" s="7"/>
      <c r="H324" s="7"/>
      <c r="J324" s="340"/>
      <c r="K324" s="403"/>
      <c r="L324" s="340"/>
      <c r="Q324">
        <v>5630</v>
      </c>
      <c r="R324" t="s">
        <v>33</v>
      </c>
      <c r="Y324" s="308"/>
      <c r="Z324" s="312"/>
    </row>
    <row r="325" spans="1:26" ht="12.75">
      <c r="A325" s="5">
        <v>5335</v>
      </c>
      <c r="B325" s="6" t="str">
        <f t="shared" si="15"/>
        <v>Bad Debt Expense</v>
      </c>
      <c r="D325" s="7">
        <v>286156.87</v>
      </c>
      <c r="E325" s="318"/>
      <c r="F325" s="7">
        <v>219605.09</v>
      </c>
      <c r="H325" s="7">
        <v>272165.1</v>
      </c>
      <c r="J325" s="340">
        <v>269095</v>
      </c>
      <c r="K325" s="403"/>
      <c r="L325" s="340">
        <v>270000</v>
      </c>
      <c r="M325" s="383"/>
      <c r="Q325">
        <v>5635</v>
      </c>
      <c r="R325" t="s">
        <v>34</v>
      </c>
      <c r="Y325" s="308"/>
      <c r="Z325" s="312"/>
    </row>
    <row r="326" spans="1:26" ht="12.75">
      <c r="A326" s="5">
        <v>5340</v>
      </c>
      <c r="B326" s="6" t="str">
        <f t="shared" si="15"/>
        <v>Miscellaneous Customer Accounts Expenses</v>
      </c>
      <c r="D326" s="7">
        <v>10563.39</v>
      </c>
      <c r="E326" s="318"/>
      <c r="F326" s="7">
        <v>90</v>
      </c>
      <c r="H326" s="7">
        <v>20</v>
      </c>
      <c r="J326" s="340"/>
      <c r="K326" s="403"/>
      <c r="L326" s="340"/>
      <c r="M326" s="384"/>
      <c r="Q326">
        <v>5640</v>
      </c>
      <c r="R326" t="s">
        <v>35</v>
      </c>
      <c r="Y326" s="308"/>
      <c r="Z326" s="312"/>
    </row>
    <row r="327" spans="2:26" ht="12.75">
      <c r="B327" s="315" t="s">
        <v>201</v>
      </c>
      <c r="D327"/>
      <c r="E327" s="318"/>
      <c r="F327"/>
      <c r="K327" s="403"/>
      <c r="M327" s="384"/>
      <c r="Q327">
        <v>5645</v>
      </c>
      <c r="R327" t="s">
        <v>36</v>
      </c>
      <c r="Y327" s="308"/>
      <c r="Z327" s="312"/>
    </row>
    <row r="328" spans="1:26" ht="12.75">
      <c r="A328" s="5">
        <v>5405</v>
      </c>
      <c r="B328" s="6" t="str">
        <f>VLOOKUP(A328,Q$11:U$383,2)</f>
        <v>Supervision</v>
      </c>
      <c r="D328" s="7"/>
      <c r="E328" s="318"/>
      <c r="F328" s="7"/>
      <c r="H328" s="7"/>
      <c r="J328" s="340"/>
      <c r="K328" s="403"/>
      <c r="L328" s="340"/>
      <c r="M328" s="384"/>
      <c r="Q328">
        <v>5650</v>
      </c>
      <c r="R328" t="s">
        <v>37</v>
      </c>
      <c r="Y328" s="308"/>
      <c r="Z328" s="312"/>
    </row>
    <row r="329" spans="1:26" ht="12.75">
      <c r="A329" s="5">
        <v>5410</v>
      </c>
      <c r="B329" s="6" t="str">
        <f>VLOOKUP(A329,Q$11:U$383,2)</f>
        <v>Community Relations - Sundry</v>
      </c>
      <c r="D329" s="7">
        <v>1282.08</v>
      </c>
      <c r="E329" s="318"/>
      <c r="F329" s="7"/>
      <c r="H329" s="7"/>
      <c r="J329" s="340"/>
      <c r="K329" s="403"/>
      <c r="L329" s="340"/>
      <c r="M329" s="384"/>
      <c r="Q329">
        <v>5655</v>
      </c>
      <c r="R329" t="s">
        <v>38</v>
      </c>
      <c r="Y329" s="308"/>
      <c r="Z329" s="312"/>
    </row>
    <row r="330" spans="1:26" ht="12.75">
      <c r="A330" s="5">
        <v>5415</v>
      </c>
      <c r="B330" s="6" t="str">
        <f>VLOOKUP(A330,Q$11:U$383,2)</f>
        <v>Energy Conservation</v>
      </c>
      <c r="D330" s="7">
        <v>302283.88</v>
      </c>
      <c r="E330" s="318"/>
      <c r="F330" s="7">
        <v>436999.66</v>
      </c>
      <c r="H330" s="7">
        <v>463481.92</v>
      </c>
      <c r="J330" s="340">
        <v>0</v>
      </c>
      <c r="K330" s="403"/>
      <c r="L330" s="340">
        <v>195000</v>
      </c>
      <c r="M330" s="384"/>
      <c r="Q330">
        <v>5660</v>
      </c>
      <c r="R330" t="s">
        <v>39</v>
      </c>
      <c r="Y330" s="308"/>
      <c r="Z330" s="312"/>
    </row>
    <row r="331" spans="1:26" ht="12.75">
      <c r="A331" s="5">
        <v>5420</v>
      </c>
      <c r="B331" s="6" t="str">
        <f>VLOOKUP(A331,Q$11:U$383,2)</f>
        <v>Community Safety Program</v>
      </c>
      <c r="D331" s="7">
        <v>2996.51</v>
      </c>
      <c r="E331" s="318"/>
      <c r="F331" s="7">
        <v>1660.63</v>
      </c>
      <c r="H331" s="7"/>
      <c r="J331" s="340"/>
      <c r="K331" s="403"/>
      <c r="L331" s="340"/>
      <c r="M331" s="384"/>
      <c r="Q331">
        <v>5665</v>
      </c>
      <c r="R331" t="s">
        <v>40</v>
      </c>
      <c r="Y331" s="308"/>
      <c r="Z331" s="312"/>
    </row>
    <row r="332" spans="1:26" ht="12.75">
      <c r="A332" s="5">
        <v>5425</v>
      </c>
      <c r="B332" s="6" t="str">
        <f>VLOOKUP(A332,Q$11:U$383,2)</f>
        <v>Miscellaneous Customer Service and Informational Expenses</v>
      </c>
      <c r="D332" s="7">
        <v>8799.08</v>
      </c>
      <c r="E332" s="318"/>
      <c r="F332" s="7">
        <v>16231.18</v>
      </c>
      <c r="H332" s="7">
        <v>12772.18</v>
      </c>
      <c r="J332" s="340">
        <v>10500</v>
      </c>
      <c r="K332" s="403"/>
      <c r="L332" s="340">
        <v>27000</v>
      </c>
      <c r="Q332">
        <v>5670</v>
      </c>
      <c r="R332" t="s">
        <v>41</v>
      </c>
      <c r="Y332" s="308"/>
      <c r="Z332" s="312"/>
    </row>
    <row r="333" spans="2:26" ht="12.75">
      <c r="B333" s="315" t="s">
        <v>124</v>
      </c>
      <c r="D333"/>
      <c r="E333" s="318"/>
      <c r="F333"/>
      <c r="K333" s="403"/>
      <c r="Q333">
        <v>5675</v>
      </c>
      <c r="R333" t="s">
        <v>42</v>
      </c>
      <c r="Y333" s="308"/>
      <c r="Z333" s="312"/>
    </row>
    <row r="334" spans="1:26" ht="12.75">
      <c r="A334" s="5">
        <v>5505</v>
      </c>
      <c r="B334" s="6" t="str">
        <f>VLOOKUP(A334,Q$11:U$383,2)</f>
        <v>Supervision</v>
      </c>
      <c r="D334" s="7"/>
      <c r="E334" s="318"/>
      <c r="F334" s="7"/>
      <c r="H334" s="7"/>
      <c r="J334" s="340"/>
      <c r="K334" s="403"/>
      <c r="L334" s="340"/>
      <c r="Q334">
        <v>5680</v>
      </c>
      <c r="R334" t="s">
        <v>43</v>
      </c>
      <c r="Y334" s="308"/>
      <c r="Z334" s="312"/>
    </row>
    <row r="335" spans="1:26" ht="12.75">
      <c r="A335" s="5">
        <v>5510</v>
      </c>
      <c r="B335" s="6" t="str">
        <f>VLOOKUP(A335,Q$11:U$383,2)</f>
        <v>Demonstrating and Selling Expense</v>
      </c>
      <c r="D335" s="7"/>
      <c r="E335" s="318"/>
      <c r="F335" s="7"/>
      <c r="H335" s="7"/>
      <c r="J335" s="340"/>
      <c r="K335" s="403"/>
      <c r="L335" s="340"/>
      <c r="Q335">
        <v>5685</v>
      </c>
      <c r="R335" t="s">
        <v>44</v>
      </c>
      <c r="Y335" s="308"/>
      <c r="Z335" s="312"/>
    </row>
    <row r="336" spans="1:26" ht="12.75">
      <c r="A336" s="5">
        <v>5515</v>
      </c>
      <c r="B336" s="6" t="str">
        <f>VLOOKUP(A336,Q$11:U$383,2)</f>
        <v>Advertising Expense</v>
      </c>
      <c r="D336" s="7"/>
      <c r="E336" s="318"/>
      <c r="F336" s="7"/>
      <c r="H336" s="7"/>
      <c r="J336" s="340"/>
      <c r="K336" s="403"/>
      <c r="L336" s="340"/>
      <c r="Q336">
        <v>5695</v>
      </c>
      <c r="R336" t="s">
        <v>137</v>
      </c>
      <c r="Z336" s="312"/>
    </row>
    <row r="337" spans="1:26" ht="12.75">
      <c r="A337" s="5">
        <v>5520</v>
      </c>
      <c r="B337" s="6" t="str">
        <f>VLOOKUP(A337,Q$11:U$383,2)</f>
        <v>Miscellaneous Sales Expense</v>
      </c>
      <c r="D337" s="7"/>
      <c r="E337" s="318"/>
      <c r="F337" s="7"/>
      <c r="H337" s="7"/>
      <c r="J337" s="340"/>
      <c r="K337" s="403"/>
      <c r="L337" s="340"/>
      <c r="Q337">
        <v>5705</v>
      </c>
      <c r="R337" t="s">
        <v>45</v>
      </c>
      <c r="Y337" s="308"/>
      <c r="Z337" s="312"/>
    </row>
    <row r="338" spans="2:26" ht="12.75">
      <c r="B338" s="315" t="s">
        <v>202</v>
      </c>
      <c r="D338"/>
      <c r="E338" s="318"/>
      <c r="F338"/>
      <c r="K338" s="403"/>
      <c r="Q338">
        <v>5710</v>
      </c>
      <c r="R338" t="s">
        <v>46</v>
      </c>
      <c r="Y338" s="308"/>
      <c r="Z338" s="312"/>
    </row>
    <row r="339" spans="1:26" ht="12.75">
      <c r="A339" s="5">
        <v>5605</v>
      </c>
      <c r="B339" s="6" t="str">
        <f aca="true" t="shared" si="16" ref="B339:B356">VLOOKUP(A339,Q$11:U$383,2)</f>
        <v>Executive Salaries and Expenses</v>
      </c>
      <c r="D339" s="7"/>
      <c r="E339" s="318"/>
      <c r="F339" s="7"/>
      <c r="H339" s="7"/>
      <c r="J339" s="340"/>
      <c r="K339" s="403"/>
      <c r="L339" s="340"/>
      <c r="Q339">
        <v>5715</v>
      </c>
      <c r="R339" t="s">
        <v>47</v>
      </c>
      <c r="Y339" s="308"/>
      <c r="Z339" s="312"/>
    </row>
    <row r="340" spans="1:26" ht="12.75">
      <c r="A340" s="5">
        <v>5610</v>
      </c>
      <c r="B340" s="6" t="str">
        <f t="shared" si="16"/>
        <v>Management Salaries and Expenses</v>
      </c>
      <c r="D340" s="7">
        <f>248040.6-1115.88+205476.92</f>
        <v>452401.64</v>
      </c>
      <c r="E340" s="318"/>
      <c r="F340" s="7">
        <v>420939.6</v>
      </c>
      <c r="H340" s="7">
        <v>521747.81</v>
      </c>
      <c r="J340" s="340">
        <v>586857.01</v>
      </c>
      <c r="K340" s="403"/>
      <c r="L340" s="340">
        <v>661851.81</v>
      </c>
      <c r="Q340">
        <v>5720</v>
      </c>
      <c r="R340" t="s">
        <v>48</v>
      </c>
      <c r="Y340" s="308"/>
      <c r="Z340" s="312"/>
    </row>
    <row r="341" spans="1:26" ht="12.75">
      <c r="A341" s="5">
        <v>5615</v>
      </c>
      <c r="B341" s="6" t="str">
        <f t="shared" si="16"/>
        <v>General Administrative Salaries and Expenses</v>
      </c>
      <c r="D341" s="7">
        <f>360815.68-2997.17</f>
        <v>357818.51</v>
      </c>
      <c r="E341" s="318"/>
      <c r="F341" s="7">
        <v>498053.74</v>
      </c>
      <c r="H341" s="7">
        <v>401610.21</v>
      </c>
      <c r="J341" s="340">
        <v>363799.74</v>
      </c>
      <c r="K341" s="403"/>
      <c r="L341" s="340">
        <v>463781.55</v>
      </c>
      <c r="M341" s="365"/>
      <c r="Q341">
        <v>5725</v>
      </c>
      <c r="R341" t="s">
        <v>49</v>
      </c>
      <c r="Y341" s="308"/>
      <c r="Z341" s="312"/>
    </row>
    <row r="342" spans="1:26" ht="12.75">
      <c r="A342" s="5">
        <v>5620</v>
      </c>
      <c r="B342" s="6" t="str">
        <f t="shared" si="16"/>
        <v>Office Supplies and Expenses</v>
      </c>
      <c r="D342" s="7">
        <v>819.96</v>
      </c>
      <c r="E342" s="318"/>
      <c r="F342" s="7">
        <v>298.62</v>
      </c>
      <c r="H342" s="7">
        <v>1281.19</v>
      </c>
      <c r="J342" s="340">
        <v>165</v>
      </c>
      <c r="K342" s="403"/>
      <c r="L342" s="340">
        <v>1200</v>
      </c>
      <c r="M342" s="365"/>
      <c r="Q342">
        <v>5730</v>
      </c>
      <c r="R342" t="s">
        <v>50</v>
      </c>
      <c r="Y342" s="308"/>
      <c r="Z342" s="312"/>
    </row>
    <row r="343" spans="1:26" ht="12.75">
      <c r="A343" s="5">
        <v>5625</v>
      </c>
      <c r="B343" s="6" t="str">
        <f t="shared" si="16"/>
        <v>Administrative Expense Transferred-Credit</v>
      </c>
      <c r="D343" s="7"/>
      <c r="E343" s="318"/>
      <c r="F343" s="7"/>
      <c r="H343" s="7"/>
      <c r="J343" s="340"/>
      <c r="K343" s="403"/>
      <c r="L343" s="340"/>
      <c r="Q343">
        <v>5735</v>
      </c>
      <c r="R343" t="s">
        <v>51</v>
      </c>
      <c r="Y343" s="308"/>
      <c r="Z343" s="312"/>
    </row>
    <row r="344" spans="1:26" ht="12.75">
      <c r="A344" s="5">
        <v>5630</v>
      </c>
      <c r="B344" s="6" t="str">
        <f t="shared" si="16"/>
        <v>Outside Services Employed</v>
      </c>
      <c r="D344" s="7">
        <v>270942.91</v>
      </c>
      <c r="E344" s="318"/>
      <c r="F344" s="7">
        <v>311590.96</v>
      </c>
      <c r="H344" s="7">
        <v>265951.62</v>
      </c>
      <c r="J344" s="340">
        <v>281311.33</v>
      </c>
      <c r="K344" s="403"/>
      <c r="L344" s="340">
        <v>389195.88</v>
      </c>
      <c r="Q344">
        <v>5740</v>
      </c>
      <c r="R344" t="s">
        <v>52</v>
      </c>
      <c r="Y344" s="308"/>
      <c r="Z344" s="312"/>
    </row>
    <row r="345" spans="1:26" ht="12.75">
      <c r="A345" s="5">
        <v>5635</v>
      </c>
      <c r="B345" s="6" t="str">
        <f t="shared" si="16"/>
        <v>Property Insurance</v>
      </c>
      <c r="D345" s="7">
        <v>130078.4</v>
      </c>
      <c r="E345" s="318"/>
      <c r="F345" s="7">
        <v>155327.04</v>
      </c>
      <c r="H345" s="7">
        <v>142258.36</v>
      </c>
      <c r="J345" s="340">
        <v>146279</v>
      </c>
      <c r="K345" s="403"/>
      <c r="L345" s="340">
        <v>149643.42</v>
      </c>
      <c r="Q345">
        <v>6005</v>
      </c>
      <c r="R345" t="s">
        <v>53</v>
      </c>
      <c r="Y345" s="308"/>
      <c r="Z345" s="312"/>
    </row>
    <row r="346" spans="1:26" ht="12.75">
      <c r="A346" s="5">
        <v>5640</v>
      </c>
      <c r="B346" s="6" t="str">
        <f t="shared" si="16"/>
        <v>Injuries and Damages</v>
      </c>
      <c r="D346" s="7"/>
      <c r="E346" s="318"/>
      <c r="F346" s="7"/>
      <c r="H346" s="7"/>
      <c r="J346" s="340"/>
      <c r="K346" s="403"/>
      <c r="L346" s="340"/>
      <c r="Q346">
        <v>6010</v>
      </c>
      <c r="R346" t="s">
        <v>54</v>
      </c>
      <c r="Y346" s="308"/>
      <c r="Z346" s="312"/>
    </row>
    <row r="347" spans="1:26" ht="12.75">
      <c r="A347" s="5">
        <v>5645</v>
      </c>
      <c r="B347" s="6" t="str">
        <f t="shared" si="16"/>
        <v>Employee Pensions and Benefits</v>
      </c>
      <c r="D347" s="7">
        <v>412216.57</v>
      </c>
      <c r="E347" s="318"/>
      <c r="F347" s="7">
        <v>367229.28</v>
      </c>
      <c r="H347" s="7">
        <v>389493.97</v>
      </c>
      <c r="J347" s="340">
        <v>375615.25</v>
      </c>
      <c r="K347" s="403"/>
      <c r="L347" s="340">
        <v>426726.6555037478</v>
      </c>
      <c r="N347" s="384"/>
      <c r="O347" s="384"/>
      <c r="Q347">
        <v>6015</v>
      </c>
      <c r="R347" t="s">
        <v>55</v>
      </c>
      <c r="Y347" s="308"/>
      <c r="Z347" s="312"/>
    </row>
    <row r="348" spans="1:26" ht="12.75">
      <c r="A348" s="5">
        <v>5650</v>
      </c>
      <c r="B348" s="6" t="str">
        <f t="shared" si="16"/>
        <v>Franchise Requirements</v>
      </c>
      <c r="D348" s="7"/>
      <c r="E348" s="318"/>
      <c r="F348" s="7"/>
      <c r="H348" s="7"/>
      <c r="J348" s="340"/>
      <c r="K348" s="403"/>
      <c r="L348" s="340"/>
      <c r="N348" s="384"/>
      <c r="O348" s="384"/>
      <c r="Q348">
        <v>6020</v>
      </c>
      <c r="R348" t="s">
        <v>56</v>
      </c>
      <c r="Y348" s="308"/>
      <c r="Z348" s="312"/>
    </row>
    <row r="349" spans="1:26" ht="12.75">
      <c r="A349" s="5">
        <v>5655</v>
      </c>
      <c r="B349" s="6" t="str">
        <f t="shared" si="16"/>
        <v>Regulatory Expenses</v>
      </c>
      <c r="D349" s="7">
        <v>92310.07</v>
      </c>
      <c r="E349" s="318"/>
      <c r="F349" s="7">
        <v>108160.8</v>
      </c>
      <c r="H349" s="7">
        <v>175851.21</v>
      </c>
      <c r="J349" s="340">
        <v>161209.34</v>
      </c>
      <c r="K349" s="403"/>
      <c r="L349" s="340">
        <v>154359.6</v>
      </c>
      <c r="N349" s="383"/>
      <c r="O349" s="384"/>
      <c r="Q349">
        <v>6025</v>
      </c>
      <c r="R349" t="s">
        <v>57</v>
      </c>
      <c r="Y349" s="308"/>
      <c r="Z349" s="312"/>
    </row>
    <row r="350" spans="1:26" ht="12.75">
      <c r="A350" s="5">
        <v>5660</v>
      </c>
      <c r="B350" s="6" t="str">
        <f t="shared" si="16"/>
        <v>General Advertising Expenses</v>
      </c>
      <c r="D350" s="7">
        <v>3799</v>
      </c>
      <c r="E350" s="318"/>
      <c r="F350" s="7">
        <v>1143.01</v>
      </c>
      <c r="H350" s="7">
        <v>2372.4</v>
      </c>
      <c r="J350" s="340">
        <v>18923</v>
      </c>
      <c r="K350" s="403"/>
      <c r="L350" s="340">
        <v>27980</v>
      </c>
      <c r="N350" s="3"/>
      <c r="O350" s="360"/>
      <c r="Q350">
        <v>6030</v>
      </c>
      <c r="R350" t="s">
        <v>58</v>
      </c>
      <c r="Y350" s="308"/>
      <c r="Z350" s="312"/>
    </row>
    <row r="351" spans="1:26" ht="12.75">
      <c r="A351" s="5">
        <v>5665</v>
      </c>
      <c r="B351" s="6" t="str">
        <f t="shared" si="16"/>
        <v>Miscellaneous Expenses</v>
      </c>
      <c r="D351" s="7">
        <v>88732.23</v>
      </c>
      <c r="E351" s="318"/>
      <c r="F351" s="7">
        <v>95785.57</v>
      </c>
      <c r="H351" s="7">
        <v>127571.47</v>
      </c>
      <c r="J351" s="340">
        <v>92617.94</v>
      </c>
      <c r="K351" s="403"/>
      <c r="L351" s="340">
        <v>77153.87</v>
      </c>
      <c r="M351" t="s">
        <v>870</v>
      </c>
      <c r="N351" s="200"/>
      <c r="O351" s="200"/>
      <c r="Q351">
        <v>6035</v>
      </c>
      <c r="R351" t="s">
        <v>59</v>
      </c>
      <c r="Y351" s="308"/>
      <c r="Z351" s="312"/>
    </row>
    <row r="352" spans="1:26" ht="12.75">
      <c r="A352" s="5">
        <v>5670</v>
      </c>
      <c r="B352" s="6" t="str">
        <f t="shared" si="16"/>
        <v>Rent  </v>
      </c>
      <c r="D352" s="7"/>
      <c r="E352" s="318"/>
      <c r="F352" s="7"/>
      <c r="H352" s="7"/>
      <c r="J352" s="340"/>
      <c r="K352" s="403"/>
      <c r="L352" s="340"/>
      <c r="Q352">
        <v>6040</v>
      </c>
      <c r="R352" t="s">
        <v>60</v>
      </c>
      <c r="Y352" s="308"/>
      <c r="Z352" s="312"/>
    </row>
    <row r="353" spans="1:26" ht="12.75">
      <c r="A353" s="5">
        <v>5675</v>
      </c>
      <c r="B353" s="6" t="str">
        <f t="shared" si="16"/>
        <v>Maintenance of General Plant</v>
      </c>
      <c r="D353" s="7">
        <v>116715.08</v>
      </c>
      <c r="E353" s="318"/>
      <c r="F353" s="7">
        <v>93166.74</v>
      </c>
      <c r="H353" s="7">
        <v>97289.43</v>
      </c>
      <c r="J353" s="340">
        <v>144180.11</v>
      </c>
      <c r="K353" s="403"/>
      <c r="L353" s="340">
        <v>178991.46</v>
      </c>
      <c r="O353" s="200"/>
      <c r="Q353">
        <v>6042</v>
      </c>
      <c r="R353" t="s">
        <v>61</v>
      </c>
      <c r="Y353" s="308"/>
      <c r="Z353" s="312"/>
    </row>
    <row r="354" spans="1:26" ht="12.75">
      <c r="A354" s="5">
        <v>5680</v>
      </c>
      <c r="B354" s="6" t="str">
        <f t="shared" si="16"/>
        <v>Electrical Safety Authority Fees</v>
      </c>
      <c r="D354" s="7">
        <v>9872.23</v>
      </c>
      <c r="E354" s="318"/>
      <c r="F354" s="7">
        <v>9837.66</v>
      </c>
      <c r="H354" s="7">
        <v>12395.54</v>
      </c>
      <c r="J354" s="340">
        <v>10849</v>
      </c>
      <c r="K354" s="403"/>
      <c r="L354" s="340">
        <v>14400</v>
      </c>
      <c r="Q354">
        <v>6045</v>
      </c>
      <c r="R354" t="s">
        <v>62</v>
      </c>
      <c r="Y354" s="308"/>
      <c r="Z354" s="312"/>
    </row>
    <row r="355" spans="1:26" ht="12.75">
      <c r="A355" s="5">
        <v>5685</v>
      </c>
      <c r="B355" s="6" t="str">
        <f t="shared" si="16"/>
        <v>Independent Market Operator Fees and Penalties</v>
      </c>
      <c r="D355" s="7"/>
      <c r="E355" s="318"/>
      <c r="F355" s="7"/>
      <c r="H355" s="7"/>
      <c r="J355" s="340"/>
      <c r="K355" s="403"/>
      <c r="L355" s="340"/>
      <c r="Q355">
        <v>6105</v>
      </c>
      <c r="R355" t="s">
        <v>63</v>
      </c>
      <c r="Y355" s="308"/>
      <c r="Z355" s="312"/>
    </row>
    <row r="356" spans="1:26" s="21" customFormat="1" ht="12.75">
      <c r="A356" s="319">
        <v>5695</v>
      </c>
      <c r="B356" s="387" t="str">
        <f t="shared" si="16"/>
        <v>OM&amp;A Contra Account</v>
      </c>
      <c r="C356" s="318"/>
      <c r="D356" s="7">
        <v>882.97</v>
      </c>
      <c r="E356" s="318"/>
      <c r="F356" s="7">
        <v>7443.99</v>
      </c>
      <c r="G356" s="318"/>
      <c r="H356" s="7">
        <v>130.69</v>
      </c>
      <c r="I356" s="318"/>
      <c r="J356" s="340">
        <v>0</v>
      </c>
      <c r="K356" s="405"/>
      <c r="L356" s="340">
        <v>0</v>
      </c>
      <c r="M356" s="404"/>
      <c r="N356" s="404"/>
      <c r="Q356" s="21">
        <v>6110</v>
      </c>
      <c r="R356" s="21" t="s">
        <v>64</v>
      </c>
      <c r="Y356" s="308"/>
      <c r="Z356" s="390"/>
    </row>
    <row r="357" spans="2:26" ht="12.75">
      <c r="B357" s="315" t="s">
        <v>126</v>
      </c>
      <c r="D357"/>
      <c r="E357" s="318"/>
      <c r="F357"/>
      <c r="K357" s="400"/>
      <c r="M357" s="310"/>
      <c r="N357" s="310"/>
      <c r="Q357">
        <v>6115</v>
      </c>
      <c r="R357" t="s">
        <v>65</v>
      </c>
      <c r="Y357" s="308"/>
      <c r="Z357" s="312"/>
    </row>
    <row r="358" spans="1:26" ht="12.75">
      <c r="A358" s="5">
        <v>5705</v>
      </c>
      <c r="B358" s="6" t="str">
        <f aca="true" t="shared" si="17" ref="B358:B365">VLOOKUP(A358,Q$11:U$383,2)</f>
        <v>Amortization Expense - Property, Plant and Equipment</v>
      </c>
      <c r="D358" s="292">
        <f>'FA Continuity 2006'!J55</f>
        <v>2283832.25</v>
      </c>
      <c r="E358" s="318"/>
      <c r="F358" s="292">
        <f>'FA Continuity 2007'!J55</f>
        <v>2315185.879999999</v>
      </c>
      <c r="H358" s="292">
        <f>'FA Continuity 2008'!J55</f>
        <v>2322968.399999999</v>
      </c>
      <c r="J358" s="401">
        <f>'FA Continuity 2009'!J55</f>
        <v>2595248.0340690357</v>
      </c>
      <c r="K358" s="403"/>
      <c r="L358" s="401">
        <f>+'FA Continuity 2010'!J55</f>
        <v>2901108.0797554553</v>
      </c>
      <c r="M358" s="365"/>
      <c r="N358" s="365"/>
      <c r="Q358">
        <v>6205</v>
      </c>
      <c r="R358" t="s">
        <v>587</v>
      </c>
      <c r="Y358" s="308"/>
      <c r="Z358" s="312"/>
    </row>
    <row r="359" spans="1:26" ht="12.75">
      <c r="A359" s="5">
        <v>5710</v>
      </c>
      <c r="B359" s="6" t="str">
        <f t="shared" si="17"/>
        <v>Amortization of Limited Term Electric Plant</v>
      </c>
      <c r="D359" s="7"/>
      <c r="E359" s="318"/>
      <c r="F359" s="7"/>
      <c r="H359" s="7"/>
      <c r="J359" s="340"/>
      <c r="K359" s="400"/>
      <c r="L359" s="340"/>
      <c r="M359" s="365"/>
      <c r="Q359">
        <v>6210</v>
      </c>
      <c r="R359" t="s">
        <v>66</v>
      </c>
      <c r="Y359" s="308"/>
      <c r="Z359" s="312"/>
    </row>
    <row r="360" spans="1:26" ht="12.75">
      <c r="A360" s="5">
        <v>5715</v>
      </c>
      <c r="B360" s="6" t="str">
        <f t="shared" si="17"/>
        <v>Amortization of Intangibles and Other Electric Plant</v>
      </c>
      <c r="D360" s="7"/>
      <c r="E360" s="318"/>
      <c r="F360" s="7"/>
      <c r="H360" s="7"/>
      <c r="J360" s="340"/>
      <c r="K360" s="400"/>
      <c r="L360" s="340"/>
      <c r="M360" s="365"/>
      <c r="Q360">
        <v>6215</v>
      </c>
      <c r="R360" t="s">
        <v>67</v>
      </c>
      <c r="Y360" s="308"/>
      <c r="Z360" s="312"/>
    </row>
    <row r="361" spans="1:26" ht="12.75">
      <c r="A361" s="5">
        <v>5720</v>
      </c>
      <c r="B361" s="6" t="str">
        <f t="shared" si="17"/>
        <v>Amortization of Electric Plant Acquisition Adjustments</v>
      </c>
      <c r="D361" s="7"/>
      <c r="E361" s="318"/>
      <c r="F361" s="7"/>
      <c r="H361" s="7"/>
      <c r="J361" s="340"/>
      <c r="K361" s="400"/>
      <c r="L361" s="340"/>
      <c r="M361" s="358"/>
      <c r="Q361">
        <v>6225</v>
      </c>
      <c r="R361" t="s">
        <v>228</v>
      </c>
      <c r="Y361" s="308"/>
      <c r="Z361" s="312"/>
    </row>
    <row r="362" spans="1:26" ht="12.75">
      <c r="A362" s="5">
        <v>5725</v>
      </c>
      <c r="B362" s="6" t="str">
        <f t="shared" si="17"/>
        <v>Miscellaneous Amortization</v>
      </c>
      <c r="D362" s="7"/>
      <c r="E362" s="318"/>
      <c r="F362" s="7"/>
      <c r="H362" s="7"/>
      <c r="J362" s="340"/>
      <c r="K362" s="400"/>
      <c r="L362" s="340"/>
      <c r="M362" s="312"/>
      <c r="Q362">
        <v>6305</v>
      </c>
      <c r="R362" t="s">
        <v>68</v>
      </c>
      <c r="Y362" s="308"/>
      <c r="Z362" s="312"/>
    </row>
    <row r="363" spans="1:26" ht="12.75">
      <c r="A363" s="5">
        <v>5730</v>
      </c>
      <c r="B363" s="6" t="str">
        <f t="shared" si="17"/>
        <v>Amortization of Unrecovered Plant and Regulatory Study Costs</v>
      </c>
      <c r="D363" s="7"/>
      <c r="E363" s="318"/>
      <c r="F363" s="7"/>
      <c r="H363" s="7"/>
      <c r="J363" s="340"/>
      <c r="K363" s="400"/>
      <c r="L363" s="340"/>
      <c r="M363" s="358"/>
      <c r="Q363">
        <v>6310</v>
      </c>
      <c r="R363" t="s">
        <v>69</v>
      </c>
      <c r="Y363" s="308"/>
      <c r="Z363" s="312"/>
    </row>
    <row r="364" spans="1:26" ht="12.75">
      <c r="A364" s="5">
        <v>5735</v>
      </c>
      <c r="B364" s="6" t="str">
        <f t="shared" si="17"/>
        <v>Amortization of Deferred Development Costs</v>
      </c>
      <c r="D364" s="7"/>
      <c r="E364" s="318"/>
      <c r="F364" s="7"/>
      <c r="H364" s="7"/>
      <c r="J364" s="340"/>
      <c r="K364" s="400"/>
      <c r="L364" s="340"/>
      <c r="N364" s="310"/>
      <c r="Q364">
        <v>6315</v>
      </c>
      <c r="R364" t="s">
        <v>70</v>
      </c>
      <c r="Y364" s="308"/>
      <c r="Z364" s="312"/>
    </row>
    <row r="365" spans="1:26" ht="12.75">
      <c r="A365" s="5">
        <v>5740</v>
      </c>
      <c r="B365" s="6" t="str">
        <f t="shared" si="17"/>
        <v>Amortization of Deferred Charges</v>
      </c>
      <c r="D365" s="7"/>
      <c r="E365" s="318"/>
      <c r="F365" s="7"/>
      <c r="H365" s="7"/>
      <c r="J365" s="340"/>
      <c r="K365" s="400"/>
      <c r="L365" s="340"/>
      <c r="N365" s="365"/>
      <c r="Z365" s="312"/>
    </row>
    <row r="366" spans="2:26" ht="12.75">
      <c r="B366" s="315" t="s">
        <v>125</v>
      </c>
      <c r="D366"/>
      <c r="E366" s="318"/>
      <c r="F366"/>
      <c r="K366" s="400"/>
      <c r="N366" s="358"/>
      <c r="Z366" s="312"/>
    </row>
    <row r="367" spans="1:26" ht="12.75">
      <c r="A367" s="5">
        <v>6005</v>
      </c>
      <c r="B367" s="6" t="str">
        <f aca="true" t="shared" si="18" ref="B367:B376">VLOOKUP(A367,Q$11:U$383,2)</f>
        <v>Interest on Long Term Debt</v>
      </c>
      <c r="D367" s="7"/>
      <c r="E367" s="318"/>
      <c r="F367" s="7"/>
      <c r="H367" s="7"/>
      <c r="J367" s="340">
        <v>37443.96</v>
      </c>
      <c r="K367" s="400"/>
      <c r="L367" s="340">
        <v>179707.37</v>
      </c>
      <c r="Z367" s="312"/>
    </row>
    <row r="368" spans="1:26" ht="12.75">
      <c r="A368" s="5">
        <v>6010</v>
      </c>
      <c r="B368" s="6" t="str">
        <f t="shared" si="18"/>
        <v>Amortization of Debt Discount and Expense</v>
      </c>
      <c r="D368" s="7"/>
      <c r="E368" s="318"/>
      <c r="F368" s="7"/>
      <c r="H368" s="7"/>
      <c r="J368" s="340"/>
      <c r="K368" s="400"/>
      <c r="L368" s="340"/>
      <c r="Z368" s="312"/>
    </row>
    <row r="369" spans="1:26" ht="12.75">
      <c r="A369" s="5">
        <v>6015</v>
      </c>
      <c r="B369" s="6" t="str">
        <f t="shared" si="18"/>
        <v>Amortization of Premium on Debt-Credit</v>
      </c>
      <c r="D369" s="7"/>
      <c r="E369" s="318"/>
      <c r="F369" s="7"/>
      <c r="H369" s="7"/>
      <c r="J369" s="340"/>
      <c r="K369" s="400"/>
      <c r="L369" s="340"/>
      <c r="Z369" s="312"/>
    </row>
    <row r="370" spans="1:26" ht="12.75">
      <c r="A370" s="5">
        <v>6020</v>
      </c>
      <c r="B370" s="6" t="str">
        <f t="shared" si="18"/>
        <v>Amortization of Loss on Reacquired Debt</v>
      </c>
      <c r="D370" s="7"/>
      <c r="E370" s="318"/>
      <c r="F370" s="7"/>
      <c r="H370" s="7"/>
      <c r="J370" s="340"/>
      <c r="K370" s="400"/>
      <c r="L370" s="340"/>
      <c r="Z370" s="312"/>
    </row>
    <row r="371" spans="1:26" ht="12.75">
      <c r="A371" s="5">
        <v>6025</v>
      </c>
      <c r="B371" s="6" t="str">
        <f t="shared" si="18"/>
        <v>Amortization of Gain on Reacquired Debt-Credit</v>
      </c>
      <c r="D371" s="7"/>
      <c r="E371" s="318"/>
      <c r="F371" s="7"/>
      <c r="H371" s="7"/>
      <c r="J371" s="340"/>
      <c r="K371" s="400"/>
      <c r="L371" s="340"/>
      <c r="Z371" s="312"/>
    </row>
    <row r="372" spans="1:26" ht="12.75">
      <c r="A372" s="5">
        <v>6030</v>
      </c>
      <c r="B372" s="6" t="str">
        <f t="shared" si="18"/>
        <v>Interest on Debt to Associated Companies</v>
      </c>
      <c r="D372" s="7">
        <v>975580.08</v>
      </c>
      <c r="E372" s="318"/>
      <c r="F372" s="7">
        <v>975580.08</v>
      </c>
      <c r="H372" s="7">
        <v>975580.08</v>
      </c>
      <c r="J372" s="340">
        <v>975580</v>
      </c>
      <c r="K372" s="400"/>
      <c r="L372" s="340">
        <v>975580</v>
      </c>
      <c r="Z372" s="312"/>
    </row>
    <row r="373" spans="1:26" ht="12.75">
      <c r="A373" s="5">
        <v>6035</v>
      </c>
      <c r="B373" s="6" t="str">
        <f t="shared" si="18"/>
        <v>Other Interest Expense</v>
      </c>
      <c r="D373" s="7">
        <v>302850.26</v>
      </c>
      <c r="E373" s="318"/>
      <c r="F373" s="7">
        <v>206955.38</v>
      </c>
      <c r="H373" s="7">
        <v>223854.44</v>
      </c>
      <c r="J373" s="340">
        <v>44973.360154449285</v>
      </c>
      <c r="K373" s="400"/>
      <c r="L373" s="340">
        <v>28969.752827584554</v>
      </c>
      <c r="Z373" s="312"/>
    </row>
    <row r="374" spans="1:26" ht="12.75">
      <c r="A374" s="5">
        <v>6040</v>
      </c>
      <c r="B374" s="6" t="str">
        <f t="shared" si="18"/>
        <v>Allowance for Borrowed Funds Used During Construction-Credit</v>
      </c>
      <c r="D374" s="7"/>
      <c r="E374" s="318"/>
      <c r="F374" s="7"/>
      <c r="H374" s="7"/>
      <c r="J374" s="340"/>
      <c r="K374" s="400"/>
      <c r="L374" s="340"/>
      <c r="Z374" s="312"/>
    </row>
    <row r="375" spans="1:26" ht="12.75">
      <c r="A375" s="5">
        <v>6042</v>
      </c>
      <c r="B375" s="6" t="str">
        <f t="shared" si="18"/>
        <v>Allowance for Other Funds Used During Construction</v>
      </c>
      <c r="D375" s="7"/>
      <c r="E375" s="318"/>
      <c r="F375" s="7"/>
      <c r="H375" s="7"/>
      <c r="J375" s="340"/>
      <c r="K375" s="400"/>
      <c r="L375" s="340"/>
      <c r="Z375" s="312"/>
    </row>
    <row r="376" spans="1:26" ht="12.75">
      <c r="A376" s="5">
        <v>6045</v>
      </c>
      <c r="B376" s="6" t="str">
        <f t="shared" si="18"/>
        <v>Interest Expense on Capital Lease Obligations</v>
      </c>
      <c r="D376" s="7"/>
      <c r="E376" s="318"/>
      <c r="F376" s="7"/>
      <c r="H376" s="7"/>
      <c r="J376" s="340"/>
      <c r="K376" s="400"/>
      <c r="L376" s="340"/>
      <c r="Z376" s="312"/>
    </row>
    <row r="377" spans="2:26" ht="12.75">
      <c r="B377" s="315" t="s">
        <v>127</v>
      </c>
      <c r="D377"/>
      <c r="E377" s="318"/>
      <c r="F377"/>
      <c r="K377" s="400"/>
      <c r="Z377" s="312"/>
    </row>
    <row r="378" spans="1:26" ht="12.75">
      <c r="A378" s="5">
        <v>6105</v>
      </c>
      <c r="B378" s="6" t="str">
        <f>VLOOKUP(A378,Q$11:U$383,2)</f>
        <v>Taxes Other Than Income Taxes</v>
      </c>
      <c r="D378" s="7">
        <v>78522.42</v>
      </c>
      <c r="E378" s="318"/>
      <c r="F378" s="7">
        <v>80390.9</v>
      </c>
      <c r="H378" s="7">
        <v>78421.73</v>
      </c>
      <c r="J378" s="340">
        <v>62428.78</v>
      </c>
      <c r="K378" s="400"/>
      <c r="L378" s="340">
        <v>64292</v>
      </c>
      <c r="M378" s="397"/>
      <c r="N378" s="3"/>
      <c r="O378" s="397"/>
      <c r="P378" s="310"/>
      <c r="Z378" s="312"/>
    </row>
    <row r="379" spans="1:26" ht="12.75">
      <c r="A379" s="5">
        <v>6110</v>
      </c>
      <c r="B379" s="6" t="str">
        <f>VLOOKUP(A379,Q$11:U$383,2)</f>
        <v>Income Taxes</v>
      </c>
      <c r="D379" s="7">
        <v>520343</v>
      </c>
      <c r="E379" s="318"/>
      <c r="F379" s="7">
        <v>1210746.44</v>
      </c>
      <c r="H379" s="7">
        <v>740407</v>
      </c>
      <c r="J379" s="340">
        <v>774768.619330172</v>
      </c>
      <c r="K379" s="400"/>
      <c r="L379" s="340">
        <v>298348.21</v>
      </c>
      <c r="M379" s="397"/>
      <c r="N379" s="3"/>
      <c r="O379" s="397"/>
      <c r="P379" s="310"/>
      <c r="Z379" s="312"/>
    </row>
    <row r="380" spans="1:26" ht="12.75">
      <c r="A380" s="5">
        <v>6115</v>
      </c>
      <c r="B380" s="6" t="str">
        <f>VLOOKUP(A380,Q$11:U$383,2)</f>
        <v>Provision for Future Income Taxes</v>
      </c>
      <c r="D380" s="7"/>
      <c r="E380" s="318"/>
      <c r="F380" s="7"/>
      <c r="H380" s="7"/>
      <c r="J380" s="340"/>
      <c r="K380" s="400"/>
      <c r="L380" s="340"/>
      <c r="M380" s="397"/>
      <c r="N380" s="365"/>
      <c r="Z380" s="312"/>
    </row>
    <row r="381" spans="2:26" ht="12.75">
      <c r="B381" s="315" t="s">
        <v>228</v>
      </c>
      <c r="D381"/>
      <c r="E381" s="318"/>
      <c r="F381"/>
      <c r="K381" s="400"/>
      <c r="M381" s="397"/>
      <c r="N381" s="365"/>
      <c r="Z381" s="312"/>
    </row>
    <row r="382" spans="1:26" ht="12.75">
      <c r="A382" s="5">
        <v>6205</v>
      </c>
      <c r="B382" s="6" t="str">
        <f>VLOOKUP(A382,Q$11:U$383,2)</f>
        <v>Donations</v>
      </c>
      <c r="D382" s="7"/>
      <c r="E382" s="318"/>
      <c r="F382" s="7">
        <v>6000</v>
      </c>
      <c r="H382" s="7">
        <v>6000</v>
      </c>
      <c r="J382" s="340">
        <v>6000</v>
      </c>
      <c r="K382" s="403"/>
      <c r="L382" s="340">
        <f>21000-15000</f>
        <v>6000</v>
      </c>
      <c r="Z382" s="312"/>
    </row>
    <row r="383" spans="1:26" ht="12.75">
      <c r="A383" s="5">
        <v>6210</v>
      </c>
      <c r="B383" s="6" t="str">
        <f>VLOOKUP(A383,Q$11:U$383,2)</f>
        <v>Life Insurance</v>
      </c>
      <c r="D383" s="7"/>
      <c r="E383" s="318"/>
      <c r="F383" s="7"/>
      <c r="H383" s="7"/>
      <c r="J383" s="340"/>
      <c r="K383" s="400"/>
      <c r="L383" s="340"/>
      <c r="Z383" s="312"/>
    </row>
    <row r="384" spans="1:26" ht="12.75">
      <c r="A384" s="5">
        <v>6215</v>
      </c>
      <c r="B384" s="6" t="str">
        <f>VLOOKUP(A384,Q$11:U$383,2)</f>
        <v>Penalties</v>
      </c>
      <c r="D384" s="7"/>
      <c r="E384" s="318"/>
      <c r="F384" s="7"/>
      <c r="H384" s="7"/>
      <c r="J384" s="340"/>
      <c r="K384" s="400"/>
      <c r="L384" s="340"/>
      <c r="Z384" s="312"/>
    </row>
    <row r="385" spans="1:26" ht="12.75">
      <c r="A385" s="5">
        <v>6225</v>
      </c>
      <c r="B385" s="6" t="str">
        <f>VLOOKUP(A385,Q$11:U$383,2)</f>
        <v>Other Deductions</v>
      </c>
      <c r="D385" s="7"/>
      <c r="E385" s="318"/>
      <c r="F385" s="7"/>
      <c r="H385" s="7"/>
      <c r="J385" s="340"/>
      <c r="K385" s="400"/>
      <c r="L385" s="340"/>
      <c r="Z385" s="312"/>
    </row>
    <row r="386" spans="2:26" ht="12.75">
      <c r="B386" s="315" t="s">
        <v>128</v>
      </c>
      <c r="D386"/>
      <c r="E386" s="318"/>
      <c r="F386"/>
      <c r="K386" s="400"/>
      <c r="Z386" s="312"/>
    </row>
    <row r="387" spans="1:26" ht="12.75">
      <c r="A387" s="5">
        <v>6305</v>
      </c>
      <c r="B387" s="6" t="str">
        <f>VLOOKUP(A387,Q$11:U$383,2)</f>
        <v>Extraordinary Income</v>
      </c>
      <c r="D387" s="7"/>
      <c r="E387" s="318"/>
      <c r="F387" s="7"/>
      <c r="H387" s="7"/>
      <c r="J387" s="340"/>
      <c r="K387" s="400"/>
      <c r="L387" s="340"/>
      <c r="Z387" s="312"/>
    </row>
    <row r="388" spans="1:26" ht="12.75">
      <c r="A388" s="5">
        <v>6310</v>
      </c>
      <c r="B388" s="6" t="str">
        <f>VLOOKUP(A388,Q$11:U$383,2)</f>
        <v>Extraordinary Deductions</v>
      </c>
      <c r="D388" s="7"/>
      <c r="E388" s="318"/>
      <c r="F388" s="7"/>
      <c r="H388" s="7"/>
      <c r="J388" s="340">
        <v>1935769.26</v>
      </c>
      <c r="K388" s="400"/>
      <c r="L388" s="340"/>
      <c r="Z388" s="312"/>
    </row>
    <row r="389" spans="1:26" ht="12.75">
      <c r="A389" s="5">
        <v>6315</v>
      </c>
      <c r="B389" s="6" t="str">
        <f>VLOOKUP(A389,Q$11:U$383,2)</f>
        <v>Income Taxes, Extraordinary Items</v>
      </c>
      <c r="D389" s="7"/>
      <c r="E389" s="318"/>
      <c r="F389" s="7"/>
      <c r="H389" s="7"/>
      <c r="J389" s="340"/>
      <c r="K389" s="400"/>
      <c r="L389" s="340"/>
      <c r="Z389" s="312"/>
    </row>
    <row r="390" spans="2:26" ht="12.75">
      <c r="B390" s="315" t="s">
        <v>129</v>
      </c>
      <c r="D390"/>
      <c r="E390" s="318"/>
      <c r="F390"/>
      <c r="K390" s="400"/>
      <c r="Z390" s="312"/>
    </row>
    <row r="391" spans="1:26" ht="12.75">
      <c r="A391" s="5"/>
      <c r="B391" s="6"/>
      <c r="D391" s="7"/>
      <c r="E391" s="318"/>
      <c r="F391" s="7"/>
      <c r="H391" s="7"/>
      <c r="J391" s="340"/>
      <c r="K391" s="400"/>
      <c r="L391" s="340"/>
      <c r="Z391" s="312"/>
    </row>
    <row r="392" spans="1:26" ht="12.75">
      <c r="A392" s="5">
        <v>1606</v>
      </c>
      <c r="B392" s="6" t="s">
        <v>871</v>
      </c>
      <c r="D392" s="7">
        <v>6361.01</v>
      </c>
      <c r="E392" s="318"/>
      <c r="F392" s="7">
        <v>6361.01</v>
      </c>
      <c r="H392" s="7">
        <v>6361.01</v>
      </c>
      <c r="J392" s="340">
        <v>6361.01</v>
      </c>
      <c r="K392" s="400"/>
      <c r="L392" s="340">
        <v>6361.01</v>
      </c>
      <c r="Z392" s="312"/>
    </row>
    <row r="393" spans="1:26" ht="12.75">
      <c r="A393" s="5">
        <v>1610</v>
      </c>
      <c r="B393" s="6" t="s">
        <v>872</v>
      </c>
      <c r="D393" s="7"/>
      <c r="E393" s="318"/>
      <c r="F393" s="7">
        <v>22150</v>
      </c>
      <c r="H393" s="7">
        <v>22150</v>
      </c>
      <c r="J393" s="340">
        <v>22150</v>
      </c>
      <c r="K393" s="400"/>
      <c r="L393" s="340">
        <v>22150</v>
      </c>
      <c r="Z393" s="312"/>
    </row>
    <row r="394" spans="1:26" ht="12.75">
      <c r="A394" s="5">
        <v>1595</v>
      </c>
      <c r="B394" s="6" t="s">
        <v>873</v>
      </c>
      <c r="D394" s="7">
        <v>0</v>
      </c>
      <c r="E394" s="318"/>
      <c r="F394" s="7"/>
      <c r="H394" s="7"/>
      <c r="J394" s="340"/>
      <c r="K394" s="400"/>
      <c r="L394" s="340">
        <v>160835.74</v>
      </c>
      <c r="Z394" s="312"/>
    </row>
    <row r="395" spans="1:26" ht="12.75">
      <c r="A395" s="5"/>
      <c r="B395" s="6"/>
      <c r="D395" s="7"/>
      <c r="E395" s="318"/>
      <c r="F395" s="7"/>
      <c r="H395" s="7"/>
      <c r="J395" s="340"/>
      <c r="K395" s="400"/>
      <c r="L395" s="340"/>
      <c r="Z395" s="312"/>
    </row>
    <row r="396" spans="1:26" ht="12.75">
      <c r="A396" s="5"/>
      <c r="B396" s="6"/>
      <c r="D396" s="7"/>
      <c r="E396" s="318"/>
      <c r="F396" s="7"/>
      <c r="H396" s="7"/>
      <c r="J396" s="340"/>
      <c r="K396" s="400"/>
      <c r="L396" s="340"/>
      <c r="Z396" s="312"/>
    </row>
    <row r="397" spans="1:26" ht="12.75">
      <c r="A397" s="5"/>
      <c r="B397" s="6"/>
      <c r="D397" s="7"/>
      <c r="E397" s="318"/>
      <c r="F397" s="7"/>
      <c r="H397" s="7"/>
      <c r="J397" s="340"/>
      <c r="K397" s="400"/>
      <c r="L397" s="340"/>
      <c r="Z397" s="312"/>
    </row>
    <row r="398" spans="1:26" ht="12.75">
      <c r="A398" s="5"/>
      <c r="B398" s="6"/>
      <c r="D398" s="7"/>
      <c r="E398" s="318"/>
      <c r="F398" s="7"/>
      <c r="H398" s="7"/>
      <c r="J398" s="340"/>
      <c r="K398" s="400"/>
      <c r="L398" s="340"/>
      <c r="Z398" s="312"/>
    </row>
    <row r="399" spans="1:26" ht="12.75">
      <c r="A399" s="5"/>
      <c r="B399" s="6"/>
      <c r="D399" s="7"/>
      <c r="E399" s="318"/>
      <c r="F399" s="7"/>
      <c r="H399" s="7"/>
      <c r="J399" s="340"/>
      <c r="K399" s="400"/>
      <c r="L399" s="340"/>
      <c r="Z399" s="312"/>
    </row>
    <row r="400" spans="1:26" ht="12.75">
      <c r="A400" s="5"/>
      <c r="B400" s="6"/>
      <c r="D400" s="7"/>
      <c r="E400" s="318"/>
      <c r="F400" s="7"/>
      <c r="H400" s="7"/>
      <c r="J400" s="340"/>
      <c r="K400" s="400"/>
      <c r="L400" s="340"/>
      <c r="Z400" s="312"/>
    </row>
    <row r="401" spans="1:26" ht="12.75">
      <c r="A401" s="5"/>
      <c r="B401" s="6"/>
      <c r="D401" s="7"/>
      <c r="E401" s="318"/>
      <c r="F401" s="7"/>
      <c r="H401" s="7"/>
      <c r="J401" s="340"/>
      <c r="K401" s="400"/>
      <c r="L401" s="340"/>
      <c r="Z401" s="312"/>
    </row>
    <row r="402" spans="1:26" ht="12.75">
      <c r="A402" s="5"/>
      <c r="B402" s="6"/>
      <c r="D402" s="7"/>
      <c r="E402" s="318"/>
      <c r="F402" s="7"/>
      <c r="H402" s="7"/>
      <c r="J402" s="340"/>
      <c r="K402" s="400"/>
      <c r="L402" s="340"/>
      <c r="Z402" s="312"/>
    </row>
    <row r="403" spans="1:26" ht="12.75">
      <c r="A403" s="5"/>
      <c r="B403" s="6"/>
      <c r="D403" s="7"/>
      <c r="E403" s="318"/>
      <c r="F403" s="7"/>
      <c r="H403" s="7"/>
      <c r="J403" s="340"/>
      <c r="K403" s="400"/>
      <c r="L403" s="340"/>
      <c r="Z403" s="312"/>
    </row>
    <row r="404" spans="1:26" ht="12.75">
      <c r="A404" s="5"/>
      <c r="B404" s="6"/>
      <c r="D404" s="7"/>
      <c r="E404" s="318"/>
      <c r="F404" s="7"/>
      <c r="H404" s="7"/>
      <c r="J404" s="340"/>
      <c r="K404" s="400"/>
      <c r="L404" s="340"/>
      <c r="Z404" s="312"/>
    </row>
    <row r="405" spans="4:26" ht="12.75">
      <c r="D405" s="18"/>
      <c r="F405" s="18"/>
      <c r="H405" s="18"/>
      <c r="J405" s="392"/>
      <c r="L405" s="392"/>
      <c r="Z405" s="312"/>
    </row>
    <row r="406" spans="1:26" ht="12.75">
      <c r="A406" s="8" t="s">
        <v>71</v>
      </c>
      <c r="B406" s="9"/>
      <c r="C406" s="4"/>
      <c r="D406" s="33">
        <f>SUM(D6:D405)</f>
        <v>2.1876985556446016E-08</v>
      </c>
      <c r="E406" s="4"/>
      <c r="F406" s="33">
        <f>SUM(F6:F405)</f>
        <v>-2.3057509679347277E-08</v>
      </c>
      <c r="G406" s="4"/>
      <c r="H406" s="33">
        <f>SUM(H6:H405)</f>
        <v>6.2791514210402966E-09</v>
      </c>
      <c r="I406" s="4"/>
      <c r="J406" s="393">
        <f>SUM(J6:J405)</f>
        <v>-0.0044840532427770086</v>
      </c>
      <c r="L406" s="393">
        <f>SUM(L6:L405)</f>
        <v>-0.002815282146912068</v>
      </c>
      <c r="Z406" s="312"/>
    </row>
    <row r="407" spans="10:26" ht="12.75">
      <c r="J407" s="380"/>
      <c r="Z407" s="312"/>
    </row>
    <row r="408" spans="10:26" ht="12.75">
      <c r="J408" s="394"/>
      <c r="L408" s="380"/>
      <c r="Z408" s="312"/>
    </row>
    <row r="409" spans="10:26" ht="12.75">
      <c r="J409" s="394"/>
      <c r="L409" s="394"/>
      <c r="Z409" s="312"/>
    </row>
    <row r="410" ht="12.75">
      <c r="Z410" s="312"/>
    </row>
    <row r="411" ht="12.75">
      <c r="Z411" s="312"/>
    </row>
    <row r="412" ht="12.75">
      <c r="Z412" s="312"/>
    </row>
    <row r="413" ht="12.75">
      <c r="Z413" s="312"/>
    </row>
    <row r="414" ht="12.75">
      <c r="Z414" s="312"/>
    </row>
    <row r="415" ht="12.75">
      <c r="Z415" s="312"/>
    </row>
    <row r="416" ht="12.75">
      <c r="Z416" s="312"/>
    </row>
    <row r="417" ht="12.75">
      <c r="Z417" s="312"/>
    </row>
    <row r="418" ht="12.75">
      <c r="Z418" s="312"/>
    </row>
    <row r="419" ht="12.75">
      <c r="Z419" s="312"/>
    </row>
    <row r="420" ht="12.75">
      <c r="Z420" s="312"/>
    </row>
    <row r="421" ht="12.75">
      <c r="Z421" s="312"/>
    </row>
    <row r="422" ht="12.75">
      <c r="Z422" s="312"/>
    </row>
    <row r="423" ht="12.75">
      <c r="Z423" s="312"/>
    </row>
  </sheetData>
  <mergeCells count="5">
    <mergeCell ref="A1:L1"/>
    <mergeCell ref="A2:L2"/>
    <mergeCell ref="A4:A5"/>
    <mergeCell ref="B4:B5"/>
    <mergeCell ref="A3:J3"/>
  </mergeCells>
  <printOptions/>
  <pageMargins left="0.25" right="0.25" top="0.35" bottom="0.38" header="0.17" footer="0.17"/>
  <pageSetup fitToHeight="5" fitToWidth="1" horizontalDpi="355" verticalDpi="355" orientation="portrait" scale="69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Hamilton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mwanner</cp:lastModifiedBy>
  <cp:lastPrinted>2009-10-15T13:58:29Z</cp:lastPrinted>
  <dcterms:created xsi:type="dcterms:W3CDTF">2007-08-10T15:33:39Z</dcterms:created>
  <dcterms:modified xsi:type="dcterms:W3CDTF">2010-02-24T19:21:46Z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