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597" activeTab="0"/>
  </bookViews>
  <sheets>
    <sheet name="Revenue Input" sheetId="1" r:id="rId1"/>
    <sheet name="Transformer Allowance" sheetId="2" r:id="rId2"/>
    <sheet name="Forecast Data For 2010" sheetId="3" r:id="rId3"/>
    <sheet name="2009 Existing Rates" sheetId="4" r:id="rId4"/>
    <sheet name="2010 Test Yr On Existing Rates" sheetId="5" r:id="rId5"/>
    <sheet name="Cost Allocation Study" sheetId="6" r:id="rId6"/>
    <sheet name="Rates By Rate Class" sheetId="7" r:id="rId7"/>
    <sheet name="Allocation Low Voltage Costs" sheetId="8" r:id="rId8"/>
    <sheet name="Low Voltage Rates" sheetId="9" r:id="rId9"/>
    <sheet name="Distribution Rate Schedule" sheetId="10" r:id="rId10"/>
    <sheet name="LRAM and SSM Rate Rider" sheetId="11" r:id="rId11"/>
    <sheet name="2010 Rate Rider" sheetId="12" r:id="rId12"/>
    <sheet name="Other Electricity Rates" sheetId="13" r:id="rId13"/>
    <sheet name="BILL IMPACTS" sheetId="14" r:id="rId14"/>
    <sheet name="Rate Schedule (Part 1)" sheetId="15" r:id="rId15"/>
    <sheet name="Rate Schedule (Part 2)" sheetId="16" r:id="rId16"/>
    <sheet name="Dist. Rev. Reconciliation" sheetId="17" r:id="rId17"/>
    <sheet name="Revenue Deficiency Analysis" sheetId="18" r:id="rId18"/>
  </sheets>
  <externalReferences>
    <externalReference r:id="rId21"/>
  </externalReferences>
  <definedNames>
    <definedName name="_xlnm.Print_Area" localSheetId="3">'2009 Existing Rates'!$A$1:$E$71</definedName>
    <definedName name="_xlnm.Print_Area" localSheetId="5">'Cost Allocation Study'!$A$1:$M$17</definedName>
    <definedName name="_xlnm.Print_Area" localSheetId="9">'Distribution Rate Schedule'!$A$1:$E$45</definedName>
    <definedName name="_xlnm.Print_Area" localSheetId="10">'LRAM and SSM Rate Rider'!$A$1:$L$17</definedName>
    <definedName name="_xlnm.Print_Area" localSheetId="15">'Rate Schedule (Part 2)'!$B$5:$D$51</definedName>
    <definedName name="_xlnm.Print_Area" localSheetId="17">'Revenue Deficiency Analysis'!$A$1:$I$31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<sst xmlns="http://schemas.openxmlformats.org/spreadsheetml/2006/main" count="716" uniqueCount="276">
  <si>
    <t>Customer Class</t>
  </si>
  <si>
    <t>Back-up/Standby Power</t>
  </si>
  <si>
    <t>TOTAL</t>
  </si>
  <si>
    <t>Proposed Fixed Rate</t>
  </si>
  <si>
    <t>Resulting Variable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</si>
  <si>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</si>
  <si>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</si>
  <si>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</si>
  <si>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</si>
  <si>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</si>
  <si>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</si>
  <si>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</si>
  <si>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</si>
  <si>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</si>
  <si>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</si>
  <si>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</si>
  <si>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</si>
  <si>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</si>
  <si>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</si>
  <si>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</si>
  <si>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Retail Transmission Connection Rate ($)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</si>
  <si>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</si>
  <si>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</si>
  <si>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</si>
  <si>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</si>
  <si>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</si>
  <si>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</si>
  <si>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</si>
  <si>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</si>
  <si>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</si>
  <si>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</si>
  <si>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</si>
  <si>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</si>
  <si>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</si>
  <si>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</si>
  <si>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</si>
  <si>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</si>
  <si>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</si>
  <si>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r>
      <t xml:space="preserve">     </t>
    </r>
    <r>
      <rPr>
        <b/>
        <sz val="12"/>
        <rFont val="Arial"/>
        <family val="2"/>
      </rPr>
      <t>$</t>
    </r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</si>
  <si>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</si>
  <si>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</si>
  <si>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</si>
  <si>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</si>
  <si>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</si>
  <si>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</si>
  <si>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</si>
  <si>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</si>
  <si>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Regulatory Assets Rate Riders ($)
per kWh</t>
  </si>
  <si>
    <t>Regulatory Assets Rate Riders ($)
per kW</t>
  </si>
  <si>
    <t>RESIDENTIAL</t>
  </si>
  <si>
    <t>Other Charges
per kWh ($)</t>
  </si>
  <si>
    <t>Other Charges
per kW ($)</t>
  </si>
  <si>
    <t>Cost of Power Commodity
per kWh ($)</t>
  </si>
  <si>
    <t>Loss Adjustment Factor</t>
  </si>
  <si>
    <t>Wholesale Market Service Rate</t>
  </si>
  <si>
    <t>Total with Adjusted RTR</t>
  </si>
  <si>
    <t>per KW</t>
  </si>
  <si>
    <t>per kWh</t>
  </si>
  <si>
    <t>Supply Facilities Loss Factor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</si>
  <si>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</si>
  <si>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</si>
  <si>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</si>
  <si>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</si>
  <si>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</si>
  <si>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</si>
  <si>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</si>
  <si>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</si>
  <si>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</si>
  <si>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</si>
  <si>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</si>
  <si>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</si>
  <si>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</si>
  <si>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</si>
  <si>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</si>
  <si>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</si>
  <si>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</si>
  <si>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</si>
  <si>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</si>
  <si>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Regulatory Assets (kWh)</t>
  </si>
  <si>
    <t>Cost of Power Commodity (kWh)</t>
  </si>
  <si>
    <t xml:space="preserve">
$</t>
  </si>
  <si>
    <t xml:space="preserve">
%</t>
  </si>
  <si>
    <t>Distribution (kW)</t>
  </si>
  <si>
    <t>Regulatory Assets (kW)</t>
  </si>
  <si>
    <t xml:space="preserve"> Sentinel Lighting</t>
  </si>
  <si>
    <t xml:space="preserve"> Street Lighting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</si>
  <si>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</si>
  <si>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</si>
  <si>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</si>
  <si>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</si>
  <si>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</si>
  <si>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</si>
  <si>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GENERAL SERVICE &gt; 50 kW</t>
  </si>
  <si>
    <t>Item Description (Rate Code)</t>
  </si>
  <si>
    <t>Calculation Basis</t>
  </si>
  <si>
    <t>Arrears certificate  (1)</t>
  </si>
  <si>
    <t>Statement of account (2)</t>
  </si>
  <si>
    <t>Pulling post dated cheques (3)</t>
  </si>
  <si>
    <t>Duplicate invoices for previous billing  (4)</t>
  </si>
  <si>
    <t>Request for other billing information (5)</t>
  </si>
  <si>
    <t>Easement letter (6)</t>
  </si>
  <si>
    <t>Income tax letter  (7)</t>
  </si>
  <si>
    <t>Notification charge (8)</t>
  </si>
  <si>
    <t>Account history (9)</t>
  </si>
  <si>
    <t>Credit reference/credit check (plus credit agency costs) (10)</t>
  </si>
  <si>
    <t>Returned cheque charge (plus bank charges) (11)</t>
  </si>
  <si>
    <t>Charge to certify cheque (12)</t>
  </si>
  <si>
    <t>Legal letter charge (13)</t>
  </si>
  <si>
    <t>Account set up charge/change of occupancy charge (plus credit agency costs if applicable) (14)</t>
  </si>
  <si>
    <t>Special meter reads (15)</t>
  </si>
  <si>
    <t>Collection of account charge - no disconnection (16)</t>
  </si>
  <si>
    <t>Collection of account charge  - no disconnection - after regular hours (17)</t>
  </si>
  <si>
    <t>Disconnect/Reconnect at meter - during regular hours  (18)</t>
  </si>
  <si>
    <t>Install/Remove load control device - during regular hours (19)</t>
  </si>
  <si>
    <t>Disconnect/Reconnect at meter - after regular hours (20)</t>
  </si>
  <si>
    <t>Install/Remove load control device - after regular hours (21)</t>
  </si>
  <si>
    <t>Disconnect/Reconnect at pole - during regular hours  (22)</t>
  </si>
  <si>
    <t>Disconnect/Reconnect at pole - after regular hours  (23)</t>
  </si>
  <si>
    <t>Meter dispute charge plus Measurement Canada fees (if meter found correct) (24)</t>
  </si>
  <si>
    <t>Service call - customer-owned equipment (25)</t>
  </si>
  <si>
    <t>Service call - after regular hours (26)</t>
  </si>
  <si>
    <t>Temporary service install &amp; remove - overhead - no transformer (27)</t>
  </si>
  <si>
    <t>Temporary service install &amp; remove - underground - no transformer (28)</t>
  </si>
  <si>
    <t>Temporary service install &amp; remove - overhead - with transformer (29)</t>
  </si>
  <si>
    <t>Specific Charge for Access to the Power Poles $/pole/year (30)</t>
  </si>
  <si>
    <t>Standard</t>
  </si>
  <si>
    <t>Administrative Billing Charge (31)</t>
  </si>
  <si>
    <t>Loss Factors</t>
  </si>
  <si>
    <t>RATES SCHEDULE (Part 2)</t>
  </si>
  <si>
    <t>Revenue Requirement -Cost Allocation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</si>
  <si>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</si>
  <si>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</si>
  <si>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</si>
  <si>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</si>
  <si>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</si>
  <si>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</si>
  <si>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RATES - Low Voltage Adjustment</t>
  </si>
  <si>
    <t>Low Voltage Costs Allocated by Customer Class</t>
  </si>
  <si>
    <t>GENERAL SERVICE &lt; 50 kW</t>
  </si>
  <si>
    <t>Connections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</si>
  <si>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</si>
  <si>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</si>
  <si>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</si>
  <si>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</si>
  <si>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</si>
  <si>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</si>
  <si>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</si>
  <si>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</si>
  <si>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Turn Rounding On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</si>
  <si>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</si>
  <si>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</si>
  <si>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</si>
  <si>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</si>
  <si>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</si>
  <si>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Regulatory Assets Rate Rider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</si>
  <si>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</si>
  <si>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</si>
  <si>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</si>
  <si>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</si>
  <si>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</si>
  <si>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</si>
  <si>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</si>
  <si>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</si>
  <si>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</si>
  <si>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</si>
  <si>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</si>
  <si>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</si>
  <si>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</si>
  <si>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</si>
  <si>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Rounding is turned on</t>
  </si>
  <si>
    <t>Smart Meter Rate Rider ($)
per Metered Cust./Month</t>
  </si>
  <si>
    <t>Smart Meter Rate Rider</t>
  </si>
  <si>
    <t>Difference Due to Rate Rounding</t>
  </si>
  <si>
    <r>
      <t>Loss Factors</t>
    </r>
    <r>
      <rPr>
        <b/>
        <sz val="10"/>
        <rFont val="Arial"/>
        <family val="2"/>
      </rPr>
      <t xml:space="preserve"> (enter in columns N and O)</t>
    </r>
  </si>
  <si>
    <t>Debt Retirement Charge</t>
  </si>
  <si>
    <t>Additional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</si>
  <si>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</si>
  <si>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</si>
  <si>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</si>
  <si>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</si>
  <si>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</si>
  <si>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</si>
  <si>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Transformer Allowance rate</t>
  </si>
  <si>
    <t>Basis for Allocation ($)</t>
  </si>
  <si>
    <t>Metrics</t>
  </si>
  <si>
    <r>
      <t>BILL IMPACTS</t>
    </r>
    <r>
      <rPr>
        <b/>
        <i/>
        <sz val="16"/>
        <rFont val="Arial"/>
        <family val="2"/>
      </rPr>
      <t xml:space="preserve">  (Monthly Consumptions)</t>
    </r>
  </si>
  <si>
    <t>Rate ($)</t>
  </si>
  <si>
    <t>2007 Actual Data</t>
  </si>
  <si>
    <t>2006 Actual Data</t>
  </si>
  <si>
    <t>Addback LV Charges</t>
  </si>
  <si>
    <t xml:space="preserve">      Total Base Revenue Requirement</t>
  </si>
  <si>
    <t>2009 BILL</t>
  </si>
  <si>
    <t>Forecast Revenue For 2009 Test Year Based on Existing Rates (Less Low Voltage Rate Component)</t>
  </si>
  <si>
    <t>Cost Allocation Based Calculations</t>
  </si>
  <si>
    <t>Fixed Charge Analysis</t>
  </si>
  <si>
    <t>Current Volumetric Split</t>
  </si>
  <si>
    <t>Current Fixed Charge Spilt</t>
  </si>
  <si>
    <t>Fixed Rate Based on Current Fixed/Variable Revenue Proportions</t>
  </si>
  <si>
    <t>Adder per Month</t>
  </si>
  <si>
    <t>Transformer Credit</t>
  </si>
  <si>
    <t xml:space="preserve">Dist. Rev. Including Transformer </t>
  </si>
  <si>
    <t>Dist. Rev. Excluding Transformer</t>
  </si>
  <si>
    <t xml:space="preserve"> Unmetered Scattered</t>
  </si>
  <si>
    <t>GST</t>
  </si>
  <si>
    <t>Deferral and Variance 
Account Rate Riders 
($) per kWh</t>
  </si>
  <si>
    <t>Deferral and Variance 
Account Rate Riders 
($) per kW</t>
  </si>
  <si>
    <t>2010 Test</t>
  </si>
  <si>
    <t>2008 Actual Data</t>
  </si>
  <si>
    <t>2009 Bridge Year Normalized</t>
  </si>
  <si>
    <t>2010 Test Year Normalized</t>
  </si>
  <si>
    <t>Forecast Class Billing Determinants for 2010 Test Year Based on Existing Class Revenue Proportions</t>
  </si>
  <si>
    <t>Distribution Rate Allocation Between Fixed &amp; Variable Rates For 2010 Test Year</t>
  </si>
  <si>
    <t>Rate Schedule - 2010 Test Year Filing</t>
  </si>
  <si>
    <t>2010 TEST YEAR - BASE REVENUE DISTRIBUTION RATES</t>
  </si>
  <si>
    <t>2010 TEST YEAR - Low Voltage Distribution Rates</t>
  </si>
  <si>
    <t>2010 TEST YEAR - Distribution Rates</t>
  </si>
  <si>
    <t>2010 Test Year - LRAM and SSM Rider</t>
  </si>
  <si>
    <t>2010 Test Year - Rate Rider</t>
  </si>
  <si>
    <t>2010 Updated</t>
  </si>
  <si>
    <t>2010 BILL</t>
  </si>
  <si>
    <t>Regulatory Assets Rate Rider For 2009, if applicable</t>
  </si>
  <si>
    <t>Low Voltage Rate Component For 2009</t>
  </si>
  <si>
    <t>Smart Meter Adder - 2009</t>
  </si>
  <si>
    <t>EXISTING 2009 DISTRIBUTION VOLUMETRIC EXCL LV</t>
  </si>
  <si>
    <t>EXISTING 2009 RATE YEAR - DISTRIBUTION REVENUE RATES EXCLUDING SMART METER RATE RIDER</t>
  </si>
  <si>
    <t>2009 Rates From OEB Approved Tariff</t>
  </si>
  <si>
    <t>2010 Test Year Distribution Revenue Reconciliation</t>
  </si>
  <si>
    <t>Forecast Data For 2010 Test Year Projection</t>
  </si>
  <si>
    <t>2010 Base Revenue Allocated based on Porpotion of Revenue at Existing Rates</t>
  </si>
  <si>
    <t>Miscellaneous Revenue Allocated from Cost Allocation</t>
  </si>
  <si>
    <t>Check total - should be zero</t>
  </si>
  <si>
    <t xml:space="preserve">Total Revenue </t>
  </si>
  <si>
    <t>Revenue Cost Ratio</t>
  </si>
  <si>
    <t>Proposed Revenue to Cost Ratio</t>
  </si>
  <si>
    <t>Proposed Revenue</t>
  </si>
  <si>
    <t xml:space="preserve">Miscellaneous Revenue </t>
  </si>
  <si>
    <t>Proposed Base Revenue</t>
  </si>
  <si>
    <t>This need to be zero</t>
  </si>
  <si>
    <t>Amounts (Up to 2009)</t>
  </si>
  <si>
    <t>Billing Units (2010)</t>
  </si>
  <si>
    <t>Residential</t>
  </si>
  <si>
    <t>GS &lt; 50 kW</t>
  </si>
  <si>
    <t>GS &gt;50</t>
  </si>
  <si>
    <t>Sentinel Lights</t>
  </si>
  <si>
    <t>Street Lighting</t>
  </si>
  <si>
    <t>USL</t>
  </si>
  <si>
    <t>OEB's Acceptable Range
   Low                      High</t>
  </si>
  <si>
    <t>Y</t>
  </si>
  <si>
    <t>General Service &gt; 3000 to 4999 kW</t>
  </si>
  <si>
    <t>RTSR - Network</t>
  </si>
  <si>
    <t>RTSR - Connection</t>
  </si>
  <si>
    <t xml:space="preserve">      Sub-Total - Distribution</t>
  </si>
  <si>
    <t xml:space="preserve">      Sub-Total - Delivery</t>
  </si>
  <si>
    <t>Wholesale Market Rate</t>
  </si>
  <si>
    <t>RRRP</t>
  </si>
  <si>
    <t>DRC</t>
  </si>
  <si>
    <t xml:space="preserve">      Sub-Total - Other Charges</t>
  </si>
  <si>
    <t xml:space="preserve">        TOTAL BILL</t>
  </si>
  <si>
    <t>Retail Transmission Rate - Connection</t>
  </si>
  <si>
    <t>Retail Transmission Rate - Network</t>
  </si>
  <si>
    <t>Retail Transmission Rate
(from 8-6) - Connection</t>
  </si>
  <si>
    <t>Retail Transmission Rate
(from 8-6) - Network</t>
  </si>
  <si>
    <t>Smart Meter / Storm Rider (per month)</t>
  </si>
  <si>
    <t>Check Revenue Cost Ratios from Cost Allocation</t>
  </si>
  <si>
    <t>Current Approved</t>
  </si>
  <si>
    <t>Proposed Rate</t>
  </si>
  <si>
    <t>Change</t>
  </si>
  <si>
    <t>Network:</t>
  </si>
  <si>
    <t>Connection:</t>
  </si>
  <si>
    <t>Effective May 1, 2010</t>
  </si>
  <si>
    <t>LRAM &amp; SSM Rider (kW)</t>
  </si>
  <si>
    <t>Low Voltage Cost Rate Rider</t>
  </si>
  <si>
    <t>Retail - Network</t>
  </si>
  <si>
    <t>Retail - Connection</t>
  </si>
  <si>
    <t>North Bay Hydro Distribution Ltd.</t>
  </si>
  <si>
    <t>License Number ED-2003-0024, File Number EB-2009-0270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</si>
</sst>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&quot;$&quot;#,##0.00"/>
    <numFmt numFmtId="170" formatCode="_-&quot;$&quot;* #,##0_-;\-&quot;$&quot;* #,##0_-;_-&quot;$&quot;* &quot;-&quot;??_-;_-@_-"/>
    <numFmt numFmtId="171" formatCode="&quot;$&quot;#,##0.0000"/>
    <numFmt numFmtId="172" formatCode="0.0000"/>
    <numFmt numFmtId="173" formatCode="0.000%"/>
    <numFmt numFmtId="174" formatCode="_-* #,##0.0000_-;\-* #,##0.0000_-;_-* &quot;-&quot;??_-;_-@_-"/>
    <numFmt numFmtId="175" formatCode="_-&quot;$&quot;* #,##0.0000_-;\-&quot;$&quot;* #,##0.0000_-;_-&quot;$&quot;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#,##0.0000_);\(#,##0.0000\)"/>
    <numFmt numFmtId="179" formatCode="#,##0.0000"/>
    <numFmt numFmtId="180" formatCode="0.0%"/>
    <numFmt numFmtId="181" formatCode="0.00000"/>
    <numFmt numFmtId="182" formatCode="0_ ;\-0\ "/>
    <numFmt numFmtId="183" formatCode="#,##0.00;[Red]\(#,##0.00\)"/>
    <numFmt numFmtId="184" formatCode="#,##0.00_ ;\-#,##0.00\ "/>
    <numFmt numFmtId="185" formatCode="&quot;$&quot;#,##0.0000_);[Red]\(#,##0.0000\)"/>
    <numFmt numFmtId="186" formatCode="#,##0.00%;[Red]\(#,##0.00%\)"/>
    <numFmt numFmtId="187" formatCode="#,##0.000000_);\(#,##0.000000\)"/>
    <numFmt numFmtId="188" formatCode="&quot;$&quot;#,##0.00;\(&quot;$&quot;###0.00\)"/>
    <numFmt numFmtId="189" formatCode="&quot;$&quot;#,##0;\(&quot;$&quot;#,##0\)"/>
    <numFmt numFmtId="190" formatCode="#,##0.00000"/>
    <numFmt numFmtId="191" formatCode="_-* #,##0.0_-;\-* #,##0.0_-;_-* &quot;-&quot;??_-;_-@_-"/>
  </numFmts>
  <fonts count="36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indexed="56"/>
      <name val="Arial"/>
      <family val="0"/>
    </font>
    <font>
      <b/>
      <sz val="12"/>
      <color indexed="56"/>
      <name val="Arial"/>
      <family val="2"/>
    </font>
    <font>
      <b/>
      <i/>
      <sz val="16"/>
      <name val="Arial"/>
      <family val="2"/>
    </font>
    <font>
      <b/>
      <i/>
      <sz val="20"/>
      <color indexed="12"/>
      <name val="Arial"/>
      <family val="2"/>
    </font>
    <font>
      <b/>
      <u val="single"/>
      <sz val="1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i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39">
    <xf numFmtId="0" fontId="0" fillId="0" borderId="0" xfId="0" applyAlignment="1">
      <alignment/>
    </xf>
    <xf numFmtId="168" fontId="0" fillId="0" borderId="0" xfId="15" applyNumberFormat="1" applyAlignment="1">
      <alignment/>
    </xf>
    <xf numFmtId="0" fontId="5" fillId="0" borderId="0" xfId="0" applyFont="1" applyAlignment="1">
      <alignment/>
    </xf>
    <xf numFmtId="167" fontId="0" fillId="0" borderId="0" xfId="15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0" fontId="3" fillId="0" borderId="0" xfId="18" applyNumberFormat="1" applyFon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/>
    </xf>
    <xf numFmtId="37" fontId="5" fillId="0" borderId="0" xfId="0" applyNumberFormat="1" applyFont="1" applyFill="1" applyBorder="1" applyAlignment="1">
      <alignment horizontal="left" vertical="center" wrapText="1"/>
    </xf>
    <xf numFmtId="170" fontId="0" fillId="0" borderId="0" xfId="18" applyNumberFormat="1" applyFont="1" applyFill="1" applyBorder="1" applyAlignment="1">
      <alignment/>
    </xf>
    <xf numFmtId="175" fontId="0" fillId="0" borderId="0" xfId="18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70" fontId="5" fillId="0" borderId="0" xfId="18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68" fontId="0" fillId="0" borderId="0" xfId="15" applyNumberFormat="1" applyFill="1" applyBorder="1" applyAlignment="1">
      <alignment/>
    </xf>
    <xf numFmtId="168" fontId="5" fillId="0" borderId="0" xfId="15" applyNumberFormat="1" applyFont="1" applyFill="1" applyBorder="1" applyAlignment="1">
      <alignment horizontal="center"/>
    </xf>
    <xf numFmtId="168" fontId="0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3" fillId="0" borderId="0" xfId="18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178" fontId="0" fillId="0" borderId="0" xfId="0" applyNumberFormat="1" applyFill="1" applyAlignment="1" applyProtection="1">
      <alignment/>
      <protection/>
    </xf>
    <xf numFmtId="17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69" fontId="6" fillId="0" borderId="0" xfId="0" applyNumberFormat="1" applyFont="1" applyFill="1" applyBorder="1" applyAlignment="1">
      <alignment/>
    </xf>
    <xf numFmtId="178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0" fontId="3" fillId="0" borderId="5" xfId="18" applyNumberFormat="1" applyFont="1" applyFill="1" applyBorder="1" applyAlignment="1">
      <alignment/>
    </xf>
    <xf numFmtId="170" fontId="3" fillId="0" borderId="6" xfId="18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center" indent="5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9" fontId="17" fillId="0" borderId="0" xfId="2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9" fontId="17" fillId="0" borderId="0" xfId="20" applyNumberFormat="1" applyFont="1" applyFill="1" applyBorder="1" applyAlignment="1">
      <alignment horizontal="center" vertical="center"/>
    </xf>
    <xf numFmtId="10" fontId="0" fillId="0" borderId="0" xfId="28" applyNumberForma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77" fontId="0" fillId="0" borderId="0" xfId="15" applyNumberFormat="1" applyFill="1" applyBorder="1" applyAlignment="1">
      <alignment/>
    </xf>
    <xf numFmtId="168" fontId="5" fillId="0" borderId="0" xfId="15" applyNumberFormat="1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5" fillId="0" borderId="7" xfId="0" applyFont="1" applyFill="1" applyBorder="1" applyAlignment="1">
      <alignment/>
    </xf>
    <xf numFmtId="37" fontId="0" fillId="3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37" fontId="0" fillId="3" borderId="10" xfId="0" applyNumberFormat="1" applyFont="1" applyFill="1" applyBorder="1" applyAlignment="1">
      <alignment horizontal="center"/>
    </xf>
    <xf numFmtId="37" fontId="0" fillId="3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37" fontId="0" fillId="3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7" fontId="0" fillId="3" borderId="16" xfId="0" applyNumberFormat="1" applyFont="1" applyFill="1" applyBorder="1" applyAlignment="1">
      <alignment horizontal="center"/>
    </xf>
    <xf numFmtId="37" fontId="0" fillId="3" borderId="4" xfId="0" applyNumberFormat="1" applyFont="1" applyFill="1" applyBorder="1" applyAlignment="1">
      <alignment horizontal="center"/>
    </xf>
    <xf numFmtId="37" fontId="0" fillId="3" borderId="17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78" fontId="5" fillId="4" borderId="20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178" fontId="5" fillId="4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4" borderId="20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37" fontId="5" fillId="0" borderId="26" xfId="0" applyNumberFormat="1" applyFont="1" applyFill="1" applyBorder="1" applyAlignment="1">
      <alignment horizontal="center"/>
    </xf>
    <xf numFmtId="10" fontId="5" fillId="0" borderId="26" xfId="28" applyNumberFormat="1" applyFont="1" applyFill="1" applyBorder="1" applyAlignment="1">
      <alignment horizontal="center"/>
    </xf>
    <xf numFmtId="10" fontId="0" fillId="0" borderId="20" xfId="28" applyNumberFormat="1" applyFont="1" applyFill="1" applyBorder="1" applyAlignment="1">
      <alignment horizontal="center"/>
    </xf>
    <xf numFmtId="4" fontId="0" fillId="0" borderId="20" xfId="15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0" fontId="0" fillId="0" borderId="20" xfId="28" applyNumberFormat="1" applyFill="1" applyBorder="1" applyAlignment="1">
      <alignment horizontal="center"/>
    </xf>
    <xf numFmtId="9" fontId="5" fillId="0" borderId="6" xfId="28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indent="1"/>
    </xf>
    <xf numFmtId="168" fontId="5" fillId="0" borderId="6" xfId="0" applyNumberFormat="1" applyFont="1" applyFill="1" applyBorder="1" applyAlignment="1">
      <alignment horizontal="left" indent="1"/>
    </xf>
    <xf numFmtId="0" fontId="0" fillId="0" borderId="28" xfId="0" applyFill="1" applyBorder="1" applyAlignment="1">
      <alignment/>
    </xf>
    <xf numFmtId="173" fontId="5" fillId="0" borderId="28" xfId="28" applyNumberFormat="1" applyFont="1" applyFill="1" applyBorder="1" applyAlignment="1">
      <alignment/>
    </xf>
    <xf numFmtId="170" fontId="5" fillId="0" borderId="6" xfId="18" applyNumberFormat="1" applyFont="1" applyFill="1" applyBorder="1" applyAlignment="1">
      <alignment horizontal="center"/>
    </xf>
    <xf numFmtId="10" fontId="5" fillId="0" borderId="6" xfId="28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171" fontId="5" fillId="0" borderId="6" xfId="0" applyNumberFormat="1" applyFont="1" applyFill="1" applyBorder="1" applyAlignment="1">
      <alignment horizontal="center"/>
    </xf>
    <xf numFmtId="37" fontId="5" fillId="0" borderId="20" xfId="0" applyNumberFormat="1" applyFont="1" applyFill="1" applyBorder="1" applyAlignment="1">
      <alignment/>
    </xf>
    <xf numFmtId="171" fontId="0" fillId="0" borderId="20" xfId="18" applyNumberFormat="1" applyFont="1" applyFill="1" applyBorder="1" applyAlignment="1">
      <alignment horizontal="center"/>
    </xf>
    <xf numFmtId="170" fontId="0" fillId="0" borderId="20" xfId="18" applyNumberFormat="1" applyFont="1" applyFill="1" applyBorder="1" applyAlignment="1">
      <alignment/>
    </xf>
    <xf numFmtId="175" fontId="0" fillId="0" borderId="20" xfId="18" applyNumberFormat="1" applyFont="1" applyFill="1" applyBorder="1" applyAlignment="1">
      <alignment/>
    </xf>
    <xf numFmtId="184" fontId="0" fillId="0" borderId="20" xfId="15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indent="1"/>
    </xf>
    <xf numFmtId="4" fontId="0" fillId="3" borderId="20" xfId="15" applyNumberFormat="1" applyFont="1" applyFill="1" applyBorder="1" applyAlignment="1">
      <alignment horizontal="center"/>
    </xf>
    <xf numFmtId="168" fontId="5" fillId="4" borderId="20" xfId="15" applyNumberFormat="1" applyFont="1" applyFill="1" applyBorder="1" applyAlignment="1">
      <alignment horizontal="center"/>
    </xf>
    <xf numFmtId="10" fontId="5" fillId="4" borderId="20" xfId="28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center"/>
    </xf>
    <xf numFmtId="179" fontId="0" fillId="3" borderId="20" xfId="15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168" fontId="5" fillId="0" borderId="29" xfId="0" applyNumberFormat="1" applyFont="1" applyFill="1" applyBorder="1" applyAlignment="1">
      <alignment horizontal="left" indent="1"/>
    </xf>
    <xf numFmtId="170" fontId="5" fillId="0" borderId="29" xfId="18" applyNumberFormat="1" applyFont="1" applyFill="1" applyBorder="1" applyAlignment="1">
      <alignment horizontal="left" indent="1"/>
    </xf>
    <xf numFmtId="168" fontId="0" fillId="0" borderId="20" xfId="15" applyNumberFormat="1" applyFont="1" applyFill="1" applyBorder="1" applyAlignment="1">
      <alignment horizontal="center"/>
    </xf>
    <xf numFmtId="3" fontId="0" fillId="0" borderId="20" xfId="15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3" fontId="5" fillId="0" borderId="29" xfId="15" applyNumberFormat="1" applyFont="1" applyFill="1" applyBorder="1" applyAlignment="1">
      <alignment horizontal="center"/>
    </xf>
    <xf numFmtId="179" fontId="0" fillId="0" borderId="20" xfId="15" applyNumberFormat="1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179" fontId="0" fillId="0" borderId="20" xfId="0" applyNumberFormat="1" applyFont="1" applyFill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 wrapText="1"/>
    </xf>
    <xf numFmtId="166" fontId="23" fillId="4" borderId="20" xfId="18" applyFont="1" applyFill="1" applyBorder="1" applyAlignment="1">
      <alignment horizontal="center" wrapText="1"/>
    </xf>
    <xf numFmtId="181" fontId="23" fillId="4" borderId="20" xfId="0" applyNumberFormat="1" applyFont="1" applyFill="1" applyBorder="1" applyAlignment="1">
      <alignment horizontal="center" wrapText="1"/>
    </xf>
    <xf numFmtId="182" fontId="23" fillId="4" borderId="2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17" fillId="4" borderId="31" xfId="0" applyFont="1" applyFill="1" applyBorder="1" applyAlignment="1">
      <alignment horizontal="center" wrapText="1"/>
    </xf>
    <xf numFmtId="178" fontId="0" fillId="3" borderId="32" xfId="18" applyNumberFormat="1" applyFont="1" applyFill="1" applyBorder="1" applyAlignment="1" applyProtection="1">
      <alignment horizontal="center"/>
      <protection locked="0"/>
    </xf>
    <xf numFmtId="178" fontId="0" fillId="3" borderId="30" xfId="18" applyNumberFormat="1" applyFont="1" applyFill="1" applyBorder="1" applyAlignment="1" applyProtection="1">
      <alignment horizontal="center"/>
      <protection locked="0"/>
    </xf>
    <xf numFmtId="178" fontId="0" fillId="4" borderId="33" xfId="0" applyNumberForma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172" fontId="0" fillId="4" borderId="20" xfId="0" applyNumberFormat="1" applyFill="1" applyBorder="1" applyAlignment="1">
      <alignment horizontal="center" vertical="center" wrapText="1"/>
    </xf>
    <xf numFmtId="178" fontId="0" fillId="4" borderId="34" xfId="0" applyNumberForma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172" fontId="0" fillId="4" borderId="33" xfId="0" applyNumberFormat="1" applyFill="1" applyBorder="1" applyAlignment="1">
      <alignment horizontal="center" vertical="center" wrapText="1"/>
    </xf>
    <xf numFmtId="172" fontId="0" fillId="4" borderId="34" xfId="0" applyNumberFormat="1" applyFill="1" applyBorder="1" applyAlignment="1">
      <alignment horizontal="center" vertical="center" wrapText="1"/>
    </xf>
    <xf numFmtId="0" fontId="0" fillId="4" borderId="33" xfId="0" applyFill="1" applyBorder="1" applyAlignment="1" quotePrefix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178" fontId="0" fillId="4" borderId="33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72" fontId="0" fillId="4" borderId="20" xfId="0" applyNumberFormat="1" applyFill="1" applyBorder="1" applyAlignment="1">
      <alignment horizontal="center" vertical="center"/>
    </xf>
    <xf numFmtId="178" fontId="0" fillId="4" borderId="34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172" fontId="0" fillId="4" borderId="33" xfId="0" applyNumberFormat="1" applyFill="1" applyBorder="1" applyAlignment="1">
      <alignment horizontal="center" vertical="center"/>
    </xf>
    <xf numFmtId="172" fontId="0" fillId="4" borderId="34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vertical="center"/>
    </xf>
    <xf numFmtId="0" fontId="0" fillId="4" borderId="34" xfId="0" applyFill="1" applyBorder="1" applyAlignment="1">
      <alignment/>
    </xf>
    <xf numFmtId="178" fontId="0" fillId="3" borderId="33" xfId="0" applyNumberFormat="1" applyFont="1" applyFill="1" applyBorder="1" applyAlignment="1" applyProtection="1">
      <alignment horizontal="center"/>
      <protection/>
    </xf>
    <xf numFmtId="172" fontId="0" fillId="3" borderId="20" xfId="0" applyNumberFormat="1" applyFont="1" applyFill="1" applyBorder="1" applyAlignment="1" applyProtection="1">
      <alignment horizontal="center"/>
      <protection locked="0"/>
    </xf>
    <xf numFmtId="178" fontId="0" fillId="3" borderId="33" xfId="0" applyNumberFormat="1" applyFill="1" applyBorder="1" applyAlignment="1" applyProtection="1">
      <alignment horizontal="center"/>
      <protection/>
    </xf>
    <xf numFmtId="172" fontId="0" fillId="3" borderId="20" xfId="0" applyNumberFormat="1" applyFill="1" applyBorder="1" applyAlignment="1" applyProtection="1">
      <alignment horizontal="center"/>
      <protection locked="0"/>
    </xf>
    <xf numFmtId="172" fontId="0" fillId="0" borderId="20" xfId="0" applyNumberFormat="1" applyFill="1" applyBorder="1" applyAlignment="1">
      <alignment horizontal="center"/>
    </xf>
    <xf numFmtId="178" fontId="0" fillId="0" borderId="34" xfId="0" applyNumberFormat="1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178" fontId="0" fillId="0" borderId="36" xfId="0" applyNumberFormat="1" applyFill="1" applyBorder="1" applyAlignment="1">
      <alignment horizontal="center"/>
    </xf>
    <xf numFmtId="172" fontId="0" fillId="1" borderId="33" xfId="0" applyNumberFormat="1" applyFont="1" applyFill="1" applyBorder="1" applyAlignment="1" applyProtection="1">
      <alignment horizontal="center"/>
      <protection/>
    </xf>
    <xf numFmtId="172" fontId="5" fillId="1" borderId="20" xfId="0" applyNumberFormat="1" applyFont="1" applyFill="1" applyBorder="1" applyAlignment="1" applyProtection="1">
      <alignment horizontal="center"/>
      <protection/>
    </xf>
    <xf numFmtId="172" fontId="0" fillId="1" borderId="20" xfId="0" applyNumberFormat="1" applyFill="1" applyBorder="1" applyAlignment="1" applyProtection="1">
      <alignment horizontal="center"/>
      <protection/>
    </xf>
    <xf numFmtId="178" fontId="0" fillId="1" borderId="34" xfId="0" applyNumberFormat="1" applyFont="1" applyFill="1" applyBorder="1" applyAlignment="1" applyProtection="1">
      <alignment horizontal="center"/>
      <protection/>
    </xf>
    <xf numFmtId="172" fontId="0" fillId="1" borderId="33" xfId="0" applyNumberFormat="1" applyFill="1" applyBorder="1" applyAlignment="1" applyProtection="1">
      <alignment horizontal="center"/>
      <protection/>
    </xf>
    <xf numFmtId="178" fontId="0" fillId="1" borderId="34" xfId="0" applyNumberFormat="1" applyFill="1" applyBorder="1" applyAlignment="1">
      <alignment horizontal="center"/>
    </xf>
    <xf numFmtId="172" fontId="0" fillId="3" borderId="33" xfId="0" applyNumberFormat="1" applyFill="1" applyBorder="1" applyAlignment="1" applyProtection="1">
      <alignment horizontal="center"/>
      <protection/>
    </xf>
    <xf numFmtId="172" fontId="0" fillId="3" borderId="33" xfId="0" applyNumberFormat="1" applyFont="1" applyFill="1" applyBorder="1" applyAlignment="1" applyProtection="1">
      <alignment horizontal="center"/>
      <protection locked="0"/>
    </xf>
    <xf numFmtId="172" fontId="0" fillId="3" borderId="34" xfId="0" applyNumberFormat="1" applyFont="1" applyFill="1" applyBorder="1" applyAlignment="1" applyProtection="1">
      <alignment horizontal="center"/>
      <protection locked="0"/>
    </xf>
    <xf numFmtId="172" fontId="0" fillId="3" borderId="33" xfId="0" applyNumberFormat="1" applyFill="1" applyBorder="1" applyAlignment="1" applyProtection="1">
      <alignment horizontal="center"/>
      <protection locked="0"/>
    </xf>
    <xf numFmtId="172" fontId="0" fillId="3" borderId="37" xfId="0" applyNumberFormat="1" applyFill="1" applyBorder="1" applyAlignment="1" applyProtection="1">
      <alignment horizontal="center"/>
      <protection locked="0"/>
    </xf>
    <xf numFmtId="172" fontId="0" fillId="3" borderId="36" xfId="0" applyNumberForma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172" fontId="0" fillId="0" borderId="39" xfId="0" applyNumberFormat="1" applyFont="1" applyFill="1" applyBorder="1" applyAlignment="1">
      <alignment/>
    </xf>
    <xf numFmtId="178" fontId="0" fillId="0" borderId="39" xfId="0" applyNumberFormat="1" applyFill="1" applyBorder="1" applyAlignment="1">
      <alignment/>
    </xf>
    <xf numFmtId="0" fontId="0" fillId="0" borderId="39" xfId="0" applyFill="1" applyBorder="1" applyAlignment="1">
      <alignment/>
    </xf>
    <xf numFmtId="172" fontId="0" fillId="0" borderId="39" xfId="0" applyNumberFormat="1" applyFill="1" applyBorder="1" applyAlignment="1">
      <alignment/>
    </xf>
    <xf numFmtId="172" fontId="5" fillId="0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2" xfId="0" applyBorder="1" applyAlignment="1">
      <alignment/>
    </xf>
    <xf numFmtId="0" fontId="0" fillId="0" borderId="41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3" xfId="0" applyBorder="1" applyAlignment="1">
      <alignment/>
    </xf>
    <xf numFmtId="172" fontId="6" fillId="0" borderId="20" xfId="0" applyNumberFormat="1" applyFont="1" applyFill="1" applyBorder="1" applyAlignment="1" applyProtection="1">
      <alignment horizontal="center"/>
      <protection/>
    </xf>
    <xf numFmtId="3" fontId="16" fillId="4" borderId="42" xfId="0" applyNumberFormat="1" applyFont="1" applyFill="1" applyBorder="1" applyAlignment="1">
      <alignment horizontal="right" vertical="center"/>
    </xf>
    <xf numFmtId="3" fontId="16" fillId="4" borderId="41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0" fillId="0" borderId="38" xfId="0" applyBorder="1" applyAlignment="1">
      <alignment/>
    </xf>
    <xf numFmtId="10" fontId="21" fillId="0" borderId="0" xfId="28" applyNumberFormat="1" applyFont="1" applyFill="1" applyBorder="1" applyAlignment="1">
      <alignment horizontal="center" vertical="center"/>
    </xf>
    <xf numFmtId="10" fontId="17" fillId="0" borderId="0" xfId="28" applyNumberFormat="1" applyFont="1" applyFill="1" applyBorder="1" applyAlignment="1">
      <alignment horizontal="center" vertical="center"/>
    </xf>
    <xf numFmtId="39" fontId="5" fillId="0" borderId="0" xfId="2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indent="5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39" fontId="17" fillId="0" borderId="4" xfId="2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39" fontId="17" fillId="0" borderId="4" xfId="20" applyNumberFormat="1" applyFont="1" applyFill="1" applyBorder="1" applyAlignment="1">
      <alignment horizontal="center" vertical="center"/>
    </xf>
    <xf numFmtId="10" fontId="21" fillId="0" borderId="4" xfId="28" applyNumberFormat="1" applyFont="1" applyFill="1" applyBorder="1" applyAlignment="1">
      <alignment horizontal="center" vertical="center"/>
    </xf>
    <xf numFmtId="10" fontId="17" fillId="0" borderId="4" xfId="28" applyNumberFormat="1" applyFont="1" applyFill="1" applyBorder="1" applyAlignment="1">
      <alignment horizontal="center" vertical="center"/>
    </xf>
    <xf numFmtId="39" fontId="5" fillId="0" borderId="4" xfId="20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 wrapText="1"/>
    </xf>
    <xf numFmtId="2" fontId="5" fillId="4" borderId="45" xfId="0" applyNumberFormat="1" applyFont="1" applyFill="1" applyBorder="1" applyAlignment="1">
      <alignment horizontal="center" vertical="center" wrapText="1"/>
    </xf>
    <xf numFmtId="2" fontId="5" fillId="4" borderId="46" xfId="0" applyNumberFormat="1" applyFont="1" applyFill="1" applyBorder="1" applyAlignment="1">
      <alignment horizontal="center" vertical="center" wrapText="1"/>
    </xf>
    <xf numFmtId="178" fontId="0" fillId="0" borderId="20" xfId="2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50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39" fontId="0" fillId="0" borderId="51" xfId="20" applyNumberFormat="1" applyFont="1" applyFill="1" applyBorder="1" applyAlignment="1">
      <alignment horizontal="center" vertical="center"/>
    </xf>
    <xf numFmtId="39" fontId="0" fillId="0" borderId="52" xfId="20" applyNumberFormat="1" applyFont="1" applyFill="1" applyBorder="1" applyAlignment="1">
      <alignment horizontal="center" vertical="center"/>
    </xf>
    <xf numFmtId="0" fontId="0" fillId="1" borderId="53" xfId="0" applyFont="1" applyFill="1" applyBorder="1" applyAlignment="1">
      <alignment horizontal="center" vertical="center"/>
    </xf>
    <xf numFmtId="0" fontId="0" fillId="1" borderId="54" xfId="0" applyFont="1" applyFill="1" applyBorder="1" applyAlignment="1">
      <alignment horizontal="center" vertical="center"/>
    </xf>
    <xf numFmtId="39" fontId="0" fillId="0" borderId="55" xfId="20" applyNumberFormat="1" applyFont="1" applyFill="1" applyBorder="1" applyAlignment="1">
      <alignment horizontal="center" vertical="center"/>
    </xf>
    <xf numFmtId="39" fontId="0" fillId="0" borderId="34" xfId="20" applyNumberFormat="1" applyFont="1" applyFill="1" applyBorder="1" applyAlignment="1">
      <alignment horizontal="center" vertical="center"/>
    </xf>
    <xf numFmtId="183" fontId="0" fillId="0" borderId="55" xfId="20" applyNumberFormat="1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183" fontId="0" fillId="0" borderId="34" xfId="20" applyNumberFormat="1" applyFont="1" applyFill="1" applyBorder="1" applyAlignment="1">
      <alignment horizontal="center" vertical="center"/>
    </xf>
    <xf numFmtId="186" fontId="0" fillId="0" borderId="20" xfId="28" applyNumberFormat="1" applyFont="1" applyFill="1" applyBorder="1" applyAlignment="1">
      <alignment horizontal="center" vertical="center"/>
    </xf>
    <xf numFmtId="0" fontId="0" fillId="1" borderId="20" xfId="0" applyFont="1" applyFill="1" applyBorder="1" applyAlignment="1">
      <alignment horizontal="center" vertical="center"/>
    </xf>
    <xf numFmtId="0" fontId="0" fillId="1" borderId="33" xfId="0" applyFont="1" applyFill="1" applyBorder="1" applyAlignment="1">
      <alignment horizontal="center" vertical="center"/>
    </xf>
    <xf numFmtId="183" fontId="0" fillId="0" borderId="53" xfId="20" applyNumberFormat="1" applyFont="1" applyFill="1" applyBorder="1" applyAlignment="1">
      <alignment horizontal="center" vertical="center"/>
    </xf>
    <xf numFmtId="186" fontId="0" fillId="0" borderId="54" xfId="28" applyNumberFormat="1" applyFont="1" applyFill="1" applyBorder="1" applyAlignment="1">
      <alignment horizontal="center" vertical="center"/>
    </xf>
    <xf numFmtId="186" fontId="0" fillId="0" borderId="55" xfId="28" applyNumberFormat="1" applyFont="1" applyFill="1" applyBorder="1" applyAlignment="1">
      <alignment horizontal="center" vertical="center"/>
    </xf>
    <xf numFmtId="183" fontId="0" fillId="0" borderId="33" xfId="20" applyNumberFormat="1" applyFont="1" applyFill="1" applyBorder="1" applyAlignment="1">
      <alignment horizontal="center" vertical="center"/>
    </xf>
    <xf numFmtId="186" fontId="0" fillId="0" borderId="34" xfId="28" applyNumberFormat="1" applyFont="1" applyFill="1" applyBorder="1" applyAlignment="1">
      <alignment horizontal="center" vertical="center"/>
    </xf>
    <xf numFmtId="3" fontId="0" fillId="0" borderId="57" xfId="0" applyNumberFormat="1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/>
    </xf>
    <xf numFmtId="183" fontId="0" fillId="0" borderId="52" xfId="20" applyNumberFormat="1" applyFont="1" applyFill="1" applyBorder="1" applyAlignment="1">
      <alignment horizontal="center" vertical="center"/>
    </xf>
    <xf numFmtId="183" fontId="0" fillId="0" borderId="57" xfId="20" applyNumberFormat="1" applyFont="1" applyFill="1" applyBorder="1" applyAlignment="1">
      <alignment horizontal="center" vertical="center"/>
    </xf>
    <xf numFmtId="186" fontId="0" fillId="0" borderId="18" xfId="28" applyNumberFormat="1" applyFont="1" applyFill="1" applyBorder="1" applyAlignment="1">
      <alignment horizontal="center" vertical="center"/>
    </xf>
    <xf numFmtId="186" fontId="0" fillId="0" borderId="52" xfId="28" applyNumberFormat="1" applyFont="1" applyFill="1" applyBorder="1" applyAlignment="1">
      <alignment horizontal="center" vertical="center"/>
    </xf>
    <xf numFmtId="183" fontId="0" fillId="0" borderId="51" xfId="20" applyNumberFormat="1" applyFont="1" applyFill="1" applyBorder="1" applyAlignment="1">
      <alignment horizontal="center" vertical="center"/>
    </xf>
    <xf numFmtId="183" fontId="0" fillId="0" borderId="50" xfId="20" applyNumberFormat="1" applyFont="1" applyFill="1" applyBorder="1" applyAlignment="1">
      <alignment horizontal="center" vertical="center"/>
    </xf>
    <xf numFmtId="186" fontId="0" fillId="0" borderId="24" xfId="28" applyNumberFormat="1" applyFont="1" applyFill="1" applyBorder="1" applyAlignment="1">
      <alignment horizontal="center" vertical="center"/>
    </xf>
    <xf numFmtId="186" fontId="0" fillId="0" borderId="51" xfId="28" applyNumberFormat="1" applyFont="1" applyFill="1" applyBorder="1" applyAlignment="1">
      <alignment horizontal="center" vertical="center"/>
    </xf>
    <xf numFmtId="39" fontId="5" fillId="5" borderId="58" xfId="20" applyNumberFormat="1" applyFont="1" applyFill="1" applyBorder="1" applyAlignment="1">
      <alignment horizontal="center" vertical="center"/>
    </xf>
    <xf numFmtId="39" fontId="17" fillId="5" borderId="58" xfId="20" applyNumberFormat="1" applyFont="1" applyFill="1" applyBorder="1" applyAlignment="1">
      <alignment horizontal="center" vertical="center"/>
    </xf>
    <xf numFmtId="183" fontId="5" fillId="5" borderId="59" xfId="20" applyNumberFormat="1" applyFont="1" applyFill="1" applyBorder="1" applyAlignment="1">
      <alignment horizontal="center" vertical="center"/>
    </xf>
    <xf numFmtId="186" fontId="5" fillId="5" borderId="45" xfId="28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/>
    </xf>
    <xf numFmtId="178" fontId="0" fillId="0" borderId="54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78" fontId="0" fillId="0" borderId="54" xfId="20" applyNumberFormat="1" applyFont="1" applyFill="1" applyBorder="1" applyAlignment="1">
      <alignment horizontal="center" vertical="center"/>
    </xf>
    <xf numFmtId="186" fontId="5" fillId="5" borderId="58" xfId="28" applyNumberFormat="1" applyFont="1" applyFill="1" applyBorder="1" applyAlignment="1">
      <alignment horizontal="center" vertical="center"/>
    </xf>
    <xf numFmtId="186" fontId="0" fillId="0" borderId="36" xfId="28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wrapText="1"/>
    </xf>
    <xf numFmtId="39" fontId="6" fillId="0" borderId="2" xfId="0" applyNumberFormat="1" applyFont="1" applyBorder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0" fontId="19" fillId="0" borderId="41" xfId="0" applyFont="1" applyFill="1" applyBorder="1" applyAlignment="1">
      <alignment wrapText="1"/>
    </xf>
    <xf numFmtId="169" fontId="6" fillId="0" borderId="4" xfId="0" applyNumberFormat="1" applyFont="1" applyFill="1" applyBorder="1" applyAlignment="1">
      <alignment/>
    </xf>
    <xf numFmtId="171" fontId="6" fillId="0" borderId="4" xfId="0" applyNumberFormat="1" applyFont="1" applyFill="1" applyBorder="1" applyAlignment="1">
      <alignment horizontal="center"/>
    </xf>
    <xf numFmtId="178" fontId="6" fillId="0" borderId="3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center" wrapText="1"/>
    </xf>
    <xf numFmtId="39" fontId="6" fillId="6" borderId="20" xfId="0" applyNumberFormat="1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 wrapText="1"/>
    </xf>
    <xf numFmtId="0" fontId="15" fillId="6" borderId="20" xfId="0" applyFont="1" applyFill="1" applyBorder="1" applyAlignment="1">
      <alignment horizontal="left" vertical="center" wrapText="1"/>
    </xf>
    <xf numFmtId="171" fontId="26" fillId="6" borderId="20" xfId="0" applyNumberFormat="1" applyFont="1" applyFill="1" applyBorder="1" applyAlignment="1">
      <alignment horizontal="left" vertical="center"/>
    </xf>
    <xf numFmtId="171" fontId="0" fillId="0" borderId="20" xfId="0" applyNumberFormat="1" applyFont="1" applyFill="1" applyBorder="1" applyAlignment="1">
      <alignment horizontal="center" vertical="center"/>
    </xf>
    <xf numFmtId="39" fontId="0" fillId="0" borderId="2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71" fontId="20" fillId="0" borderId="0" xfId="0" applyNumberFormat="1" applyFont="1" applyFill="1" applyBorder="1" applyAlignment="1">
      <alignment horizontal="left" vertical="center"/>
    </xf>
    <xf numFmtId="39" fontId="6" fillId="0" borderId="0" xfId="0" applyNumberFormat="1" applyFont="1" applyFill="1" applyBorder="1" applyAlignment="1">
      <alignment horizontal="left" vertical="center"/>
    </xf>
    <xf numFmtId="170" fontId="0" fillId="7" borderId="0" xfId="0" applyNumberFormat="1" applyFill="1" applyAlignment="1">
      <alignment/>
    </xf>
    <xf numFmtId="0" fontId="0" fillId="7" borderId="0" xfId="0" applyFill="1" applyAlignment="1">
      <alignment/>
    </xf>
    <xf numFmtId="170" fontId="0" fillId="7" borderId="26" xfId="0" applyNumberFormat="1" applyFill="1" applyBorder="1" applyAlignment="1">
      <alignment/>
    </xf>
    <xf numFmtId="170" fontId="5" fillId="0" borderId="6" xfId="18" applyNumberFormat="1" applyFont="1" applyFill="1" applyBorder="1" applyAlignment="1">
      <alignment/>
    </xf>
    <xf numFmtId="38" fontId="0" fillId="0" borderId="20" xfId="0" applyNumberFormat="1" applyFill="1" applyBorder="1" applyAlignment="1">
      <alignment horizontal="center"/>
    </xf>
    <xf numFmtId="38" fontId="5" fillId="0" borderId="6" xfId="0" applyNumberFormat="1" applyFont="1" applyFill="1" applyBorder="1" applyAlignment="1">
      <alignment horizontal="center"/>
    </xf>
    <xf numFmtId="8" fontId="5" fillId="0" borderId="6" xfId="18" applyNumberFormat="1" applyFont="1" applyFill="1" applyBorder="1" applyAlignment="1">
      <alignment horizontal="center"/>
    </xf>
    <xf numFmtId="4" fontId="24" fillId="3" borderId="20" xfId="0" applyNumberFormat="1" applyFont="1" applyFill="1" applyBorder="1" applyAlignment="1">
      <alignment horizontal="center" wrapText="1"/>
    </xf>
    <xf numFmtId="3" fontId="24" fillId="3" borderId="20" xfId="0" applyNumberFormat="1" applyFont="1" applyFill="1" applyBorder="1" applyAlignment="1">
      <alignment horizontal="center" wrapText="1"/>
    </xf>
    <xf numFmtId="3" fontId="23" fillId="3" borderId="20" xfId="0" applyNumberFormat="1" applyFont="1" applyFill="1" applyBorder="1" applyAlignment="1">
      <alignment wrapText="1"/>
    </xf>
    <xf numFmtId="172" fontId="24" fillId="0" borderId="20" xfId="0" applyNumberFormat="1" applyFont="1" applyFill="1" applyBorder="1" applyAlignment="1">
      <alignment wrapText="1"/>
    </xf>
    <xf numFmtId="172" fontId="24" fillId="3" borderId="20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4" fontId="23" fillId="0" borderId="29" xfId="0" applyNumberFormat="1" applyFont="1" applyFill="1" applyBorder="1" applyAlignment="1">
      <alignment horizontal="center" wrapText="1"/>
    </xf>
    <xf numFmtId="4" fontId="23" fillId="0" borderId="29" xfId="0" applyNumberFormat="1" applyFont="1" applyFill="1" applyBorder="1" applyAlignment="1">
      <alignment wrapText="1"/>
    </xf>
    <xf numFmtId="39" fontId="0" fillId="3" borderId="32" xfId="18" applyNumberFormat="1" applyFont="1" applyFill="1" applyBorder="1" applyAlignment="1" applyProtection="1">
      <alignment horizontal="center"/>
      <protection locked="0"/>
    </xf>
    <xf numFmtId="39" fontId="0" fillId="3" borderId="30" xfId="18" applyNumberFormat="1" applyFont="1" applyFill="1" applyBorder="1" applyAlignment="1" applyProtection="1">
      <alignment horizontal="center"/>
      <protection locked="0"/>
    </xf>
    <xf numFmtId="172" fontId="24" fillId="0" borderId="20" xfId="0" applyNumberFormat="1" applyFont="1" applyFill="1" applyBorder="1" applyAlignment="1">
      <alignment horizontal="center" wrapText="1"/>
    </xf>
    <xf numFmtId="170" fontId="3" fillId="3" borderId="0" xfId="18" applyNumberFormat="1" applyFont="1" applyFill="1" applyAlignment="1">
      <alignment/>
    </xf>
    <xf numFmtId="168" fontId="5" fillId="3" borderId="23" xfId="15" applyNumberFormat="1" applyFont="1" applyFill="1" applyBorder="1" applyAlignment="1">
      <alignment horizontal="center"/>
    </xf>
    <xf numFmtId="0" fontId="5" fillId="3" borderId="38" xfId="0" applyFont="1" applyFill="1" applyBorder="1" applyAlignment="1">
      <alignment/>
    </xf>
    <xf numFmtId="37" fontId="23" fillId="0" borderId="20" xfId="0" applyNumberFormat="1" applyFont="1" applyFill="1" applyBorder="1" applyAlignment="1">
      <alignment wrapText="1"/>
    </xf>
    <xf numFmtId="37" fontId="3" fillId="0" borderId="60" xfId="0" applyNumberFormat="1" applyFont="1" applyFill="1" applyBorder="1" applyAlignment="1">
      <alignment/>
    </xf>
    <xf numFmtId="37" fontId="3" fillId="0" borderId="6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4" borderId="42" xfId="0" applyFont="1" applyFill="1" applyBorder="1" applyAlignment="1">
      <alignment horizontal="center"/>
    </xf>
    <xf numFmtId="0" fontId="5" fillId="4" borderId="20" xfId="0" applyFont="1" applyFill="1" applyBorder="1" applyAlignment="1">
      <alignment/>
    </xf>
    <xf numFmtId="0" fontId="0" fillId="3" borderId="20" xfId="0" applyFill="1" applyBorder="1" applyAlignment="1">
      <alignment/>
    </xf>
    <xf numFmtId="37" fontId="0" fillId="0" borderId="20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vertical="center" wrapText="1"/>
    </xf>
    <xf numFmtId="3" fontId="0" fillId="0" borderId="56" xfId="0" applyNumberFormat="1" applyFont="1" applyFill="1" applyBorder="1" applyAlignment="1">
      <alignment horizontal="center" vertical="center"/>
    </xf>
    <xf numFmtId="39" fontId="0" fillId="0" borderId="13" xfId="20" applyNumberFormat="1" applyFont="1" applyFill="1" applyBorder="1" applyAlignment="1">
      <alignment horizontal="center" vertical="center"/>
    </xf>
    <xf numFmtId="183" fontId="0" fillId="0" borderId="13" xfId="20" applyNumberFormat="1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78" fontId="0" fillId="3" borderId="24" xfId="0" applyNumberFormat="1" applyFont="1" applyFill="1" applyBorder="1" applyAlignment="1">
      <alignment horizontal="right"/>
    </xf>
    <xf numFmtId="39" fontId="0" fillId="3" borderId="24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0" fillId="3" borderId="55" xfId="0" applyNumberFormat="1" applyFont="1" applyFill="1" applyBorder="1" applyAlignment="1">
      <alignment horizontal="center"/>
    </xf>
    <xf numFmtId="37" fontId="0" fillId="3" borderId="54" xfId="0" applyNumberFormat="1" applyFont="1" applyFill="1" applyBorder="1" applyAlignment="1">
      <alignment horizontal="center"/>
    </xf>
    <xf numFmtId="3" fontId="0" fillId="0" borderId="20" xfId="15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center"/>
    </xf>
    <xf numFmtId="6" fontId="0" fillId="0" borderId="20" xfId="18" applyNumberFormat="1" applyFill="1" applyBorder="1" applyAlignment="1">
      <alignment horizontal="center"/>
    </xf>
    <xf numFmtId="6" fontId="3" fillId="0" borderId="20" xfId="0" applyNumberFormat="1" applyFont="1" applyFill="1" applyBorder="1" applyAlignment="1">
      <alignment/>
    </xf>
    <xf numFmtId="188" fontId="0" fillId="3" borderId="23" xfId="0" applyNumberForma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37" fontId="0" fillId="3" borderId="62" xfId="0" applyNumberFormat="1" applyFont="1" applyFill="1" applyBorder="1" applyAlignment="1">
      <alignment horizontal="center"/>
    </xf>
    <xf numFmtId="37" fontId="0" fillId="3" borderId="63" xfId="0" applyNumberFormat="1" applyFont="1" applyFill="1" applyBorder="1" applyAlignment="1">
      <alignment horizontal="center"/>
    </xf>
    <xf numFmtId="37" fontId="0" fillId="3" borderId="64" xfId="0" applyNumberFormat="1" applyFont="1" applyFill="1" applyBorder="1" applyAlignment="1">
      <alignment horizontal="center"/>
    </xf>
    <xf numFmtId="37" fontId="0" fillId="3" borderId="35" xfId="0" applyNumberFormat="1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 vertical="center" wrapText="1"/>
    </xf>
    <xf numFmtId="178" fontId="0" fillId="3" borderId="48" xfId="18" applyNumberFormat="1" applyFont="1" applyFill="1" applyBorder="1" applyAlignment="1" applyProtection="1">
      <alignment horizontal="center"/>
      <protection locked="0"/>
    </xf>
    <xf numFmtId="39" fontId="0" fillId="3" borderId="31" xfId="18" applyNumberFormat="1" applyFont="1" applyFill="1" applyBorder="1" applyAlignment="1" applyProtection="1">
      <alignment horizontal="center"/>
      <protection locked="0"/>
    </xf>
    <xf numFmtId="178" fontId="0" fillId="3" borderId="47" xfId="18" applyNumberFormat="1" applyFont="1" applyFill="1" applyBorder="1" applyAlignment="1" applyProtection="1">
      <alignment horizontal="center"/>
      <protection locked="0"/>
    </xf>
    <xf numFmtId="178" fontId="0" fillId="3" borderId="14" xfId="18" applyNumberFormat="1" applyFont="1" applyFill="1" applyBorder="1" applyAlignment="1" applyProtection="1">
      <alignment horizontal="center"/>
      <protection locked="0"/>
    </xf>
    <xf numFmtId="8" fontId="0" fillId="0" borderId="0" xfId="18" applyNumberFormat="1" applyFill="1" applyBorder="1" applyAlignment="1">
      <alignment/>
    </xf>
    <xf numFmtId="170" fontId="5" fillId="0" borderId="65" xfId="18" applyNumberFormat="1" applyFont="1" applyFill="1" applyBorder="1" applyAlignment="1">
      <alignment/>
    </xf>
    <xf numFmtId="0" fontId="0" fillId="0" borderId="0" xfId="0" applyFill="1" applyAlignment="1">
      <alignment/>
    </xf>
    <xf numFmtId="170" fontId="0" fillId="0" borderId="0" xfId="18" applyNumberFormat="1" applyFill="1" applyBorder="1" applyAlignment="1">
      <alignment/>
    </xf>
    <xf numFmtId="170" fontId="5" fillId="0" borderId="26" xfId="18" applyNumberFormat="1" applyFont="1" applyFill="1" applyBorder="1" applyAlignment="1">
      <alignment/>
    </xf>
    <xf numFmtId="170" fontId="0" fillId="0" borderId="0" xfId="18" applyNumberFormat="1" applyFill="1" applyAlignment="1">
      <alignment/>
    </xf>
    <xf numFmtId="170" fontId="5" fillId="0" borderId="6" xfId="18" applyNumberFormat="1" applyFont="1" applyFill="1" applyBorder="1" applyAlignment="1">
      <alignment/>
    </xf>
    <xf numFmtId="173" fontId="5" fillId="0" borderId="0" xfId="28" applyNumberFormat="1" applyFont="1" applyFill="1" applyBorder="1" applyAlignment="1">
      <alignment/>
    </xf>
    <xf numFmtId="189" fontId="0" fillId="0" borderId="20" xfId="18" applyNumberFormat="1" applyFont="1" applyFill="1" applyBorder="1" applyAlignment="1">
      <alignment/>
    </xf>
    <xf numFmtId="189" fontId="5" fillId="0" borderId="6" xfId="18" applyNumberFormat="1" applyFont="1" applyFill="1" applyBorder="1" applyAlignment="1">
      <alignment/>
    </xf>
    <xf numFmtId="3" fontId="5" fillId="4" borderId="20" xfId="0" applyNumberFormat="1" applyFont="1" applyFill="1" applyBorder="1" applyAlignment="1">
      <alignment horizontal="center" wrapText="1"/>
    </xf>
    <xf numFmtId="3" fontId="0" fillId="3" borderId="20" xfId="18" applyNumberFormat="1" applyFon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0" xfId="28" applyNumberFormat="1" applyFont="1" applyFill="1" applyBorder="1" applyAlignment="1">
      <alignment horizontal="center"/>
    </xf>
    <xf numFmtId="180" fontId="0" fillId="0" borderId="20" xfId="15" applyNumberFormat="1" applyFont="1" applyFill="1" applyBorder="1" applyAlignment="1">
      <alignment horizontal="center"/>
    </xf>
    <xf numFmtId="180" fontId="0" fillId="3" borderId="20" xfId="18" applyNumberFormat="1" applyFont="1" applyFill="1" applyBorder="1" applyAlignment="1">
      <alignment horizontal="center"/>
    </xf>
    <xf numFmtId="180" fontId="5" fillId="0" borderId="2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8" borderId="0" xfId="0" applyNumberFormat="1" applyFill="1" applyAlignment="1">
      <alignment horizontal="center"/>
    </xf>
    <xf numFmtId="10" fontId="0" fillId="3" borderId="20" xfId="28" applyNumberFormat="1" applyFont="1" applyFill="1" applyBorder="1" applyAlignment="1">
      <alignment horizontal="center"/>
    </xf>
    <xf numFmtId="180" fontId="0" fillId="3" borderId="20" xfId="28" applyNumberFormat="1" applyFont="1" applyFill="1" applyBorder="1" applyAlignment="1">
      <alignment horizontal="center"/>
    </xf>
    <xf numFmtId="3" fontId="5" fillId="0" borderId="6" xfId="18" applyNumberFormat="1" applyFont="1" applyFill="1" applyBorder="1" applyAlignment="1">
      <alignment horizontal="center"/>
    </xf>
    <xf numFmtId="3" fontId="0" fillId="0" borderId="20" xfId="28" applyNumberForma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left" indent="1"/>
    </xf>
    <xf numFmtId="37" fontId="0" fillId="3" borderId="21" xfId="0" applyNumberFormat="1" applyFont="1" applyFill="1" applyBorder="1" applyAlignment="1">
      <alignment horizontal="center"/>
    </xf>
    <xf numFmtId="0" fontId="5" fillId="4" borderId="66" xfId="0" applyFont="1" applyFill="1" applyBorder="1" applyAlignment="1">
      <alignment horizontal="center" vertical="center" wrapText="1"/>
    </xf>
    <xf numFmtId="9" fontId="0" fillId="0" borderId="20" xfId="28" applyNumberFormat="1" applyFont="1" applyFill="1" applyBorder="1" applyAlignment="1">
      <alignment horizontal="center"/>
    </xf>
    <xf numFmtId="190" fontId="0" fillId="0" borderId="20" xfId="15" applyNumberFormat="1" applyFont="1" applyFill="1" applyBorder="1" applyAlignment="1">
      <alignment horizontal="center"/>
    </xf>
    <xf numFmtId="187" fontId="0" fillId="0" borderId="20" xfId="2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29" fillId="0" borderId="0" xfId="0" applyFont="1" applyAlignment="1">
      <alignment/>
    </xf>
    <xf numFmtId="167" fontId="29" fillId="0" borderId="0" xfId="15" applyFont="1" applyAlignment="1">
      <alignment/>
    </xf>
    <xf numFmtId="176" fontId="0" fillId="0" borderId="0" xfId="15" applyNumberForma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174" fontId="0" fillId="0" borderId="0" xfId="15" applyNumberFormat="1" applyAlignment="1">
      <alignment/>
    </xf>
    <xf numFmtId="168" fontId="5" fillId="0" borderId="0" xfId="15" applyNumberFormat="1" applyFont="1" applyFill="1" applyBorder="1" applyAlignment="1">
      <alignment/>
    </xf>
    <xf numFmtId="176" fontId="0" fillId="0" borderId="0" xfId="15" applyNumberFormat="1" applyFont="1" applyAlignment="1">
      <alignment/>
    </xf>
    <xf numFmtId="172" fontId="6" fillId="0" borderId="20" xfId="0" applyNumberFormat="1" applyFont="1" applyFill="1" applyBorder="1" applyAlignment="1" applyProtection="1">
      <alignment horizontal="center"/>
      <protection locked="0"/>
    </xf>
    <xf numFmtId="167" fontId="0" fillId="0" borderId="0" xfId="15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167" fontId="31" fillId="0" borderId="0" xfId="15" applyFont="1" applyAlignment="1">
      <alignment/>
    </xf>
    <xf numFmtId="179" fontId="5" fillId="5" borderId="42" xfId="0" applyNumberFormat="1" applyFont="1" applyFill="1" applyBorder="1" applyAlignment="1">
      <alignment horizontal="left" vertical="center"/>
    </xf>
    <xf numFmtId="178" fontId="0" fillId="4" borderId="67" xfId="0" applyNumberFormat="1" applyFill="1" applyBorder="1" applyAlignment="1">
      <alignment horizontal="center" vertical="center"/>
    </xf>
    <xf numFmtId="178" fontId="0" fillId="3" borderId="67" xfId="0" applyNumberFormat="1" applyFont="1" applyFill="1" applyBorder="1" applyAlignment="1" applyProtection="1">
      <alignment horizontal="center"/>
      <protection/>
    </xf>
    <xf numFmtId="178" fontId="0" fillId="3" borderId="67" xfId="0" applyNumberFormat="1" applyFill="1" applyBorder="1" applyAlignment="1" applyProtection="1">
      <alignment horizontal="center"/>
      <protection/>
    </xf>
    <xf numFmtId="0" fontId="0" fillId="4" borderId="67" xfId="0" applyFill="1" applyBorder="1" applyAlignment="1">
      <alignment horizontal="center" vertical="center"/>
    </xf>
    <xf numFmtId="172" fontId="0" fillId="1" borderId="67" xfId="0" applyNumberFormat="1" applyFont="1" applyFill="1" applyBorder="1" applyAlignment="1" applyProtection="1">
      <alignment horizontal="center"/>
      <protection/>
    </xf>
    <xf numFmtId="172" fontId="0" fillId="1" borderId="67" xfId="0" applyNumberFormat="1" applyFill="1" applyBorder="1" applyAlignment="1" applyProtection="1">
      <alignment horizontal="center"/>
      <protection/>
    </xf>
    <xf numFmtId="172" fontId="0" fillId="3" borderId="67" xfId="0" applyNumberFormat="1" applyFill="1" applyBorder="1" applyAlignment="1" applyProtection="1">
      <alignment horizontal="center"/>
      <protection/>
    </xf>
    <xf numFmtId="0" fontId="3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6" fontId="0" fillId="0" borderId="0" xfId="15" applyNumberFormat="1" applyAlignment="1">
      <alignment wrapText="1"/>
    </xf>
    <xf numFmtId="0" fontId="0" fillId="0" borderId="39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179" fontId="5" fillId="0" borderId="0" xfId="0" applyNumberFormat="1" applyFont="1" applyAlignment="1">
      <alignment horizontal="center" wrapText="1"/>
    </xf>
    <xf numFmtId="39" fontId="0" fillId="3" borderId="2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172" fontId="6" fillId="0" borderId="34" xfId="0" applyNumberFormat="1" applyFont="1" applyFill="1" applyBorder="1" applyAlignment="1" applyProtection="1">
      <alignment horizontal="center"/>
      <protection locked="0"/>
    </xf>
    <xf numFmtId="172" fontId="6" fillId="0" borderId="34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>
      <alignment/>
    </xf>
    <xf numFmtId="172" fontId="6" fillId="0" borderId="36" xfId="0" applyNumberFormat="1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>
      <alignment/>
    </xf>
    <xf numFmtId="172" fontId="6" fillId="0" borderId="51" xfId="0" applyNumberFormat="1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/>
    </xf>
    <xf numFmtId="0" fontId="15" fillId="0" borderId="43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3" fontId="16" fillId="0" borderId="43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4" fillId="0" borderId="43" xfId="0" applyFont="1" applyFill="1" applyBorder="1" applyAlignment="1">
      <alignment vertical="center"/>
    </xf>
    <xf numFmtId="3" fontId="32" fillId="0" borderId="43" xfId="0" applyNumberFormat="1" applyFont="1" applyFill="1" applyBorder="1" applyAlignment="1">
      <alignment horizontal="left" vertical="center"/>
    </xf>
    <xf numFmtId="3" fontId="34" fillId="0" borderId="43" xfId="0" applyNumberFormat="1" applyFont="1" applyFill="1" applyBorder="1" applyAlignment="1">
      <alignment horizontal="left" vertical="center"/>
    </xf>
    <xf numFmtId="0" fontId="3" fillId="4" borderId="46" xfId="0" applyFont="1" applyFill="1" applyBorder="1" applyAlignment="1">
      <alignment vertical="center"/>
    </xf>
    <xf numFmtId="0" fontId="30" fillId="0" borderId="43" xfId="0" applyFont="1" applyFill="1" applyBorder="1" applyAlignment="1">
      <alignment vertical="center"/>
    </xf>
    <xf numFmtId="0" fontId="35" fillId="0" borderId="43" xfId="0" applyFont="1" applyFill="1" applyBorder="1" applyAlignment="1">
      <alignment vertical="center"/>
    </xf>
    <xf numFmtId="0" fontId="34" fillId="0" borderId="43" xfId="0" applyFont="1" applyFill="1" applyBorder="1" applyAlignment="1">
      <alignment vertical="center"/>
    </xf>
    <xf numFmtId="37" fontId="5" fillId="4" borderId="20" xfId="0" applyNumberFormat="1" applyFont="1" applyFill="1" applyBorder="1" applyAlignment="1">
      <alignment horizontal="center" vertical="center" wrapText="1"/>
    </xf>
    <xf numFmtId="37" fontId="8" fillId="0" borderId="0" xfId="0" applyNumberFormat="1" applyFont="1" applyFill="1" applyAlignment="1">
      <alignment horizontal="center" vertical="center" wrapText="1"/>
    </xf>
    <xf numFmtId="37" fontId="5" fillId="4" borderId="2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  <xf numFmtId="0" fontId="25" fillId="6" borderId="0" xfId="0" applyFont="1" applyFill="1" applyAlignment="1">
      <alignment/>
    </xf>
    <xf numFmtId="0" fontId="7" fillId="0" borderId="6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5" fillId="6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6" borderId="0" xfId="0" applyFont="1" applyFill="1" applyAlignment="1">
      <alignment/>
    </xf>
    <xf numFmtId="0" fontId="0" fillId="0" borderId="0" xfId="0" applyFill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8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178" fontId="0" fillId="0" borderId="20" xfId="0" applyNumberFormat="1" applyFont="1" applyFill="1" applyBorder="1" applyAlignment="1">
      <alignment horizontal="center"/>
    </xf>
    <xf numFmtId="178" fontId="0" fillId="3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8" fontId="5" fillId="4" borderId="42" xfId="0" applyNumberFormat="1" applyFont="1" applyFill="1" applyBorder="1" applyAlignment="1">
      <alignment horizontal="center" wrapText="1"/>
    </xf>
    <xf numFmtId="0" fontId="0" fillId="4" borderId="46" xfId="0" applyFill="1" applyBorder="1" applyAlignment="1">
      <alignment/>
    </xf>
    <xf numFmtId="0" fontId="0" fillId="0" borderId="69" xfId="0" applyFill="1" applyBorder="1" applyAlignment="1">
      <alignment/>
    </xf>
    <xf numFmtId="0" fontId="0" fillId="3" borderId="20" xfId="0" applyFill="1" applyBorder="1" applyAlignment="1">
      <alignment horizontal="center"/>
    </xf>
    <xf numFmtId="178" fontId="0" fillId="3" borderId="2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178" fontId="5" fillId="4" borderId="46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4" borderId="25" xfId="0" applyFont="1" applyFill="1" applyBorder="1" applyAlignment="1">
      <alignment horizontal="center" wrapText="1"/>
    </xf>
    <xf numFmtId="0" fontId="5" fillId="4" borderId="67" xfId="0" applyFont="1" applyFill="1" applyBorder="1" applyAlignment="1">
      <alignment horizontal="center" wrapText="1"/>
    </xf>
    <xf numFmtId="0" fontId="8" fillId="0" borderId="6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3" fillId="4" borderId="20" xfId="0" applyFont="1" applyFill="1" applyBorder="1" applyAlignment="1">
      <alignment horizontal="center" wrapText="1"/>
    </xf>
    <xf numFmtId="0" fontId="23" fillId="4" borderId="18" xfId="0" applyFont="1" applyFill="1" applyBorder="1" applyAlignment="1">
      <alignment horizontal="center" wrapText="1"/>
    </xf>
    <xf numFmtId="0" fontId="23" fillId="4" borderId="8" xfId="0" applyFont="1" applyFill="1" applyBorder="1" applyAlignment="1">
      <alignment horizontal="center" wrapText="1"/>
    </xf>
    <xf numFmtId="0" fontId="23" fillId="4" borderId="2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8" fillId="4" borderId="71" xfId="0" applyFont="1" applyFill="1" applyBorder="1" applyAlignment="1">
      <alignment horizontal="center"/>
    </xf>
    <xf numFmtId="178" fontId="7" fillId="4" borderId="47" xfId="0" applyNumberFormat="1" applyFont="1" applyFill="1" applyBorder="1" applyAlignment="1">
      <alignment horizontal="center" vertical="center" wrapText="1"/>
    </xf>
    <xf numFmtId="178" fontId="7" fillId="4" borderId="72" xfId="0" applyNumberFormat="1" applyFont="1" applyFill="1" applyBorder="1" applyAlignment="1">
      <alignment horizontal="center" vertical="center" wrapText="1"/>
    </xf>
    <xf numFmtId="178" fontId="7" fillId="4" borderId="73" xfId="0" applyNumberFormat="1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72" xfId="0" applyFont="1" applyFill="1" applyBorder="1" applyAlignment="1">
      <alignment horizontal="center" vertical="center" wrapText="1"/>
    </xf>
    <xf numFmtId="0" fontId="7" fillId="4" borderId="73" xfId="0" applyFont="1" applyFill="1" applyBorder="1" applyAlignment="1">
      <alignment horizontal="center" vertical="center" wrapText="1"/>
    </xf>
    <xf numFmtId="172" fontId="7" fillId="4" borderId="47" xfId="0" applyNumberFormat="1" applyFont="1" applyFill="1" applyBorder="1" applyAlignment="1">
      <alignment horizontal="center" vertical="center" wrapText="1"/>
    </xf>
    <xf numFmtId="172" fontId="7" fillId="4" borderId="7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3" fillId="4" borderId="4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39" xfId="0" applyFont="1" applyFill="1" applyBorder="1" applyAlignment="1">
      <alignment horizontal="left"/>
    </xf>
    <xf numFmtId="0" fontId="8" fillId="4" borderId="42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left"/>
    </xf>
    <xf numFmtId="0" fontId="2" fillId="7" borderId="43" xfId="0" applyFont="1" applyFill="1" applyBorder="1" applyAlignment="1">
      <alignment horizontal="center"/>
    </xf>
    <xf numFmtId="37" fontId="2" fillId="7" borderId="43" xfId="0" applyNumberFormat="1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37" fontId="3" fillId="0" borderId="38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0" fontId="3" fillId="4" borderId="42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0" fontId="0" fillId="7" borderId="0" xfId="0" applyNumberFormat="1" applyFill="1" applyAlignment="1">
      <alignment/>
    </xf>
    <xf numFmtId="0" fontId="27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167" fontId="0" fillId="0" borderId="0" xfId="15" applyFill="1" applyAlignment="1">
      <alignment/>
    </xf>
    <xf numFmtId="37" fontId="0" fillId="0" borderId="0" xfId="0" applyNumberFormat="1" applyBorder="1" applyAlignment="1">
      <alignment/>
    </xf>
    <xf numFmtId="168" fontId="0" fillId="0" borderId="0" xfId="15" applyNumberFormat="1" applyBorder="1" applyAlignment="1">
      <alignment/>
    </xf>
    <xf numFmtId="167" fontId="0" fillId="0" borderId="0" xfId="15" applyBorder="1" applyAlignment="1">
      <alignment/>
    </xf>
    <xf numFmtId="10" fontId="0" fillId="0" borderId="0" xfId="28" applyNumberFormat="1" applyFont="1" applyBorder="1" applyAlignment="1">
      <alignment/>
    </xf>
    <xf numFmtId="10" fontId="0" fillId="0" borderId="0" xfId="28" applyNumberFormat="1" applyBorder="1" applyAlignment="1">
      <alignment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Final - 2004 RAM for rate schedule - milton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010%20Rebasing\Rate%20Application%20Files\September%202009%20-%20Working%20Model\2010%20Cost%20Allocation%20Model_091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2.75">
      <c r="A1" s="447" t="s">
        <v>274</v>
      </c>
      <c r="B1" s="447"/>
    </row>
    <row r="2" spans="1:2" ht="12.75">
      <c r="A2" s="447" t="s">
        <v>275</v>
      </c>
      <c r="B2" s="447"/>
    </row>
    <row r="3" spans="1:2" ht="12.75">
      <c r="A3" s="447"/>
      <c r="B3" s="447"/>
    </row>
    <row r="4" spans="1:2" ht="12.75">
      <c r="A4" s="448"/>
      <c r="B4" s="448"/>
    </row>
    <row r="5" spans="1:2" ht="30.75" customHeight="1">
      <c r="A5" s="446" t="s">
        <v>41</v>
      </c>
      <c r="B5" s="446"/>
    </row>
    <row r="6" ht="7.5" customHeight="1">
      <c r="A6" s="6"/>
    </row>
    <row r="7" spans="1:12" ht="18">
      <c r="A7" s="6"/>
      <c r="D7" s="57"/>
      <c r="E7" s="8"/>
      <c r="F7" s="8"/>
      <c r="G7" s="8"/>
      <c r="H7" s="8"/>
      <c r="I7" s="8"/>
      <c r="J7" s="8"/>
      <c r="K7" s="8"/>
      <c r="L7" s="8"/>
    </row>
    <row r="8" spans="1:12" ht="15.75">
      <c r="A8" s="5" t="s">
        <v>40</v>
      </c>
      <c r="B8" s="309">
        <v>12642754.15585639</v>
      </c>
      <c r="C8" s="56"/>
      <c r="D8" s="3"/>
      <c r="E8" s="8"/>
      <c r="F8" s="8"/>
      <c r="G8" s="8"/>
      <c r="H8" s="8"/>
      <c r="I8" s="8"/>
      <c r="J8" s="8"/>
      <c r="K8" s="8"/>
      <c r="L8" s="8"/>
    </row>
    <row r="9" spans="1:12" ht="15.75">
      <c r="A9" s="5" t="s">
        <v>44</v>
      </c>
      <c r="B9" s="309">
        <v>825116.4414101248</v>
      </c>
      <c r="E9" s="8"/>
      <c r="F9" s="8"/>
      <c r="G9" s="8"/>
      <c r="H9" s="8"/>
      <c r="I9" s="8"/>
      <c r="J9" s="8"/>
      <c r="K9" s="8"/>
      <c r="L9" s="8"/>
    </row>
    <row r="10" spans="1:12" ht="15.75">
      <c r="A10" s="5" t="s">
        <v>190</v>
      </c>
      <c r="B10" s="48">
        <f>+B8-B9</f>
        <v>11817637.714446265</v>
      </c>
      <c r="E10" s="8"/>
      <c r="F10" s="8"/>
      <c r="G10" s="8"/>
      <c r="H10" s="8"/>
      <c r="I10" s="8"/>
      <c r="J10" s="8"/>
      <c r="K10" s="8"/>
      <c r="L10" s="8"/>
    </row>
    <row r="11" spans="5:12" ht="12.75">
      <c r="E11" s="8"/>
      <c r="F11" s="8"/>
      <c r="G11" s="8"/>
      <c r="H11" s="8"/>
      <c r="I11" s="8"/>
      <c r="J11" s="8"/>
      <c r="K11" s="8"/>
      <c r="L11" s="8"/>
    </row>
    <row r="12" spans="1:12" ht="15.75">
      <c r="A12" s="5" t="s">
        <v>189</v>
      </c>
      <c r="B12" s="309">
        <v>21564.85</v>
      </c>
      <c r="E12" s="8"/>
      <c r="F12" s="8"/>
      <c r="G12" s="8"/>
      <c r="H12" s="8"/>
      <c r="I12" s="8"/>
      <c r="J12" s="8"/>
      <c r="K12" s="8"/>
      <c r="L12" s="8"/>
    </row>
    <row r="13" spans="1:2" ht="15.75">
      <c r="A13" s="5" t="s">
        <v>45</v>
      </c>
      <c r="B13" s="7">
        <f>-'Transformer Allowance'!C15</f>
        <v>105000</v>
      </c>
    </row>
    <row r="14" spans="1:2" ht="16.5" thickBot="1">
      <c r="A14" s="5" t="s">
        <v>46</v>
      </c>
      <c r="B14" s="49">
        <f>+B10+B12+B13</f>
        <v>11944202.564446265</v>
      </c>
    </row>
    <row r="15" ht="13.5" thickTop="1"/>
    <row r="16" spans="1:4" s="16" customFormat="1" ht="15.75">
      <c r="A16" s="21"/>
      <c r="D16"/>
    </row>
    <row r="17" spans="1:4" s="16" customFormat="1" ht="15.75">
      <c r="A17" s="21"/>
      <c r="B17" s="22"/>
      <c r="D17"/>
    </row>
    <row r="18" spans="1:2" s="16" customFormat="1" ht="15.75">
      <c r="A18" s="21"/>
      <c r="B18" s="22"/>
    </row>
    <row r="19" spans="1:2" s="16" customFormat="1" ht="15.75">
      <c r="A19" s="21"/>
      <c r="B19" s="22"/>
    </row>
    <row r="20" spans="1:2" ht="15.75">
      <c r="A20" s="5"/>
      <c r="B20" s="7"/>
    </row>
    <row r="22" spans="1:2" ht="15.75">
      <c r="A22" s="5"/>
      <c r="B22" s="7"/>
    </row>
    <row r="23" spans="1:2" ht="15.75">
      <c r="A23" s="5"/>
      <c r="B23" s="7"/>
    </row>
    <row r="24" spans="1:2" ht="15.75">
      <c r="A24" s="5"/>
      <c r="B24" s="7"/>
    </row>
    <row r="25" ht="12.75">
      <c r="B25" s="8"/>
    </row>
  </sheetData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fitToHeight="1" fitToWidth="1" horizontalDpi="355" verticalDpi="355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A1" sqref="A1:E1"/>
    </sheetView>
  </sheetViews>
  <sheetFormatPr defaultColWidth="9.140625" defaultRowHeight="12.75"/>
  <cols>
    <col min="1" max="1" width="32.7109375" style="0" bestFit="1" customWidth="1"/>
    <col min="2" max="2" width="13.421875" style="0" customWidth="1"/>
    <col min="3" max="3" width="13.57421875" style="0" customWidth="1"/>
    <col min="4" max="4" width="12.421875" style="0" customWidth="1"/>
    <col min="5" max="5" width="14.00390625" style="0" customWidth="1"/>
    <col min="6" max="6" width="2.7109375" style="0" customWidth="1"/>
    <col min="7" max="7" width="19.00390625" style="1" bestFit="1" customWidth="1"/>
    <col min="8" max="8" width="13.8515625" style="1" bestFit="1" customWidth="1"/>
    <col min="9" max="9" width="10.28125" style="1" bestFit="1" customWidth="1"/>
    <col min="10" max="11" width="14.00390625" style="1" bestFit="1" customWidth="1"/>
    <col min="12" max="12" width="13.7109375" style="1" customWidth="1"/>
  </cols>
  <sheetData>
    <row r="1" spans="1:5" ht="12.75">
      <c r="A1" s="443" t="str">
        <f>+'Revenue Input'!A1</f>
        <v>North Bay Hydro Distribution Ltd.</v>
      </c>
      <c r="B1" s="443"/>
      <c r="C1" s="443"/>
      <c r="D1" s="443"/>
      <c r="E1" s="443"/>
    </row>
    <row r="2" spans="1:5" ht="12.75">
      <c r="A2" s="443" t="str">
        <f>+'Revenue Input'!A2</f>
        <v>License Number ED-2003-0024, File Number EB-2009-0270</v>
      </c>
      <c r="B2" s="443"/>
      <c r="C2" s="443"/>
      <c r="D2" s="443"/>
      <c r="E2" s="443"/>
    </row>
    <row r="3" spans="1:5" ht="12.75">
      <c r="A3" s="443">
        <f>+'Revenue Input'!A3</f>
        <v>0</v>
      </c>
      <c r="B3" s="443"/>
      <c r="C3" s="443"/>
      <c r="D3" s="443"/>
      <c r="E3" s="443"/>
    </row>
    <row r="4" spans="1:5" ht="13.5" thickBot="1">
      <c r="A4" s="450"/>
      <c r="B4" s="450"/>
      <c r="C4" s="450"/>
      <c r="D4" s="450"/>
      <c r="E4" s="450"/>
    </row>
    <row r="5" spans="1:8" ht="21" thickBot="1">
      <c r="A5" s="478" t="s">
        <v>212</v>
      </c>
      <c r="B5" s="478"/>
      <c r="C5" s="478"/>
      <c r="D5" s="478"/>
      <c r="E5" s="478"/>
      <c r="G5" s="61" t="s">
        <v>148</v>
      </c>
      <c r="H5" s="310" t="s">
        <v>247</v>
      </c>
    </row>
    <row r="6" spans="1:5" ht="15.75">
      <c r="A6" s="477"/>
      <c r="B6" s="477"/>
      <c r="C6" s="477"/>
      <c r="D6" s="477"/>
      <c r="E6" s="477"/>
    </row>
    <row r="7" spans="1:11" ht="12.75">
      <c r="A7" s="479"/>
      <c r="B7" s="479"/>
      <c r="C7" s="479"/>
      <c r="D7" s="479"/>
      <c r="E7" s="479"/>
      <c r="F7" s="58"/>
      <c r="G7" s="58"/>
      <c r="H7" s="58"/>
      <c r="I7" s="58"/>
      <c r="J7" s="58"/>
      <c r="K7" s="58"/>
    </row>
    <row r="8" spans="1:5" ht="15.75">
      <c r="A8" s="477"/>
      <c r="B8" s="477"/>
      <c r="C8" s="477"/>
      <c r="D8" s="477"/>
      <c r="E8" s="477"/>
    </row>
    <row r="9" spans="1:12" s="8" customFormat="1" ht="18">
      <c r="A9" s="463" t="s">
        <v>213</v>
      </c>
      <c r="B9" s="463"/>
      <c r="C9" s="463"/>
      <c r="D9" s="463"/>
      <c r="E9" s="463"/>
      <c r="G9" s="18"/>
      <c r="H9" s="18"/>
      <c r="I9" s="18"/>
      <c r="J9" s="18"/>
      <c r="K9" s="18"/>
      <c r="L9" s="18"/>
    </row>
    <row r="10" spans="1:12" s="8" customFormat="1" ht="12.75">
      <c r="A10" s="88" t="s">
        <v>0</v>
      </c>
      <c r="B10" s="87" t="s">
        <v>26</v>
      </c>
      <c r="C10" s="87" t="s">
        <v>27</v>
      </c>
      <c r="D10" s="87" t="s">
        <v>18</v>
      </c>
      <c r="E10" s="87" t="s">
        <v>17</v>
      </c>
      <c r="G10" s="19"/>
      <c r="H10" s="19"/>
      <c r="I10" s="19"/>
      <c r="J10" s="19"/>
      <c r="K10" s="19"/>
      <c r="L10" s="19"/>
    </row>
    <row r="11" spans="1:12" s="8" customFormat="1" ht="18" customHeight="1">
      <c r="A11" s="110" t="str">
        <f>'Low Voltage Rates'!A8</f>
        <v>Residential</v>
      </c>
      <c r="B11" s="335">
        <v>0</v>
      </c>
      <c r="C11" s="335">
        <f>IF(+$H$5="Y",+ROUND(+'Rates By Rate Class'!D8,2),+'Rates By Rate Class'!D8)</f>
        <v>14.84</v>
      </c>
      <c r="D11" s="133">
        <v>0</v>
      </c>
      <c r="E11" s="133">
        <f>IF(+$H$5="Y",ROUND(+'Rates By Rate Class'!E8,4),+'Rates By Rate Class'!E8)</f>
        <v>0.0133</v>
      </c>
      <c r="G11" s="60"/>
      <c r="H11" s="60"/>
      <c r="I11" s="18"/>
      <c r="J11" s="18"/>
      <c r="K11" s="18"/>
      <c r="L11" s="18"/>
    </row>
    <row r="12" spans="1:12" s="8" customFormat="1" ht="18" customHeight="1">
      <c r="A12" s="110" t="str">
        <f>'Low Voltage Rates'!A9</f>
        <v>GS &lt; 50 kW</v>
      </c>
      <c r="B12" s="335">
        <v>0</v>
      </c>
      <c r="C12" s="335">
        <f>IF(+$H$5="Y",+ROUND(+'Rates By Rate Class'!D9,2),+'Rates By Rate Class'!D9)</f>
        <v>25.7</v>
      </c>
      <c r="D12" s="133">
        <v>0</v>
      </c>
      <c r="E12" s="133">
        <f>IF(+$H$5="Y",ROUND(+'Rates By Rate Class'!E9,4),+'Rates By Rate Class'!E9)</f>
        <v>0.0165</v>
      </c>
      <c r="G12" s="60"/>
      <c r="H12" s="60"/>
      <c r="I12" s="18"/>
      <c r="J12" s="18"/>
      <c r="K12" s="18"/>
      <c r="L12" s="18"/>
    </row>
    <row r="13" spans="1:12" s="8" customFormat="1" ht="18" customHeight="1">
      <c r="A13" s="110" t="str">
        <f>'Low Voltage Rates'!A10</f>
        <v>GS &gt;50</v>
      </c>
      <c r="B13" s="335">
        <v>0</v>
      </c>
      <c r="C13" s="335">
        <f>IF(+$H$5="Y",+ROUND(+'Rates By Rate Class'!D10,2),+'Rates By Rate Class'!D10)</f>
        <v>329.78</v>
      </c>
      <c r="D13" s="133">
        <f>IF(+$H$5="Y",ROUND(+'Rates By Rate Class'!E10,4),+'Rates By Rate Class'!E10)</f>
        <v>2.3014</v>
      </c>
      <c r="E13" s="133">
        <v>0</v>
      </c>
      <c r="G13" s="60"/>
      <c r="H13" s="60"/>
      <c r="I13" s="18"/>
      <c r="J13" s="18"/>
      <c r="K13" s="18"/>
      <c r="L13" s="18"/>
    </row>
    <row r="14" spans="1:12" s="8" customFormat="1" ht="18" customHeight="1">
      <c r="A14" s="110" t="str">
        <f>'Low Voltage Rates'!A11</f>
        <v>General Service &gt; 3000 to 4999 kW</v>
      </c>
      <c r="B14" s="335">
        <v>0</v>
      </c>
      <c r="C14" s="335">
        <f>IF(+$H$5="Y",+ROUND(+'Rates By Rate Class'!D11,2),+'Rates By Rate Class'!D11)</f>
        <v>4721.33</v>
      </c>
      <c r="D14" s="133">
        <f>IF(+$H$5="Y",ROUND(+'Rates By Rate Class'!E11,4),+'Rates By Rate Class'!E11)</f>
        <v>0.8599</v>
      </c>
      <c r="E14" s="133">
        <v>0</v>
      </c>
      <c r="G14" s="60"/>
      <c r="H14" s="60"/>
      <c r="I14" s="18"/>
      <c r="J14" s="18"/>
      <c r="K14" s="18"/>
      <c r="L14" s="18"/>
    </row>
    <row r="15" spans="1:12" s="8" customFormat="1" ht="18" customHeight="1">
      <c r="A15" s="110">
        <f>'Low Voltage Rates'!A12</f>
        <v>0</v>
      </c>
      <c r="B15" s="335">
        <v>0</v>
      </c>
      <c r="C15" s="335">
        <f>IF(+$H$5="Y",+ROUND(+'Rates By Rate Class'!D12,2),+'Rates By Rate Class'!D12)</f>
        <v>0</v>
      </c>
      <c r="D15" s="133">
        <f>IF(+$H$5="Y",ROUND(+'Rates By Rate Class'!E12,4),+'Rates By Rate Class'!E12)</f>
        <v>0</v>
      </c>
      <c r="E15" s="133">
        <v>0</v>
      </c>
      <c r="G15" s="60"/>
      <c r="H15" s="60"/>
      <c r="I15" s="18"/>
      <c r="J15" s="18"/>
      <c r="K15" s="18"/>
      <c r="L15" s="18"/>
    </row>
    <row r="16" spans="1:12" s="8" customFormat="1" ht="18" customHeight="1">
      <c r="A16" s="110" t="str">
        <f>'Low Voltage Rates'!A13</f>
        <v>Sentinel Lights</v>
      </c>
      <c r="B16" s="335">
        <f>IF(+$H$5="Y",+ROUND(+'Rates By Rate Class'!D13,4),+'Rates By Rate Class'!D13)</f>
        <v>3.3721</v>
      </c>
      <c r="C16" s="335">
        <v>0</v>
      </c>
      <c r="D16" s="133">
        <f>IF(+$H$5="Y",ROUND(+'Rates By Rate Class'!E13,4),+'Rates By Rate Class'!E13)</f>
        <v>11.7544</v>
      </c>
      <c r="E16" s="133">
        <v>0</v>
      </c>
      <c r="G16" s="60"/>
      <c r="H16" s="60"/>
      <c r="I16" s="18"/>
      <c r="J16" s="18"/>
      <c r="K16" s="18"/>
      <c r="L16" s="18"/>
    </row>
    <row r="17" spans="1:12" s="8" customFormat="1" ht="18" customHeight="1">
      <c r="A17" s="110" t="str">
        <f>'Low Voltage Rates'!A14</f>
        <v>Street Lighting</v>
      </c>
      <c r="B17" s="335">
        <f>IF(+$H$5="Y",+ROUND(+'Rates By Rate Class'!D14,4),+'Rates By Rate Class'!D14)</f>
        <v>2.6927</v>
      </c>
      <c r="C17" s="335">
        <v>0</v>
      </c>
      <c r="D17" s="133">
        <f>IF(+$H$5="Y",ROUND(+'Rates By Rate Class'!E14,4),+'Rates By Rate Class'!E14)</f>
        <v>14.4244</v>
      </c>
      <c r="E17" s="133">
        <v>0</v>
      </c>
      <c r="G17" s="60"/>
      <c r="H17" s="60"/>
      <c r="I17" s="18"/>
      <c r="J17" s="18"/>
      <c r="K17" s="18"/>
      <c r="L17" s="18"/>
    </row>
    <row r="18" spans="1:12" s="8" customFormat="1" ht="18" customHeight="1">
      <c r="A18" s="110" t="str">
        <f>'Low Voltage Rates'!A15</f>
        <v>USL</v>
      </c>
      <c r="B18" s="335">
        <f>IF(+$H$5="Y",+ROUND(+'Rates By Rate Class'!D15,4),+'Rates By Rate Class'!D15)</f>
        <v>25.6994</v>
      </c>
      <c r="C18" s="335">
        <v>0</v>
      </c>
      <c r="D18" s="133">
        <v>0</v>
      </c>
      <c r="E18" s="133">
        <f>IF(+$H$5="Y",ROUND(+'Rates By Rate Class'!E15,4),+'Rates By Rate Class'!E15)</f>
        <v>0.0221</v>
      </c>
      <c r="G18" s="60"/>
      <c r="H18" s="60"/>
      <c r="I18" s="18"/>
      <c r="J18" s="18"/>
      <c r="K18" s="18"/>
      <c r="L18" s="18"/>
    </row>
    <row r="19" spans="1:12" s="8" customFormat="1" ht="18" customHeight="1">
      <c r="A19" s="110">
        <f>'Low Voltage Rates'!A16</f>
        <v>0</v>
      </c>
      <c r="B19" s="335">
        <v>0</v>
      </c>
      <c r="C19" s="335">
        <v>0</v>
      </c>
      <c r="D19" s="133">
        <f>IF(+$H$5="Y",ROUND(+'Rates By Rate Class'!E16,4),+'Rates By Rate Class'!E16)</f>
        <v>0</v>
      </c>
      <c r="E19" s="133">
        <v>0</v>
      </c>
      <c r="G19" s="60"/>
      <c r="H19" s="60"/>
      <c r="I19" s="18"/>
      <c r="J19" s="18"/>
      <c r="K19" s="20"/>
      <c r="L19" s="18"/>
    </row>
    <row r="20" spans="1:12" ht="18.75" customHeight="1">
      <c r="A20" s="477"/>
      <c r="B20" s="477"/>
      <c r="C20" s="477"/>
      <c r="D20" s="477"/>
      <c r="E20" s="477"/>
      <c r="G20" s="18"/>
      <c r="H20" s="18"/>
      <c r="I20" s="18"/>
      <c r="J20" s="18"/>
      <c r="K20" s="18"/>
      <c r="L20" s="18"/>
    </row>
    <row r="21" spans="1:12" s="8" customFormat="1" ht="18">
      <c r="A21" s="463" t="s">
        <v>214</v>
      </c>
      <c r="B21" s="463"/>
      <c r="C21" s="463"/>
      <c r="D21" s="463"/>
      <c r="E21" s="463"/>
      <c r="G21" s="18"/>
      <c r="H21" s="18"/>
      <c r="I21" s="18"/>
      <c r="J21" s="18"/>
      <c r="K21" s="18"/>
      <c r="L21" s="18"/>
    </row>
    <row r="22" spans="1:12" s="8" customFormat="1" ht="12.75">
      <c r="A22" s="88" t="s">
        <v>0</v>
      </c>
      <c r="B22" s="87" t="s">
        <v>26</v>
      </c>
      <c r="C22" s="87" t="s">
        <v>27</v>
      </c>
      <c r="D22" s="87" t="s">
        <v>18</v>
      </c>
      <c r="E22" s="87" t="s">
        <v>17</v>
      </c>
      <c r="G22" s="18"/>
      <c r="H22" s="18"/>
      <c r="I22" s="18"/>
      <c r="J22" s="18"/>
      <c r="K22" s="18"/>
      <c r="L22" s="18"/>
    </row>
    <row r="23" spans="1:12" s="8" customFormat="1" ht="18" customHeight="1">
      <c r="A23" s="110" t="str">
        <f aca="true" t="shared" si="0" ref="A23:A31">A11</f>
        <v>Residential</v>
      </c>
      <c r="B23" s="133"/>
      <c r="C23" s="133"/>
      <c r="D23" s="133"/>
      <c r="E23" s="133">
        <f>IF(+$H$5="Y",+ROUND(+'Low Voltage Rates'!F8,4),+'Low Voltage Rates'!F8)</f>
        <v>0</v>
      </c>
      <c r="G23" s="60"/>
      <c r="H23" s="60"/>
      <c r="I23" s="18"/>
      <c r="J23" s="18"/>
      <c r="K23" s="18"/>
      <c r="L23" s="18"/>
    </row>
    <row r="24" spans="1:12" s="8" customFormat="1" ht="18" customHeight="1">
      <c r="A24" s="110" t="str">
        <f t="shared" si="0"/>
        <v>GS &lt; 50 kW</v>
      </c>
      <c r="B24" s="133"/>
      <c r="C24" s="133"/>
      <c r="D24" s="133"/>
      <c r="E24" s="133">
        <f>IF(+$H$5="Y",+ROUND(+'Low Voltage Rates'!F9,4),+'Low Voltage Rates'!F9)</f>
        <v>0</v>
      </c>
      <c r="G24" s="60"/>
      <c r="H24" s="60"/>
      <c r="I24" s="18"/>
      <c r="J24" s="18"/>
      <c r="K24" s="18"/>
      <c r="L24" s="18"/>
    </row>
    <row r="25" spans="1:12" s="8" customFormat="1" ht="18" customHeight="1">
      <c r="A25" s="110" t="str">
        <f t="shared" si="0"/>
        <v>GS &gt;50</v>
      </c>
      <c r="B25" s="133"/>
      <c r="C25" s="133"/>
      <c r="D25" s="133">
        <f>IF(+$H$5="Y",+ROUND(+'Low Voltage Rates'!G10,4),+'Low Voltage Rates'!G10)</f>
        <v>0.0139</v>
      </c>
      <c r="E25" s="133"/>
      <c r="G25" s="60"/>
      <c r="H25" s="60"/>
      <c r="I25" s="18"/>
      <c r="J25" s="18"/>
      <c r="K25" s="18"/>
      <c r="L25" s="18"/>
    </row>
    <row r="26" spans="1:12" s="8" customFormat="1" ht="18" customHeight="1">
      <c r="A26" s="110" t="str">
        <f t="shared" si="0"/>
        <v>General Service &gt; 3000 to 4999 kW</v>
      </c>
      <c r="B26" s="133"/>
      <c r="C26" s="133"/>
      <c r="D26" s="133">
        <f>IF(+$H$5="Y",+ROUND(+'Low Voltage Rates'!G11,4),+'Low Voltage Rates'!G11)</f>
        <v>0.0154</v>
      </c>
      <c r="E26" s="133"/>
      <c r="G26" s="60"/>
      <c r="H26" s="60"/>
      <c r="I26" s="18"/>
      <c r="J26" s="18"/>
      <c r="K26" s="18"/>
      <c r="L26" s="18"/>
    </row>
    <row r="27" spans="1:12" s="8" customFormat="1" ht="18" customHeight="1">
      <c r="A27" s="110">
        <f t="shared" si="0"/>
        <v>0</v>
      </c>
      <c r="B27" s="133"/>
      <c r="C27" s="133"/>
      <c r="D27" s="133">
        <f>IF(+$H$5="Y",+ROUND(+'Low Voltage Rates'!G12,4),+'Low Voltage Rates'!G12)</f>
        <v>0</v>
      </c>
      <c r="E27" s="133"/>
      <c r="G27" s="60"/>
      <c r="H27" s="60"/>
      <c r="I27" s="18"/>
      <c r="J27" s="18"/>
      <c r="K27" s="18"/>
      <c r="L27" s="18"/>
    </row>
    <row r="28" spans="1:12" s="8" customFormat="1" ht="18" customHeight="1">
      <c r="A28" s="110" t="str">
        <f t="shared" si="0"/>
        <v>Sentinel Lights</v>
      </c>
      <c r="B28" s="133"/>
      <c r="C28" s="133"/>
      <c r="D28" s="133">
        <f>IF(+$H$5="Y",+ROUND(+'Low Voltage Rates'!G13,4),+'Low Voltage Rates'!G13)</f>
        <v>0.011</v>
      </c>
      <c r="E28" s="133"/>
      <c r="G28" s="60"/>
      <c r="H28" s="60"/>
      <c r="I28" s="18"/>
      <c r="J28" s="18"/>
      <c r="K28" s="18"/>
      <c r="L28" s="18"/>
    </row>
    <row r="29" spans="1:12" s="8" customFormat="1" ht="18" customHeight="1">
      <c r="A29" s="110" t="str">
        <f t="shared" si="0"/>
        <v>Street Lighting</v>
      </c>
      <c r="B29" s="133"/>
      <c r="C29" s="133"/>
      <c r="D29" s="133">
        <f>IF(+$H$5="Y",+ROUND(+'Low Voltage Rates'!G14,4),+'Low Voltage Rates'!G14)</f>
        <v>0.0108</v>
      </c>
      <c r="E29" s="133"/>
      <c r="G29" s="60"/>
      <c r="H29" s="60"/>
      <c r="I29" s="18"/>
      <c r="J29" s="18"/>
      <c r="K29" s="18"/>
      <c r="L29" s="18"/>
    </row>
    <row r="30" spans="1:12" s="8" customFormat="1" ht="18" customHeight="1">
      <c r="A30" s="110" t="str">
        <f t="shared" si="0"/>
        <v>USL</v>
      </c>
      <c r="B30" s="133"/>
      <c r="C30" s="133"/>
      <c r="D30" s="133"/>
      <c r="E30" s="133">
        <f>IF(+$H$5="Y",+ROUND(+'Low Voltage Rates'!F15,4),+'Low Voltage Rates'!F15)</f>
        <v>0</v>
      </c>
      <c r="G30" s="60"/>
      <c r="H30" s="60"/>
      <c r="I30" s="18"/>
      <c r="J30" s="18"/>
      <c r="K30" s="18"/>
      <c r="L30" s="18"/>
    </row>
    <row r="31" spans="1:12" s="8" customFormat="1" ht="18" customHeight="1">
      <c r="A31" s="110">
        <f t="shared" si="0"/>
        <v>0</v>
      </c>
      <c r="B31" s="133"/>
      <c r="C31" s="133"/>
      <c r="D31" s="133"/>
      <c r="E31" s="133">
        <f>IF(+$H$5="Y",+ROUND(+'Low Voltage Rates'!F16,4),+'Low Voltage Rates'!F16)</f>
        <v>0</v>
      </c>
      <c r="G31" s="60"/>
      <c r="H31" s="60"/>
      <c r="I31" s="18"/>
      <c r="J31" s="18"/>
      <c r="K31" s="20"/>
      <c r="L31" s="18"/>
    </row>
    <row r="32" spans="1:12" s="8" customFormat="1" ht="15.75">
      <c r="A32" s="477"/>
      <c r="B32" s="477"/>
      <c r="C32" s="477"/>
      <c r="D32" s="477"/>
      <c r="E32" s="477"/>
      <c r="G32" s="18"/>
      <c r="H32" s="18"/>
      <c r="I32" s="18"/>
      <c r="J32" s="18"/>
      <c r="K32" s="18"/>
      <c r="L32" s="18"/>
    </row>
    <row r="33" spans="1:12" s="8" customFormat="1" ht="18">
      <c r="A33" s="463" t="s">
        <v>215</v>
      </c>
      <c r="B33" s="463"/>
      <c r="C33" s="463"/>
      <c r="D33" s="463"/>
      <c r="E33" s="463"/>
      <c r="G33" s="18"/>
      <c r="H33" s="18"/>
      <c r="I33" s="18"/>
      <c r="J33" s="18"/>
      <c r="K33" s="18"/>
      <c r="L33" s="18"/>
    </row>
    <row r="34" spans="1:12" s="8" customFormat="1" ht="12.75">
      <c r="A34" s="88" t="s">
        <v>0</v>
      </c>
      <c r="B34" s="87" t="s">
        <v>26</v>
      </c>
      <c r="C34" s="87" t="s">
        <v>27</v>
      </c>
      <c r="D34" s="87" t="s">
        <v>18</v>
      </c>
      <c r="E34" s="87" t="s">
        <v>17</v>
      </c>
      <c r="G34" s="19"/>
      <c r="H34" s="19"/>
      <c r="I34" s="19"/>
      <c r="J34" s="19"/>
      <c r="K34" s="19"/>
      <c r="L34" s="19"/>
    </row>
    <row r="35" spans="1:13" s="8" customFormat="1" ht="18" customHeight="1">
      <c r="A35" s="110" t="str">
        <f aca="true" t="shared" si="1" ref="A35:A43">A23</f>
        <v>Residential</v>
      </c>
      <c r="B35" s="335">
        <f aca="true" t="shared" si="2" ref="B35:E41">+B11+B23</f>
        <v>0</v>
      </c>
      <c r="C35" s="335">
        <f t="shared" si="2"/>
        <v>14.84</v>
      </c>
      <c r="D35" s="133">
        <f t="shared" si="2"/>
        <v>0</v>
      </c>
      <c r="E35" s="133">
        <f t="shared" si="2"/>
        <v>0.0133</v>
      </c>
      <c r="G35" s="60"/>
      <c r="H35" s="60"/>
      <c r="I35" s="18"/>
      <c r="J35" s="18"/>
      <c r="K35" s="18"/>
      <c r="L35" s="18"/>
      <c r="M35" s="132"/>
    </row>
    <row r="36" spans="1:13" s="8" customFormat="1" ht="18" customHeight="1">
      <c r="A36" s="110" t="str">
        <f t="shared" si="1"/>
        <v>GS &lt; 50 kW</v>
      </c>
      <c r="B36" s="335">
        <f t="shared" si="2"/>
        <v>0</v>
      </c>
      <c r="C36" s="335">
        <f t="shared" si="2"/>
        <v>25.7</v>
      </c>
      <c r="D36" s="133">
        <f t="shared" si="2"/>
        <v>0</v>
      </c>
      <c r="E36" s="133">
        <f t="shared" si="2"/>
        <v>0.0165</v>
      </c>
      <c r="G36" s="60"/>
      <c r="H36" s="60"/>
      <c r="I36" s="18"/>
      <c r="J36" s="18"/>
      <c r="K36" s="18"/>
      <c r="L36" s="18"/>
      <c r="M36" s="132"/>
    </row>
    <row r="37" spans="1:13" s="8" customFormat="1" ht="18" customHeight="1">
      <c r="A37" s="110" t="str">
        <f t="shared" si="1"/>
        <v>GS &gt;50</v>
      </c>
      <c r="B37" s="335">
        <f t="shared" si="2"/>
        <v>0</v>
      </c>
      <c r="C37" s="335">
        <f t="shared" si="2"/>
        <v>329.78</v>
      </c>
      <c r="D37" s="133">
        <f t="shared" si="2"/>
        <v>2.3153</v>
      </c>
      <c r="E37" s="133">
        <f t="shared" si="2"/>
        <v>0</v>
      </c>
      <c r="G37" s="60"/>
      <c r="H37" s="60"/>
      <c r="I37" s="18"/>
      <c r="J37" s="18"/>
      <c r="K37" s="18"/>
      <c r="L37" s="18"/>
      <c r="M37" s="132"/>
    </row>
    <row r="38" spans="1:13" s="8" customFormat="1" ht="18" customHeight="1">
      <c r="A38" s="110" t="str">
        <f t="shared" si="1"/>
        <v>General Service &gt; 3000 to 4999 kW</v>
      </c>
      <c r="B38" s="335">
        <f t="shared" si="2"/>
        <v>0</v>
      </c>
      <c r="C38" s="335">
        <f t="shared" si="2"/>
        <v>4721.33</v>
      </c>
      <c r="D38" s="133">
        <f t="shared" si="2"/>
        <v>0.8753</v>
      </c>
      <c r="E38" s="133">
        <f t="shared" si="2"/>
        <v>0</v>
      </c>
      <c r="G38" s="60"/>
      <c r="H38" s="60"/>
      <c r="I38" s="18"/>
      <c r="J38" s="18"/>
      <c r="K38" s="18"/>
      <c r="L38" s="18"/>
      <c r="M38" s="132"/>
    </row>
    <row r="39" spans="1:13" s="8" customFormat="1" ht="18" customHeight="1">
      <c r="A39" s="110">
        <f t="shared" si="1"/>
        <v>0</v>
      </c>
      <c r="B39" s="335">
        <f t="shared" si="2"/>
        <v>0</v>
      </c>
      <c r="C39" s="335">
        <f t="shared" si="2"/>
        <v>0</v>
      </c>
      <c r="D39" s="133">
        <f t="shared" si="2"/>
        <v>0</v>
      </c>
      <c r="E39" s="133">
        <f t="shared" si="2"/>
        <v>0</v>
      </c>
      <c r="G39" s="60"/>
      <c r="H39" s="60"/>
      <c r="I39" s="18"/>
      <c r="J39" s="18"/>
      <c r="K39" s="18"/>
      <c r="L39" s="18"/>
      <c r="M39" s="132"/>
    </row>
    <row r="40" spans="1:13" s="8" customFormat="1" ht="18" customHeight="1">
      <c r="A40" s="110" t="str">
        <f t="shared" si="1"/>
        <v>Sentinel Lights</v>
      </c>
      <c r="B40" s="335">
        <f t="shared" si="2"/>
        <v>3.3721</v>
      </c>
      <c r="C40" s="335">
        <f t="shared" si="2"/>
        <v>0</v>
      </c>
      <c r="D40" s="133">
        <f t="shared" si="2"/>
        <v>11.7654</v>
      </c>
      <c r="E40" s="133">
        <f t="shared" si="2"/>
        <v>0</v>
      </c>
      <c r="G40" s="60"/>
      <c r="H40" s="60"/>
      <c r="I40" s="18"/>
      <c r="J40" s="18"/>
      <c r="K40" s="18"/>
      <c r="L40" s="18"/>
      <c r="M40" s="132"/>
    </row>
    <row r="41" spans="1:13" s="8" customFormat="1" ht="18" customHeight="1">
      <c r="A41" s="110" t="str">
        <f t="shared" si="1"/>
        <v>Street Lighting</v>
      </c>
      <c r="B41" s="335">
        <f t="shared" si="2"/>
        <v>2.6927</v>
      </c>
      <c r="C41" s="335">
        <f t="shared" si="2"/>
        <v>0</v>
      </c>
      <c r="D41" s="133">
        <f t="shared" si="2"/>
        <v>14.4352</v>
      </c>
      <c r="E41" s="133">
        <f t="shared" si="2"/>
        <v>0</v>
      </c>
      <c r="G41" s="60"/>
      <c r="H41" s="60"/>
      <c r="I41" s="18"/>
      <c r="J41" s="18"/>
      <c r="K41" s="18"/>
      <c r="L41" s="18"/>
      <c r="M41" s="132"/>
    </row>
    <row r="42" spans="1:13" s="8" customFormat="1" ht="18" customHeight="1">
      <c r="A42" s="110" t="str">
        <f t="shared" si="1"/>
        <v>USL</v>
      </c>
      <c r="B42" s="335">
        <f aca="true" t="shared" si="3" ref="B42:E43">+B18+B30</f>
        <v>25.6994</v>
      </c>
      <c r="C42" s="335">
        <f t="shared" si="3"/>
        <v>0</v>
      </c>
      <c r="D42" s="133">
        <f t="shared" si="3"/>
        <v>0</v>
      </c>
      <c r="E42" s="133">
        <f t="shared" si="3"/>
        <v>0.0221</v>
      </c>
      <c r="G42" s="60"/>
      <c r="H42" s="60"/>
      <c r="I42" s="18"/>
      <c r="J42" s="18"/>
      <c r="K42" s="18"/>
      <c r="L42" s="18"/>
      <c r="M42" s="132"/>
    </row>
    <row r="43" spans="1:13" s="8" customFormat="1" ht="18" customHeight="1">
      <c r="A43" s="110">
        <f t="shared" si="1"/>
        <v>0</v>
      </c>
      <c r="B43" s="335">
        <f t="shared" si="3"/>
        <v>0</v>
      </c>
      <c r="C43" s="335">
        <f t="shared" si="3"/>
        <v>0</v>
      </c>
      <c r="D43" s="133">
        <f t="shared" si="3"/>
        <v>0</v>
      </c>
      <c r="E43" s="133">
        <f t="shared" si="3"/>
        <v>0</v>
      </c>
      <c r="G43" s="60"/>
      <c r="H43" s="60"/>
      <c r="I43" s="18"/>
      <c r="J43" s="18"/>
      <c r="K43" s="20"/>
      <c r="L43" s="18"/>
      <c r="M43" s="132"/>
    </row>
    <row r="44" spans="1:12" s="8" customFormat="1" ht="16.5" thickBot="1">
      <c r="A44" s="477"/>
      <c r="B44" s="477"/>
      <c r="C44" s="477"/>
      <c r="D44" s="477"/>
      <c r="E44" s="477"/>
      <c r="G44" s="18"/>
      <c r="H44" s="18"/>
      <c r="I44" s="18"/>
      <c r="J44" s="18"/>
      <c r="K44" s="18"/>
      <c r="L44" s="18"/>
    </row>
    <row r="45" spans="1:12" s="8" customFormat="1" ht="18" customHeight="1" thickBot="1">
      <c r="A45" s="57" t="s">
        <v>155</v>
      </c>
      <c r="B45" s="64"/>
      <c r="C45" s="64"/>
      <c r="D45" s="134">
        <f>'Transformer Allowance'!B17</f>
        <v>-0.6</v>
      </c>
      <c r="E45" s="64"/>
      <c r="G45" s="18"/>
      <c r="H45" s="18"/>
      <c r="I45" s="18"/>
      <c r="J45" s="18"/>
      <c r="K45" s="18"/>
      <c r="L45" s="18"/>
    </row>
  </sheetData>
  <mergeCells count="14">
    <mergeCell ref="A7:E7"/>
    <mergeCell ref="A6:E6"/>
    <mergeCell ref="A8:E8"/>
    <mergeCell ref="A20:E20"/>
    <mergeCell ref="A32:E32"/>
    <mergeCell ref="A44:E44"/>
    <mergeCell ref="A1:E1"/>
    <mergeCell ref="A2:E2"/>
    <mergeCell ref="A3:E3"/>
    <mergeCell ref="A4:E4"/>
    <mergeCell ref="A9:E9"/>
    <mergeCell ref="A5:E5"/>
    <mergeCell ref="A21:E21"/>
    <mergeCell ref="A33:E33"/>
  </mergeCells>
  <printOptions/>
  <pageMargins left="0.75" right="0.75" top="1" bottom="1" header="0.5" footer="0.5"/>
  <pageSetup fitToHeight="1" fitToWidth="1" horizontalDpi="355" verticalDpi="355" orientation="portrait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B17" sqref="B17"/>
    </sheetView>
  </sheetViews>
  <sheetFormatPr defaultColWidth="9.140625" defaultRowHeight="12.75"/>
  <cols>
    <col min="1" max="1" width="27.7109375" style="0" customWidth="1"/>
    <col min="2" max="3" width="11.57421875" style="0" bestFit="1" customWidth="1"/>
    <col min="4" max="4" width="15.140625" style="0" customWidth="1"/>
    <col min="5" max="5" width="8.28125" style="0" customWidth="1"/>
    <col min="6" max="6" width="11.7109375" style="0" customWidth="1"/>
    <col min="7" max="7" width="13.57421875" style="0" customWidth="1"/>
    <col min="8" max="8" width="12.421875" style="0" customWidth="1"/>
    <col min="9" max="9" width="13.7109375" style="0" customWidth="1"/>
    <col min="10" max="10" width="13.00390625" style="0" customWidth="1"/>
    <col min="11" max="11" width="15.00390625" style="0" customWidth="1"/>
    <col min="12" max="12" width="13.00390625" style="0" customWidth="1"/>
    <col min="13" max="13" width="2.28125" style="0" customWidth="1"/>
    <col min="14" max="14" width="22.28125" style="0" customWidth="1"/>
  </cols>
  <sheetData>
    <row r="1" spans="1:12" ht="12.75">
      <c r="A1" s="443" t="str">
        <f>+'Revenue Input'!A1</f>
        <v>North Bay Hydro Distribution Ltd.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2.75">
      <c r="A2" s="443" t="str">
        <f>+'Revenue Input'!A2</f>
        <v>License Number ED-2003-0024, File Number EB-2009-0270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1:12" ht="12.75">
      <c r="A3" s="443">
        <f>+'Revenue Input'!A3</f>
        <v>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ht="13.5" thickBot="1">
      <c r="A4" s="450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</row>
    <row r="5" spans="1:15" ht="21" thickBot="1">
      <c r="A5" s="476" t="s">
        <v>216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N5" s="57" t="s">
        <v>169</v>
      </c>
      <c r="O5" s="135" t="str">
        <f>'Distribution Rate Schedule'!H5</f>
        <v>Y</v>
      </c>
    </row>
    <row r="6" spans="1:12" ht="25.5">
      <c r="A6" s="481" t="s">
        <v>156</v>
      </c>
      <c r="B6" s="480" t="s">
        <v>238</v>
      </c>
      <c r="C6" s="480"/>
      <c r="D6" s="136" t="s">
        <v>239</v>
      </c>
      <c r="E6" s="136"/>
      <c r="F6" s="480" t="s">
        <v>157</v>
      </c>
      <c r="G6" s="480"/>
      <c r="H6" s="480"/>
      <c r="I6" s="136" t="s">
        <v>158</v>
      </c>
      <c r="J6" s="136" t="s">
        <v>159</v>
      </c>
      <c r="K6" s="136" t="s">
        <v>166</v>
      </c>
      <c r="L6" s="136" t="s">
        <v>167</v>
      </c>
    </row>
    <row r="7" spans="1:12" ht="12.75">
      <c r="A7" s="482"/>
      <c r="B7" s="136" t="s">
        <v>160</v>
      </c>
      <c r="C7" s="136" t="s">
        <v>161</v>
      </c>
      <c r="D7" s="136"/>
      <c r="E7" s="136"/>
      <c r="F7" s="136" t="s">
        <v>160</v>
      </c>
      <c r="G7" s="136" t="s">
        <v>161</v>
      </c>
      <c r="H7" s="136" t="s">
        <v>42</v>
      </c>
      <c r="I7" s="136" t="s">
        <v>42</v>
      </c>
      <c r="J7" s="136" t="s">
        <v>42</v>
      </c>
      <c r="K7" s="136" t="s">
        <v>168</v>
      </c>
      <c r="L7" s="136" t="s">
        <v>42</v>
      </c>
    </row>
    <row r="8" spans="1:12" ht="24.75" customHeight="1">
      <c r="A8" s="483"/>
      <c r="B8" s="137" t="s">
        <v>162</v>
      </c>
      <c r="C8" s="137" t="s">
        <v>162</v>
      </c>
      <c r="D8" s="137"/>
      <c r="E8" s="137" t="s">
        <v>184</v>
      </c>
      <c r="F8" s="136" t="s">
        <v>163</v>
      </c>
      <c r="G8" s="136" t="s">
        <v>163</v>
      </c>
      <c r="H8" s="138" t="s">
        <v>163</v>
      </c>
      <c r="I8" s="138" t="s">
        <v>163</v>
      </c>
      <c r="J8" s="138" t="s">
        <v>163</v>
      </c>
      <c r="K8" s="139">
        <v>3</v>
      </c>
      <c r="L8" s="138" t="s">
        <v>163</v>
      </c>
    </row>
    <row r="9" spans="1:12" ht="19.5" customHeight="1">
      <c r="A9" s="312" t="str">
        <f>'Distribution Rate Schedule'!A11</f>
        <v>Residential</v>
      </c>
      <c r="B9" s="298">
        <v>228240.41223522509</v>
      </c>
      <c r="C9" s="298">
        <v>44289.19653650759</v>
      </c>
      <c r="D9" s="299">
        <f>'Forecast Data For 2010'!G8</f>
        <v>214191102.73851258</v>
      </c>
      <c r="E9" s="300" t="s">
        <v>17</v>
      </c>
      <c r="F9" s="302">
        <f>B9/D9</f>
        <v>0.001065592404712833</v>
      </c>
      <c r="G9" s="302">
        <f>C9/D9</f>
        <v>0.0002067742122350266</v>
      </c>
      <c r="H9" s="302">
        <f>SUM(F9:G9)</f>
        <v>0.0012723666169478596</v>
      </c>
      <c r="I9" s="302">
        <f>H9/2</f>
        <v>0.0006361833084739298</v>
      </c>
      <c r="J9" s="302">
        <f>H9/3</f>
        <v>0.00042412220564928653</v>
      </c>
      <c r="K9" s="301"/>
      <c r="L9" s="308">
        <f>IF($O$5="Y",ROUND(IF($K$8=2,I9,IF($K$8=3,J9,0)),4),IF($K$8=2,I9,IF($K$8=3,J9,0)))</f>
        <v>0.0004</v>
      </c>
    </row>
    <row r="10" spans="1:12" ht="19.5" customHeight="1">
      <c r="A10" s="312" t="str">
        <f>'Distribution Rate Schedule'!A12</f>
        <v>GS &lt; 50 kW</v>
      </c>
      <c r="B10" s="298">
        <v>40156.57729591335</v>
      </c>
      <c r="C10" s="298">
        <v>14394.068021463154</v>
      </c>
      <c r="D10" s="299">
        <f>'Forecast Data For 2010'!G10</f>
        <v>84727250.46692923</v>
      </c>
      <c r="E10" s="300" t="s">
        <v>17</v>
      </c>
      <c r="F10" s="302">
        <f>B10/D10</f>
        <v>0.0004739511441078485</v>
      </c>
      <c r="G10" s="302">
        <f>C10/D10</f>
        <v>0.00016988711355718372</v>
      </c>
      <c r="H10" s="302">
        <f>SUM(F10:G10)</f>
        <v>0.0006438382576650322</v>
      </c>
      <c r="I10" s="302">
        <f>H10/2</f>
        <v>0.0003219191288325161</v>
      </c>
      <c r="J10" s="302">
        <f>H10/3</f>
        <v>0.00021461275255501072</v>
      </c>
      <c r="K10" s="301"/>
      <c r="L10" s="308">
        <f>IF($O$5="Y",ROUND(IF($K$8=2,I10,IF($K$8=3,J10,0)),4),IF($K$8=2,I10,IF($K$8=3,J10,0)))</f>
        <v>0.0002</v>
      </c>
    </row>
    <row r="11" spans="1:15" ht="19.5" customHeight="1">
      <c r="A11" s="312" t="str">
        <f>'Distribution Rate Schedule'!A13</f>
        <v>GS &gt;50</v>
      </c>
      <c r="B11" s="298">
        <v>68296.90634112258</v>
      </c>
      <c r="C11" s="298">
        <v>61382.085995294576</v>
      </c>
      <c r="D11" s="299">
        <f>'Forecast Data For 2010'!G12</f>
        <v>636801.6337217108</v>
      </c>
      <c r="E11" s="300" t="s">
        <v>18</v>
      </c>
      <c r="F11" s="302">
        <f>B11/D11</f>
        <v>0.1072498918414664</v>
      </c>
      <c r="G11" s="302">
        <f>C11/D11</f>
        <v>0.09639121940776806</v>
      </c>
      <c r="H11" s="302">
        <f>SUM(F11:G11)</f>
        <v>0.20364111124923445</v>
      </c>
      <c r="I11" s="302">
        <f>H11/2</f>
        <v>0.10182055562461723</v>
      </c>
      <c r="J11" s="302">
        <f>H11/3</f>
        <v>0.06788037041641148</v>
      </c>
      <c r="K11" s="301"/>
      <c r="L11" s="308">
        <f>IF($O$5="Y",ROUND(IF($K$8=2,I11,IF($K$8=3,J11,0)),4),IF($K$8=2,I11,IF($K$8=3,J11,0)))</f>
        <v>0.0679</v>
      </c>
      <c r="M11" s="57"/>
      <c r="N11" s="8"/>
      <c r="O11" s="8"/>
    </row>
    <row r="12" spans="1:15" ht="25.5">
      <c r="A12" s="312" t="str">
        <f>'Distribution Rate Schedule'!A14</f>
        <v>General Service &gt; 3000 to 4999 kW</v>
      </c>
      <c r="B12" s="298">
        <v>132.89054208314525</v>
      </c>
      <c r="C12" s="298">
        <v>3636.4041692729897</v>
      </c>
      <c r="D12" s="299">
        <f>'Forecast Data For 2010'!G15</f>
        <v>77038.35795267772</v>
      </c>
      <c r="E12" s="300" t="s">
        <v>18</v>
      </c>
      <c r="F12" s="302">
        <f>B12/D12</f>
        <v>0.001724991882157922</v>
      </c>
      <c r="G12" s="302">
        <f>C12/D12</f>
        <v>0.04720251399318143</v>
      </c>
      <c r="H12" s="302">
        <f>SUM(F12:G12)</f>
        <v>0.04892750587533935</v>
      </c>
      <c r="I12" s="302">
        <f>H12/2</f>
        <v>0.024463752937669676</v>
      </c>
      <c r="J12" s="302">
        <f>H12/3</f>
        <v>0.016309168625113116</v>
      </c>
      <c r="K12" s="301"/>
      <c r="L12" s="308">
        <f>IF($O$5="Y",ROUND(IF($K$8=2,I12,IF($K$8=3,J12,0)),4),IF($K$8=2,I12,IF($K$8=3,J12,0)))</f>
        <v>0.0163</v>
      </c>
      <c r="M12" s="57"/>
      <c r="N12" s="8"/>
      <c r="O12" s="8"/>
    </row>
    <row r="13" spans="1:15" ht="19.5" customHeight="1">
      <c r="A13" s="312">
        <f>'Distribution Rate Schedule'!A15</f>
        <v>0</v>
      </c>
      <c r="B13" s="298"/>
      <c r="C13" s="298"/>
      <c r="D13" s="299"/>
      <c r="E13" s="300"/>
      <c r="F13" s="302"/>
      <c r="G13" s="302"/>
      <c r="H13" s="302"/>
      <c r="I13" s="302"/>
      <c r="J13" s="302"/>
      <c r="K13" s="301"/>
      <c r="L13" s="308"/>
      <c r="M13" s="57"/>
      <c r="N13" s="8"/>
      <c r="O13" s="8"/>
    </row>
    <row r="14" spans="1:15" ht="19.5" customHeight="1">
      <c r="A14" s="312" t="str">
        <f>'Distribution Rate Schedule'!A16</f>
        <v>Sentinel Lights</v>
      </c>
      <c r="B14" s="298">
        <v>0</v>
      </c>
      <c r="C14" s="298">
        <v>0</v>
      </c>
      <c r="D14" s="299">
        <f>'Forecast Data For 2010'!G21</f>
        <v>1410.8624183098857</v>
      </c>
      <c r="E14" s="300" t="s">
        <v>18</v>
      </c>
      <c r="F14" s="302">
        <f>B14/D14</f>
        <v>0</v>
      </c>
      <c r="G14" s="302">
        <f>C14/D14</f>
        <v>0</v>
      </c>
      <c r="H14" s="302">
        <f>SUM(F14:G14)</f>
        <v>0</v>
      </c>
      <c r="I14" s="302">
        <f>H14/2</f>
        <v>0</v>
      </c>
      <c r="J14" s="302">
        <f>H14/3</f>
        <v>0</v>
      </c>
      <c r="K14" s="301"/>
      <c r="L14" s="308">
        <f>IF($O$5="Y",ROUND(IF($K$8=2,I14,IF($K$8=3,J14,0)),4),IF($K$8=2,I14,IF($K$8=3,J14,0)))</f>
        <v>0</v>
      </c>
      <c r="M14" s="57"/>
      <c r="N14" s="8"/>
      <c r="O14" s="8"/>
    </row>
    <row r="15" spans="1:12" ht="19.5" customHeight="1">
      <c r="A15" s="312" t="str">
        <f>'Distribution Rate Schedule'!A17</f>
        <v>Street Lighting</v>
      </c>
      <c r="B15" s="298">
        <v>0</v>
      </c>
      <c r="C15" s="298">
        <v>0</v>
      </c>
      <c r="D15" s="299">
        <f>'Forecast Data For 2010'!G24</f>
        <v>7702.034866145907</v>
      </c>
      <c r="E15" s="300" t="s">
        <v>18</v>
      </c>
      <c r="F15" s="302">
        <f>B15/D15</f>
        <v>0</v>
      </c>
      <c r="G15" s="302">
        <f>C15/D15</f>
        <v>0</v>
      </c>
      <c r="H15" s="302">
        <f>SUM(F15:G15)</f>
        <v>0</v>
      </c>
      <c r="I15" s="302">
        <f>H15/2</f>
        <v>0</v>
      </c>
      <c r="J15" s="302">
        <f>H15/3</f>
        <v>0</v>
      </c>
      <c r="K15" s="301"/>
      <c r="L15" s="308">
        <f>IF($O$5="Y",ROUND(IF($K$8=2,I15,IF($K$8=3,J15,0)),4),IF($K$8=2,I15,IF($K$8=3,J15,0)))</f>
        <v>0</v>
      </c>
    </row>
    <row r="16" spans="1:12" ht="19.5" customHeight="1">
      <c r="A16" s="312" t="str">
        <f>'Distribution Rate Schedule'!A18</f>
        <v>USL</v>
      </c>
      <c r="B16" s="298">
        <v>1728.8074261187567</v>
      </c>
      <c r="C16" s="298">
        <v>745.040717155531</v>
      </c>
      <c r="D16" s="299">
        <f>'Forecast Data For 2010'!G27</f>
        <v>337792.11077915505</v>
      </c>
      <c r="E16" s="300" t="s">
        <v>17</v>
      </c>
      <c r="F16" s="302">
        <f>B16/D16</f>
        <v>0.00511796270827957</v>
      </c>
      <c r="G16" s="302">
        <f>C16/D16</f>
        <v>0.0022056190579377703</v>
      </c>
      <c r="H16" s="302">
        <f>SUM(F16:G16)</f>
        <v>0.0073235817662173405</v>
      </c>
      <c r="I16" s="302">
        <f>H16/2</f>
        <v>0.0036617908831086702</v>
      </c>
      <c r="J16" s="302">
        <f>H16/3</f>
        <v>0.002441193922072447</v>
      </c>
      <c r="K16" s="301"/>
      <c r="L16" s="308">
        <f>IF($O$5="Y",ROUND(IF($K$8=2,I16,IF($K$8=3,J16,0)),4),IF($K$8=2,I16,IF($K$8=3,J16,0)))</f>
        <v>0.0024</v>
      </c>
    </row>
    <row r="17" spans="1:12" ht="19.5" customHeight="1" thickBot="1">
      <c r="A17" s="303" t="s">
        <v>42</v>
      </c>
      <c r="B17" s="304">
        <f>SUM(B9:B16)</f>
        <v>338555.5938404629</v>
      </c>
      <c r="C17" s="304">
        <f>SUM(C9:C16)</f>
        <v>124446.79543969384</v>
      </c>
      <c r="D17" s="304"/>
      <c r="E17" s="305"/>
      <c r="F17" s="304"/>
      <c r="G17" s="304"/>
      <c r="H17" s="304"/>
      <c r="I17" s="304"/>
      <c r="J17" s="304"/>
      <c r="K17" s="304"/>
      <c r="L17" s="304"/>
    </row>
    <row r="18" ht="13.5" thickTop="1"/>
    <row r="19" spans="4:8" ht="12.75">
      <c r="D19" s="57"/>
      <c r="E19" s="8"/>
      <c r="F19" s="8"/>
      <c r="G19" s="8"/>
      <c r="H19" s="8"/>
    </row>
    <row r="20" spans="4:8" ht="12.75">
      <c r="D20" s="530"/>
      <c r="E20" s="530"/>
      <c r="F20" s="8"/>
      <c r="G20" s="8"/>
      <c r="H20" s="8"/>
    </row>
    <row r="21" spans="4:8" ht="12.75">
      <c r="D21" s="530"/>
      <c r="E21" s="530"/>
      <c r="F21" s="8"/>
      <c r="G21" s="8"/>
      <c r="H21" s="8"/>
    </row>
    <row r="22" spans="4:8" ht="12.75">
      <c r="D22" s="530"/>
      <c r="E22" s="530"/>
      <c r="F22" s="8"/>
      <c r="G22" s="8"/>
      <c r="H22" s="8"/>
    </row>
    <row r="23" spans="4:8" ht="12.75">
      <c r="D23" s="530"/>
      <c r="E23" s="530"/>
      <c r="F23" s="8"/>
      <c r="G23" s="8"/>
      <c r="H23" s="8"/>
    </row>
    <row r="24" spans="4:8" ht="12.75">
      <c r="D24" s="530"/>
      <c r="E24" s="530"/>
      <c r="F24" s="8"/>
      <c r="G24" s="8"/>
      <c r="H24" s="8"/>
    </row>
    <row r="25" spans="4:8" ht="12.75">
      <c r="D25" s="530"/>
      <c r="E25" s="530"/>
      <c r="F25" s="8"/>
      <c r="G25" s="8"/>
      <c r="H25" s="8"/>
    </row>
    <row r="26" spans="4:8" ht="12.75">
      <c r="D26" s="530"/>
      <c r="E26" s="530"/>
      <c r="F26" s="8"/>
      <c r="G26" s="8"/>
      <c r="H26" s="8"/>
    </row>
    <row r="27" spans="4:8" ht="12.75">
      <c r="D27" s="530"/>
      <c r="E27" s="530"/>
      <c r="F27" s="8"/>
      <c r="G27" s="8"/>
      <c r="H27" s="8"/>
    </row>
    <row r="28" spans="4:8" ht="12.75">
      <c r="D28" s="8"/>
      <c r="E28" s="8"/>
      <c r="F28" s="8"/>
      <c r="G28" s="8"/>
      <c r="H28" s="8"/>
    </row>
    <row r="29" spans="4:8" ht="12.75">
      <c r="D29" s="8"/>
      <c r="E29" s="8"/>
      <c r="F29" s="8"/>
      <c r="G29" s="8"/>
      <c r="H29" s="8"/>
    </row>
    <row r="30" spans="4:8" ht="12.75">
      <c r="D30" s="8"/>
      <c r="E30" s="8"/>
      <c r="F30" s="8"/>
      <c r="G30" s="8"/>
      <c r="H30" s="8"/>
    </row>
    <row r="31" spans="4:8" ht="12.75">
      <c r="D31" s="8"/>
      <c r="E31" s="8"/>
      <c r="F31" s="8"/>
      <c r="G31" s="8"/>
      <c r="H31" s="8"/>
    </row>
    <row r="32" spans="4:8" ht="12.75">
      <c r="D32" s="8"/>
      <c r="E32" s="8"/>
      <c r="F32" s="8"/>
      <c r="G32" s="8"/>
      <c r="H32" s="8"/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</sheetData>
  <mergeCells count="8">
    <mergeCell ref="B6:C6"/>
    <mergeCell ref="F6:H6"/>
    <mergeCell ref="A1:L1"/>
    <mergeCell ref="A2:L2"/>
    <mergeCell ref="A3:L3"/>
    <mergeCell ref="A4:L4"/>
    <mergeCell ref="A5:L5"/>
    <mergeCell ref="A6:A8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14" sqref="A14"/>
    </sheetView>
  </sheetViews>
  <sheetFormatPr defaultColWidth="9.140625" defaultRowHeight="12.75"/>
  <cols>
    <col min="1" max="1" width="39.57421875" style="0" bestFit="1" customWidth="1"/>
    <col min="2" max="2" width="38.421875" style="0" customWidth="1"/>
    <col min="3" max="3" width="35.57421875" style="0" customWidth="1"/>
    <col min="4" max="4" width="30.140625" style="0" customWidth="1"/>
    <col min="5" max="5" width="22.00390625" style="0" customWidth="1"/>
    <col min="6" max="9" width="10.00390625" style="0" customWidth="1"/>
  </cols>
  <sheetData>
    <row r="1" spans="1:4" ht="12.75">
      <c r="A1" s="443" t="str">
        <f>+'Revenue Input'!A1</f>
        <v>North Bay Hydro Distribution Ltd.</v>
      </c>
      <c r="B1" s="443"/>
      <c r="C1" s="443"/>
      <c r="D1" s="443"/>
    </row>
    <row r="2" spans="1:4" ht="12.75">
      <c r="A2" s="443" t="str">
        <f>+'Revenue Input'!A2</f>
        <v>License Number ED-2003-0024, File Number EB-2009-0270</v>
      </c>
      <c r="B2" s="443"/>
      <c r="C2" s="443"/>
      <c r="D2" s="443"/>
    </row>
    <row r="3" spans="1:4" ht="12.75">
      <c r="A3" s="443">
        <f>+'Revenue Input'!A3</f>
        <v>0</v>
      </c>
      <c r="B3" s="443"/>
      <c r="C3" s="443"/>
      <c r="D3" s="443"/>
    </row>
    <row r="4" spans="1:4" ht="13.5" thickBot="1">
      <c r="A4" s="450"/>
      <c r="B4" s="450"/>
      <c r="C4" s="450"/>
      <c r="D4" s="450"/>
    </row>
    <row r="5" spans="1:6" ht="21" thickBot="1">
      <c r="A5" s="484" t="s">
        <v>217</v>
      </c>
      <c r="B5" s="484"/>
      <c r="C5" s="484"/>
      <c r="D5" s="484"/>
      <c r="E5" s="57" t="s">
        <v>169</v>
      </c>
      <c r="F5" s="135" t="str">
        <f>'Distribution Rate Schedule'!H5</f>
        <v>Y</v>
      </c>
    </row>
    <row r="6" spans="1:4" ht="45.75" thickBot="1">
      <c r="A6" s="141" t="s">
        <v>0</v>
      </c>
      <c r="B6" s="141" t="s">
        <v>204</v>
      </c>
      <c r="C6" s="141" t="s">
        <v>205</v>
      </c>
      <c r="D6" s="141" t="s">
        <v>170</v>
      </c>
    </row>
    <row r="7" spans="1:9" ht="16.5" thickBot="1">
      <c r="A7" s="313" t="str">
        <f>'Distribution Rate Schedule'!A11</f>
        <v>Residential</v>
      </c>
      <c r="B7" s="142">
        <v>0.00041856528811017485</v>
      </c>
      <c r="C7" s="347"/>
      <c r="D7" s="346">
        <v>1.47</v>
      </c>
      <c r="E7" s="57"/>
      <c r="F7" s="57"/>
      <c r="G7" s="57"/>
      <c r="H7" s="57"/>
      <c r="I7" s="57"/>
    </row>
    <row r="8" spans="1:4" ht="16.5" thickBot="1">
      <c r="A8" s="313" t="str">
        <f>'Distribution Rate Schedule'!A12</f>
        <v>GS &lt; 50 kW</v>
      </c>
      <c r="B8" s="142">
        <v>0.0003952060955391778</v>
      </c>
      <c r="C8" s="345"/>
      <c r="D8" s="346">
        <v>1.47</v>
      </c>
    </row>
    <row r="9" spans="1:4" ht="16.5" thickBot="1">
      <c r="A9" s="313" t="str">
        <f>'Distribution Rate Schedule'!A13</f>
        <v>GS &gt;50</v>
      </c>
      <c r="B9" s="142"/>
      <c r="C9" s="345">
        <v>0.4513205267704249</v>
      </c>
      <c r="D9" s="346">
        <v>1.47</v>
      </c>
    </row>
    <row r="10" spans="1:4" ht="16.5" thickBot="1">
      <c r="A10" s="313" t="str">
        <f>'Distribution Rate Schedule'!A14</f>
        <v>General Service &gt; 3000 to 4999 kW</v>
      </c>
      <c r="B10" s="142"/>
      <c r="C10" s="345">
        <v>0.6820947364191872</v>
      </c>
      <c r="D10" s="346">
        <v>1.47</v>
      </c>
    </row>
    <row r="11" spans="1:4" ht="16.5" thickBot="1">
      <c r="A11" s="313">
        <f>'Distribution Rate Schedule'!A15</f>
        <v>0</v>
      </c>
      <c r="B11" s="142"/>
      <c r="C11" s="345"/>
      <c r="D11" s="306"/>
    </row>
    <row r="12" spans="1:4" ht="16.5" thickBot="1">
      <c r="A12" s="313" t="str">
        <f>'Distribution Rate Schedule'!A16</f>
        <v>Sentinel Lights</v>
      </c>
      <c r="B12" s="142"/>
      <c r="C12" s="345">
        <v>-0.37489810264835477</v>
      </c>
      <c r="D12" s="306"/>
    </row>
    <row r="13" spans="1:4" ht="16.5" thickBot="1">
      <c r="A13" s="313" t="str">
        <f>'Distribution Rate Schedule'!A17</f>
        <v>Street Lighting</v>
      </c>
      <c r="B13" s="142"/>
      <c r="C13" s="345">
        <v>-0.8623783840926715</v>
      </c>
      <c r="D13" s="306"/>
    </row>
    <row r="14" spans="1:4" ht="15.75">
      <c r="A14" s="313" t="str">
        <f>'Distribution Rate Schedule'!A18</f>
        <v>USL</v>
      </c>
      <c r="B14" s="142">
        <v>0.00025989833656024674</v>
      </c>
      <c r="C14" s="345"/>
      <c r="D14" s="306"/>
    </row>
    <row r="15" spans="1:4" ht="16.5" thickBot="1">
      <c r="A15" s="140" t="s">
        <v>1</v>
      </c>
      <c r="B15" s="143"/>
      <c r="C15" s="348"/>
      <c r="D15" s="307"/>
    </row>
    <row r="27" ht="14.2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zoomScale="85" zoomScaleNormal="85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6" sqref="A6:A8"/>
    </sheetView>
  </sheetViews>
  <sheetFormatPr defaultColWidth="9.140625" defaultRowHeight="12.75"/>
  <cols>
    <col min="1" max="1" width="42.8515625" style="0" bestFit="1" customWidth="1"/>
    <col min="2" max="3" width="11.7109375" style="0" customWidth="1"/>
    <col min="4" max="4" width="15.57421875" style="0" bestFit="1" customWidth="1"/>
    <col min="5" max="6" width="11.7109375" style="0" customWidth="1"/>
    <col min="7" max="9" width="13.7109375" style="0" customWidth="1"/>
    <col min="10" max="10" width="13.421875" style="0" bestFit="1" customWidth="1"/>
    <col min="11" max="11" width="10.8515625" style="0" customWidth="1"/>
    <col min="12" max="12" width="7.28125" style="0" bestFit="1" customWidth="1"/>
    <col min="13" max="13" width="13.7109375" style="0" customWidth="1"/>
    <col min="14" max="17" width="13.00390625" style="0" customWidth="1"/>
    <col min="18" max="18" width="1.57421875" style="0" customWidth="1"/>
    <col min="19" max="19" width="10.00390625" style="383" customWidth="1"/>
    <col min="20" max="20" width="12.421875" style="383" bestFit="1" customWidth="1"/>
    <col min="21" max="21" width="18.421875" style="383" bestFit="1" customWidth="1"/>
    <col min="22" max="28" width="9.140625" style="383" customWidth="1"/>
  </cols>
  <sheetData>
    <row r="1" spans="1:17" ht="12.75">
      <c r="A1" s="449" t="str">
        <f>+'Revenue Input'!A1</f>
        <v>North Bay Hydro Distribution Ltd.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</row>
    <row r="2" spans="1:17" ht="12.75">
      <c r="A2" s="449" t="str">
        <f>+'Revenue Input'!A2</f>
        <v>License Number ED-2003-0024, File Number EB-2009-0270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17" ht="12.75">
      <c r="A3" s="449">
        <f>+'Revenue Input'!A3</f>
        <v>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</row>
    <row r="4" spans="1:17" ht="12.75">
      <c r="A4" s="450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</row>
    <row r="5" spans="1:17" ht="21" thickBot="1">
      <c r="A5" s="476" t="s">
        <v>67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</row>
    <row r="6" spans="1:17" ht="90" customHeight="1">
      <c r="A6" s="485" t="s">
        <v>0</v>
      </c>
      <c r="B6" s="488" t="s">
        <v>50</v>
      </c>
      <c r="C6" s="489"/>
      <c r="D6" s="489"/>
      <c r="E6" s="489"/>
      <c r="F6" s="489"/>
      <c r="G6" s="490"/>
      <c r="H6" s="491" t="s">
        <v>51</v>
      </c>
      <c r="I6" s="492"/>
      <c r="J6" s="492"/>
      <c r="K6" s="492"/>
      <c r="L6" s="492"/>
      <c r="M6" s="493"/>
      <c r="N6" s="494" t="s">
        <v>52</v>
      </c>
      <c r="O6" s="495"/>
      <c r="P6" s="494" t="s">
        <v>53</v>
      </c>
      <c r="Q6" s="495"/>
    </row>
    <row r="7" spans="1:17" ht="63.75">
      <c r="A7" s="486"/>
      <c r="B7" s="144" t="s">
        <v>258</v>
      </c>
      <c r="C7" s="145" t="s">
        <v>259</v>
      </c>
      <c r="D7" s="145" t="s">
        <v>54</v>
      </c>
      <c r="E7" s="145" t="s">
        <v>174</v>
      </c>
      <c r="F7" s="146" t="s">
        <v>42</v>
      </c>
      <c r="G7" s="147" t="s">
        <v>55</v>
      </c>
      <c r="H7" s="148" t="s">
        <v>260</v>
      </c>
      <c r="I7" s="148" t="s">
        <v>261</v>
      </c>
      <c r="J7" s="145" t="s">
        <v>54</v>
      </c>
      <c r="K7" s="145" t="s">
        <v>174</v>
      </c>
      <c r="L7" s="146" t="s">
        <v>42</v>
      </c>
      <c r="M7" s="147" t="s">
        <v>55</v>
      </c>
      <c r="N7" s="149" t="s">
        <v>149</v>
      </c>
      <c r="O7" s="150" t="s">
        <v>150</v>
      </c>
      <c r="P7" s="151">
        <v>2009</v>
      </c>
      <c r="Q7" s="152" t="s">
        <v>218</v>
      </c>
    </row>
    <row r="8" spans="1:17" ht="13.5" thickBot="1">
      <c r="A8" s="487"/>
      <c r="B8" s="153" t="s">
        <v>23</v>
      </c>
      <c r="C8" s="395"/>
      <c r="D8" s="154" t="s">
        <v>23</v>
      </c>
      <c r="E8" s="154" t="s">
        <v>23</v>
      </c>
      <c r="F8" s="155" t="s">
        <v>23</v>
      </c>
      <c r="G8" s="156" t="s">
        <v>23</v>
      </c>
      <c r="H8" s="157" t="s">
        <v>56</v>
      </c>
      <c r="I8" s="398"/>
      <c r="J8" s="154" t="s">
        <v>56</v>
      </c>
      <c r="K8" s="154" t="s">
        <v>56</v>
      </c>
      <c r="L8" s="155" t="s">
        <v>56</v>
      </c>
      <c r="M8" s="156" t="s">
        <v>56</v>
      </c>
      <c r="N8" s="158" t="s">
        <v>57</v>
      </c>
      <c r="O8" s="159" t="s">
        <v>57</v>
      </c>
      <c r="P8" s="160"/>
      <c r="Q8" s="161"/>
    </row>
    <row r="9" spans="1:17" ht="18" customHeight="1">
      <c r="A9" s="314" t="str">
        <f>'2010 Rate Rider'!A7</f>
        <v>Residential</v>
      </c>
      <c r="B9" s="162">
        <v>0.0047</v>
      </c>
      <c r="C9" s="396">
        <f>0.0052</f>
        <v>0.0052</v>
      </c>
      <c r="D9" s="163">
        <f>0.0052+0.0013</f>
        <v>0.0065</v>
      </c>
      <c r="E9" s="163">
        <v>0.007</v>
      </c>
      <c r="F9" s="166">
        <f>SUM(B9:E9)</f>
        <v>0.023399999999999997</v>
      </c>
      <c r="G9" s="167">
        <f>+F9+D34+D44</f>
        <v>0.02360550636049651</v>
      </c>
      <c r="H9" s="170">
        <v>0</v>
      </c>
      <c r="I9" s="399"/>
      <c r="J9" s="171"/>
      <c r="K9" s="171"/>
      <c r="L9" s="172"/>
      <c r="M9" s="173">
        <v>0</v>
      </c>
      <c r="N9" s="177">
        <v>0.057</v>
      </c>
      <c r="O9" s="178">
        <v>0.066</v>
      </c>
      <c r="P9" s="177">
        <f>$P$27</f>
        <v>1.038653</v>
      </c>
      <c r="Q9" s="177">
        <f>$Q$27</f>
        <v>1.0480179005839838</v>
      </c>
    </row>
    <row r="10" spans="1:17" ht="18" customHeight="1">
      <c r="A10" s="314" t="str">
        <f>'2010 Rate Rider'!A8</f>
        <v>GS &lt; 50 kW</v>
      </c>
      <c r="B10" s="164">
        <v>0.0042</v>
      </c>
      <c r="C10" s="397">
        <f>0.0048</f>
        <v>0.0048</v>
      </c>
      <c r="D10" s="163">
        <f>0.0052+0.0013</f>
        <v>0.0065</v>
      </c>
      <c r="E10" s="163">
        <v>0.007</v>
      </c>
      <c r="F10" s="166">
        <f aca="true" t="shared" si="0" ref="F10:F17">SUM(B10:E10)</f>
        <v>0.0225</v>
      </c>
      <c r="G10" s="167">
        <f>+F10+D35+D45</f>
        <v>0.02268597209967379</v>
      </c>
      <c r="H10" s="174">
        <v>0</v>
      </c>
      <c r="I10" s="400"/>
      <c r="J10" s="172"/>
      <c r="K10" s="172"/>
      <c r="L10" s="172"/>
      <c r="M10" s="175">
        <v>0</v>
      </c>
      <c r="N10" s="177">
        <v>0.057</v>
      </c>
      <c r="O10" s="178">
        <v>0.066</v>
      </c>
      <c r="P10" s="177">
        <f>$P$27</f>
        <v>1.038653</v>
      </c>
      <c r="Q10" s="177">
        <f>$Q$27</f>
        <v>1.0480179005839838</v>
      </c>
    </row>
    <row r="11" spans="1:17" ht="18" customHeight="1">
      <c r="A11" s="314" t="str">
        <f>'2010 Rate Rider'!A9</f>
        <v>GS &gt;50</v>
      </c>
      <c r="B11" s="172"/>
      <c r="C11" s="172"/>
      <c r="D11" s="163">
        <f>0.0052+0.0013</f>
        <v>0.0065</v>
      </c>
      <c r="E11" s="163">
        <v>0.007</v>
      </c>
      <c r="F11" s="166">
        <f t="shared" si="0"/>
        <v>0.0135</v>
      </c>
      <c r="G11" s="167">
        <f>+F11</f>
        <v>0.0135</v>
      </c>
      <c r="H11" s="176">
        <v>1.6636</v>
      </c>
      <c r="I11" s="401">
        <f>1.9313</f>
        <v>1.9313</v>
      </c>
      <c r="J11" s="172"/>
      <c r="K11" s="172"/>
      <c r="L11" s="166">
        <f>SUM(H11:K11)</f>
        <v>3.5949</v>
      </c>
      <c r="M11" s="167">
        <f>+L11+D36+D46</f>
        <v>3.6690192375173027</v>
      </c>
      <c r="N11" s="177">
        <v>0.0603792</v>
      </c>
      <c r="O11" s="178">
        <v>0.0603792</v>
      </c>
      <c r="P11" s="177">
        <f>$P$27</f>
        <v>1.038653</v>
      </c>
      <c r="Q11" s="177">
        <f>$Q$27</f>
        <v>1.0480179005839838</v>
      </c>
    </row>
    <row r="12" spans="1:19" ht="18" customHeight="1">
      <c r="A12" s="314" t="str">
        <f>'2010 Rate Rider'!A10</f>
        <v>General Service &gt; 3000 to 4999 kW</v>
      </c>
      <c r="B12" s="172"/>
      <c r="C12" s="172"/>
      <c r="D12" s="163">
        <f>0.0052+0.0013</f>
        <v>0.0065</v>
      </c>
      <c r="E12" s="163">
        <v>0.007</v>
      </c>
      <c r="F12" s="166">
        <f>SUM(B12:E12)</f>
        <v>0.0135</v>
      </c>
      <c r="G12" s="167">
        <f>+F12</f>
        <v>0.0135</v>
      </c>
      <c r="H12" s="176">
        <v>1.8386</v>
      </c>
      <c r="I12" s="401">
        <f>2.0487</f>
        <v>2.0487</v>
      </c>
      <c r="J12" s="172"/>
      <c r="K12" s="172"/>
      <c r="L12" s="166">
        <f>SUM(H12:K12)</f>
        <v>3.8873</v>
      </c>
      <c r="M12" s="167">
        <f>+L12+D37+D47</f>
        <v>3.967912766737171</v>
      </c>
      <c r="N12" s="177">
        <v>0.0603792</v>
      </c>
      <c r="O12" s="178">
        <v>0.0603792</v>
      </c>
      <c r="P12" s="177">
        <f>$P$29</f>
        <v>1.02826647</v>
      </c>
      <c r="Q12" s="177">
        <f>$Q$29</f>
        <v>1.037537721578144</v>
      </c>
      <c r="S12" s="388"/>
    </row>
    <row r="13" spans="1:17" ht="18" customHeight="1">
      <c r="A13" s="314">
        <f>'2010 Rate Rider'!A11</f>
        <v>0</v>
      </c>
      <c r="B13" s="172"/>
      <c r="C13" s="172"/>
      <c r="D13" s="165"/>
      <c r="E13" s="165"/>
      <c r="F13" s="166">
        <f t="shared" si="0"/>
        <v>0</v>
      </c>
      <c r="G13" s="167">
        <f>+F13</f>
        <v>0</v>
      </c>
      <c r="H13" s="176"/>
      <c r="I13" s="401"/>
      <c r="J13" s="172"/>
      <c r="K13" s="172"/>
      <c r="L13" s="166">
        <f>SUM(H13:K13)</f>
        <v>0</v>
      </c>
      <c r="M13" s="167">
        <f>+L13</f>
        <v>0</v>
      </c>
      <c r="N13" s="177"/>
      <c r="O13" s="178"/>
      <c r="P13" s="179"/>
      <c r="Q13" s="179"/>
    </row>
    <row r="14" spans="1:17" ht="18" customHeight="1">
      <c r="A14" s="314" t="str">
        <f>'2010 Rate Rider'!A12</f>
        <v>Sentinel Lights</v>
      </c>
      <c r="B14" s="172"/>
      <c r="C14" s="172"/>
      <c r="D14" s="163">
        <f>0.0052+0.0013</f>
        <v>0.0065</v>
      </c>
      <c r="E14" s="163">
        <v>0.007</v>
      </c>
      <c r="F14" s="166">
        <f t="shared" si="0"/>
        <v>0.0135</v>
      </c>
      <c r="G14" s="167">
        <f>+F14</f>
        <v>0.0135</v>
      </c>
      <c r="H14" s="176">
        <v>1.313</v>
      </c>
      <c r="I14" s="401">
        <f>1.4639</f>
        <v>1.4639</v>
      </c>
      <c r="J14" s="172"/>
      <c r="K14" s="172"/>
      <c r="L14" s="166">
        <f>SUM(H14:K14)</f>
        <v>2.7769</v>
      </c>
      <c r="M14" s="167">
        <f>+L14+D39+D49</f>
        <v>2.834481108971489</v>
      </c>
      <c r="N14" s="177">
        <v>0.0603792</v>
      </c>
      <c r="O14" s="178">
        <v>0.0603792</v>
      </c>
      <c r="P14" s="177">
        <f>$P$27</f>
        <v>1.038653</v>
      </c>
      <c r="Q14" s="177">
        <f>$Q$27</f>
        <v>1.0480179005839838</v>
      </c>
    </row>
    <row r="15" spans="1:17" ht="18" customHeight="1">
      <c r="A15" s="314" t="str">
        <f>'2010 Rate Rider'!A13</f>
        <v>Street Lighting</v>
      </c>
      <c r="B15" s="172"/>
      <c r="C15" s="172"/>
      <c r="D15" s="163">
        <f>0.0052+0.0013</f>
        <v>0.0065</v>
      </c>
      <c r="E15" s="165">
        <v>0.007</v>
      </c>
      <c r="F15" s="166">
        <f t="shared" si="0"/>
        <v>0.0135</v>
      </c>
      <c r="G15" s="167">
        <f>+F15</f>
        <v>0.0135</v>
      </c>
      <c r="H15" s="176">
        <v>1.286</v>
      </c>
      <c r="I15" s="401">
        <f>1.4565</f>
        <v>1.4565</v>
      </c>
      <c r="J15" s="172"/>
      <c r="K15" s="172"/>
      <c r="L15" s="166">
        <f>SUM(H15:K15)</f>
        <v>2.7424999999999997</v>
      </c>
      <c r="M15" s="167">
        <f>+L15+D40+D50</f>
        <v>2.799242062487363</v>
      </c>
      <c r="N15" s="177">
        <v>0.0603792</v>
      </c>
      <c r="O15" s="178">
        <v>0.0603792</v>
      </c>
      <c r="P15" s="177">
        <f>$P$27</f>
        <v>1.038653</v>
      </c>
      <c r="Q15" s="177">
        <f>$Q$27</f>
        <v>1.0480179005839838</v>
      </c>
    </row>
    <row r="16" spans="1:17" ht="18" customHeight="1">
      <c r="A16" s="314" t="str">
        <f>'2010 Rate Rider'!A14</f>
        <v>USL</v>
      </c>
      <c r="B16" s="164">
        <v>0.0042</v>
      </c>
      <c r="C16" s="397">
        <f>0.0048</f>
        <v>0.0048</v>
      </c>
      <c r="D16" s="163">
        <f>0.0052+0.0013</f>
        <v>0.0065</v>
      </c>
      <c r="E16" s="165">
        <v>0.007</v>
      </c>
      <c r="F16" s="166">
        <f t="shared" si="0"/>
        <v>0.0225</v>
      </c>
      <c r="G16" s="167">
        <f>+F16+D41+D51</f>
        <v>0.02268597209967379</v>
      </c>
      <c r="H16" s="174">
        <v>0</v>
      </c>
      <c r="I16" s="400"/>
      <c r="J16" s="172"/>
      <c r="K16" s="172"/>
      <c r="L16" s="172"/>
      <c r="M16" s="175">
        <v>0</v>
      </c>
      <c r="N16" s="177">
        <v>0.057</v>
      </c>
      <c r="O16" s="178">
        <v>0.066</v>
      </c>
      <c r="P16" s="177">
        <f>$P$27</f>
        <v>1.038653</v>
      </c>
      <c r="Q16" s="177">
        <f>$Q$27</f>
        <v>1.0480179005839838</v>
      </c>
    </row>
    <row r="17" spans="1:17" ht="18" customHeight="1" thickBot="1">
      <c r="A17" s="314" t="str">
        <f>'2010 Rate Rider'!A15</f>
        <v>Back-up/Standby Power</v>
      </c>
      <c r="B17" s="172"/>
      <c r="C17" s="172"/>
      <c r="D17" s="172"/>
      <c r="E17" s="172"/>
      <c r="F17" s="168">
        <f t="shared" si="0"/>
        <v>0</v>
      </c>
      <c r="G17" s="169">
        <v>0</v>
      </c>
      <c r="H17" s="172"/>
      <c r="I17" s="172"/>
      <c r="J17" s="172"/>
      <c r="K17" s="172"/>
      <c r="L17" s="168">
        <f>SUM(H17:K17)</f>
        <v>0</v>
      </c>
      <c r="M17" s="169">
        <v>0</v>
      </c>
      <c r="N17" s="180"/>
      <c r="O17" s="181"/>
      <c r="P17" s="180"/>
      <c r="Q17" s="181"/>
    </row>
    <row r="18" spans="1:16" ht="15">
      <c r="A18" s="27"/>
      <c r="B18" s="28"/>
      <c r="C18" s="28"/>
      <c r="F18" s="29"/>
      <c r="G18" s="30"/>
      <c r="L18" s="29"/>
      <c r="M18" s="30"/>
      <c r="N18" s="29"/>
      <c r="O18" s="29"/>
      <c r="P18" s="26"/>
    </row>
    <row r="19" spans="1:16" ht="15.75" thickBot="1">
      <c r="A19" s="27"/>
      <c r="B19" s="28"/>
      <c r="C19" s="28"/>
      <c r="F19" s="29"/>
      <c r="G19" s="30"/>
      <c r="L19" s="29"/>
      <c r="M19" s="30"/>
      <c r="N19" s="29"/>
      <c r="O19" s="29"/>
      <c r="P19" s="26"/>
    </row>
    <row r="20" spans="1:18" ht="6" customHeight="1">
      <c r="A20" s="182"/>
      <c r="B20" s="183"/>
      <c r="C20" s="183"/>
      <c r="D20" s="184"/>
      <c r="E20" s="184"/>
      <c r="F20" s="185"/>
      <c r="G20" s="186"/>
      <c r="H20" s="183"/>
      <c r="I20" s="183"/>
      <c r="J20" s="187"/>
      <c r="K20" s="187"/>
      <c r="L20" s="188"/>
      <c r="M20" s="186"/>
      <c r="N20" s="189"/>
      <c r="O20" s="188"/>
      <c r="P20" s="187"/>
      <c r="Q20" s="187"/>
      <c r="R20" s="190"/>
    </row>
    <row r="21" spans="1:20" ht="15.75">
      <c r="A21" s="497" t="s">
        <v>173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191"/>
      <c r="S21" s="151">
        <v>2009</v>
      </c>
      <c r="T21" s="152" t="s">
        <v>218</v>
      </c>
    </row>
    <row r="22" spans="1:20" ht="15.75">
      <c r="A22" s="496" t="s">
        <v>58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389">
        <v>1.0045</v>
      </c>
      <c r="Q22" s="389">
        <v>1.0068702646615655</v>
      </c>
      <c r="R22" s="191"/>
      <c r="S22" s="386">
        <v>1.0283</v>
      </c>
      <c r="T22" s="386">
        <v>1.0375377215781483</v>
      </c>
    </row>
    <row r="23" spans="1:18" ht="15.75">
      <c r="A23" s="496" t="s">
        <v>59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389">
        <v>1.034</v>
      </c>
      <c r="Q23" s="389">
        <v>1.04086686971161</v>
      </c>
      <c r="R23" s="191"/>
    </row>
    <row r="24" spans="1:18" ht="15.75">
      <c r="A24" s="496" t="s">
        <v>60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389">
        <v>1.01</v>
      </c>
      <c r="Q24" s="389">
        <v>1.01</v>
      </c>
      <c r="R24" s="191"/>
    </row>
    <row r="25" spans="1:18" ht="15.75">
      <c r="A25" s="496" t="s">
        <v>61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198">
        <f>+P23*0.99</f>
        <v>1.02366</v>
      </c>
      <c r="Q25" s="198">
        <f>+Q23*0.99</f>
        <v>1.0304582010144938</v>
      </c>
      <c r="R25" s="191"/>
    </row>
    <row r="26" spans="1:18" ht="15.75">
      <c r="A26" s="496" t="s">
        <v>62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198">
        <v>1</v>
      </c>
      <c r="Q26" s="198">
        <v>1</v>
      </c>
      <c r="R26" s="191"/>
    </row>
    <row r="27" spans="1:18" ht="15.75">
      <c r="A27" s="496" t="s">
        <v>63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198">
        <f>+P23*P22</f>
        <v>1.038653</v>
      </c>
      <c r="Q27" s="198">
        <f>+Q23*Q22</f>
        <v>1.0480179005839838</v>
      </c>
      <c r="R27" s="191"/>
    </row>
    <row r="28" spans="1:18" ht="15.75">
      <c r="A28" s="496" t="s">
        <v>64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198">
        <f>+P24*P22</f>
        <v>1.014545</v>
      </c>
      <c r="Q28" s="198">
        <f>+Q24*Q22</f>
        <v>1.0169389673081812</v>
      </c>
      <c r="R28" s="191"/>
    </row>
    <row r="29" spans="1:18" ht="15.75">
      <c r="A29" s="496" t="s">
        <v>65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198">
        <f>+P27*0.99</f>
        <v>1.02826647</v>
      </c>
      <c r="Q29" s="198">
        <f>+Q27*0.99</f>
        <v>1.037537721578144</v>
      </c>
      <c r="R29" s="191"/>
    </row>
    <row r="30" spans="1:18" ht="15.75">
      <c r="A30" s="496" t="s">
        <v>66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198">
        <f>+P22</f>
        <v>1.0045</v>
      </c>
      <c r="Q30" s="198">
        <f>+Q22</f>
        <v>1.0068702646615655</v>
      </c>
      <c r="R30" s="191"/>
    </row>
    <row r="31" spans="1:18" ht="9" customHeight="1" thickBot="1">
      <c r="A31" s="192"/>
      <c r="B31" s="193"/>
      <c r="C31" s="193"/>
      <c r="D31" s="193"/>
      <c r="E31" s="193"/>
      <c r="F31" s="193"/>
      <c r="G31" s="193"/>
      <c r="H31" s="194"/>
      <c r="I31" s="194"/>
      <c r="J31" s="194"/>
      <c r="K31" s="194"/>
      <c r="L31" s="194"/>
      <c r="M31" s="194"/>
      <c r="N31" s="194"/>
      <c r="O31" s="194"/>
      <c r="P31" s="195"/>
      <c r="Q31" s="196"/>
      <c r="R31" s="197"/>
    </row>
    <row r="32" spans="2:7" ht="12.75">
      <c r="B32" s="408"/>
      <c r="C32" s="408"/>
      <c r="D32" s="408"/>
      <c r="E32" s="408"/>
      <c r="F32" s="408"/>
      <c r="G32" s="408"/>
    </row>
    <row r="33" spans="1:28" s="404" customFormat="1" ht="25.5">
      <c r="A33" s="403" t="s">
        <v>268</v>
      </c>
      <c r="B33" s="409" t="s">
        <v>264</v>
      </c>
      <c r="C33" s="409" t="s">
        <v>265</v>
      </c>
      <c r="D33" s="409" t="s">
        <v>266</v>
      </c>
      <c r="O33" s="405"/>
      <c r="P33" s="406"/>
      <c r="Q33" s="406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</row>
    <row r="34" spans="1:7" ht="12.75">
      <c r="A34" t="s">
        <v>240</v>
      </c>
      <c r="B34">
        <v>0.0047</v>
      </c>
      <c r="C34" s="411">
        <v>0.004826479689963714</v>
      </c>
      <c r="D34" s="29">
        <f>+C34-B34</f>
        <v>0.00012647968996371342</v>
      </c>
      <c r="G34" s="412">
        <f>C34/B34-1</f>
        <v>0.026910572332704996</v>
      </c>
    </row>
    <row r="35" spans="1:13" ht="12.75">
      <c r="A35" t="s">
        <v>241</v>
      </c>
      <c r="B35">
        <v>0.0042</v>
      </c>
      <c r="C35" s="411">
        <v>0.0043130244037973605</v>
      </c>
      <c r="D35" s="29">
        <f>+C35-B35</f>
        <v>0.00011302440379736076</v>
      </c>
      <c r="G35" s="412">
        <f aca="true" t="shared" si="1" ref="G35:G41">C35/B35-1</f>
        <v>0.026910572332704996</v>
      </c>
      <c r="H35" s="57"/>
      <c r="I35" s="57"/>
      <c r="J35" s="8"/>
      <c r="K35" s="8"/>
      <c r="L35" s="8"/>
      <c r="M35" s="8"/>
    </row>
    <row r="36" spans="1:7" ht="12.75">
      <c r="A36" t="s">
        <v>242</v>
      </c>
      <c r="B36">
        <v>1.6636</v>
      </c>
      <c r="C36" s="411">
        <v>1.708368428132688</v>
      </c>
      <c r="D36" s="29">
        <f>+C36-B36</f>
        <v>0.04476842813268811</v>
      </c>
      <c r="G36" s="412">
        <f t="shared" si="1"/>
        <v>0.026910572332704996</v>
      </c>
    </row>
    <row r="37" spans="1:7" ht="12.75">
      <c r="A37" t="s">
        <v>248</v>
      </c>
      <c r="B37">
        <v>1.8386</v>
      </c>
      <c r="C37" s="411">
        <v>1.8880777782909115</v>
      </c>
      <c r="D37" s="29">
        <f>+C37-B37</f>
        <v>0.04947777829091149</v>
      </c>
      <c r="G37" s="412">
        <f t="shared" si="1"/>
        <v>0.026910572332704996</v>
      </c>
    </row>
    <row r="38" spans="3:7" ht="12.75">
      <c r="C38" s="411"/>
      <c r="D38" s="29"/>
      <c r="G38" s="412" t="e">
        <f t="shared" si="1"/>
        <v>#DIV/0!</v>
      </c>
    </row>
    <row r="39" spans="1:7" ht="12.75">
      <c r="A39" t="s">
        <v>243</v>
      </c>
      <c r="B39">
        <v>1.313</v>
      </c>
      <c r="C39" s="411">
        <v>1.3483335814728417</v>
      </c>
      <c r="D39" s="29">
        <f>+C39-B39</f>
        <v>0.03533358147284171</v>
      </c>
      <c r="G39" s="412">
        <f t="shared" si="1"/>
        <v>0.026910572332704996</v>
      </c>
    </row>
    <row r="40" spans="1:7" ht="12.75">
      <c r="A40" t="s">
        <v>244</v>
      </c>
      <c r="B40">
        <v>1.286</v>
      </c>
      <c r="C40" s="411">
        <v>1.3206069960198588</v>
      </c>
      <c r="D40" s="29">
        <f>+C40-B40</f>
        <v>0.03460699601985873</v>
      </c>
      <c r="G40" s="412">
        <f t="shared" si="1"/>
        <v>0.026910572332704996</v>
      </c>
    </row>
    <row r="41" spans="1:7" ht="12.75">
      <c r="A41" t="s">
        <v>245</v>
      </c>
      <c r="B41">
        <v>0.0042</v>
      </c>
      <c r="C41" s="411">
        <v>0.0043130244037973605</v>
      </c>
      <c r="D41" s="29">
        <f>+C41-B41</f>
        <v>0.00011302440379736076</v>
      </c>
      <c r="G41" s="412">
        <f t="shared" si="1"/>
        <v>0.026910572332704996</v>
      </c>
    </row>
    <row r="42" ht="12.75">
      <c r="C42" s="411"/>
    </row>
    <row r="43" spans="1:4" ht="25.5">
      <c r="A43" s="403" t="s">
        <v>267</v>
      </c>
      <c r="B43" s="409" t="s">
        <v>264</v>
      </c>
      <c r="C43" s="413" t="s">
        <v>265</v>
      </c>
      <c r="D43" s="409" t="s">
        <v>266</v>
      </c>
    </row>
    <row r="44" spans="1:7" ht="12.75">
      <c r="A44" t="s">
        <v>240</v>
      </c>
      <c r="B44">
        <v>0.0052</v>
      </c>
      <c r="C44" s="411">
        <v>0.0052790266705327995</v>
      </c>
      <c r="D44" s="529">
        <f>+C44-B44</f>
        <v>7.90266705327997E-05</v>
      </c>
      <c r="G44" s="412">
        <f>C44/B44-1</f>
        <v>0.015197436640923101</v>
      </c>
    </row>
    <row r="45" spans="1:7" ht="12.75">
      <c r="A45" t="s">
        <v>241</v>
      </c>
      <c r="B45">
        <v>0.0048</v>
      </c>
      <c r="C45" s="411">
        <v>0.00487294769587643</v>
      </c>
      <c r="D45" s="529">
        <f>+C45-B45</f>
        <v>7.294769587643055E-05</v>
      </c>
      <c r="G45" s="412">
        <f aca="true" t="shared" si="2" ref="G45:G51">C45/B45-1</f>
        <v>0.015197436640923101</v>
      </c>
    </row>
    <row r="46" spans="1:7" ht="12.75">
      <c r="A46" t="s">
        <v>242</v>
      </c>
      <c r="B46">
        <v>1.9313</v>
      </c>
      <c r="C46" s="411">
        <v>1.960650809384615</v>
      </c>
      <c r="D46" s="529">
        <f>+C46-B46</f>
        <v>0.029350809384614873</v>
      </c>
      <c r="G46" s="412">
        <f t="shared" si="2"/>
        <v>0.015197436640923101</v>
      </c>
    </row>
    <row r="47" spans="1:7" ht="12.75">
      <c r="A47" t="s">
        <v>248</v>
      </c>
      <c r="B47">
        <v>2.0487</v>
      </c>
      <c r="C47" s="411">
        <v>2.0798349884462595</v>
      </c>
      <c r="D47" s="529">
        <f>+C47-B47</f>
        <v>0.031134988446259282</v>
      </c>
      <c r="G47" s="412">
        <f t="shared" si="2"/>
        <v>0.015197436640923101</v>
      </c>
    </row>
    <row r="48" spans="3:7" ht="12.75">
      <c r="C48" s="411"/>
      <c r="D48" s="529"/>
      <c r="G48" s="412" t="e">
        <f t="shared" si="2"/>
        <v>#DIV/0!</v>
      </c>
    </row>
    <row r="49" spans="1:7" ht="12.75">
      <c r="A49" t="s">
        <v>243</v>
      </c>
      <c r="B49">
        <v>1.4639</v>
      </c>
      <c r="C49" s="411">
        <v>1.4861475274986473</v>
      </c>
      <c r="D49" s="529">
        <f>+C49-B49</f>
        <v>0.022247527498647335</v>
      </c>
      <c r="G49" s="412">
        <f t="shared" si="2"/>
        <v>0.015197436640923101</v>
      </c>
    </row>
    <row r="50" spans="1:7" ht="12.75">
      <c r="A50" t="s">
        <v>244</v>
      </c>
      <c r="B50">
        <v>1.4565</v>
      </c>
      <c r="C50" s="411">
        <v>1.4786350664675043</v>
      </c>
      <c r="D50" s="529">
        <f>+C50-B50</f>
        <v>0.022135066467504405</v>
      </c>
      <c r="G50" s="412">
        <f t="shared" si="2"/>
        <v>0.015197436640923101</v>
      </c>
    </row>
    <row r="51" spans="1:7" ht="12.75">
      <c r="A51" t="s">
        <v>245</v>
      </c>
      <c r="B51">
        <v>0.0048</v>
      </c>
      <c r="C51" s="411">
        <v>0.00487294769587643</v>
      </c>
      <c r="D51" s="529">
        <f>+C51-B51</f>
        <v>7.294769587643055E-05</v>
      </c>
      <c r="G51" s="412">
        <f t="shared" si="2"/>
        <v>0.015197436640923101</v>
      </c>
    </row>
  </sheetData>
  <mergeCells count="20">
    <mergeCell ref="A29:O29"/>
    <mergeCell ref="A30:O30"/>
    <mergeCell ref="A21:Q21"/>
    <mergeCell ref="A22:O22"/>
    <mergeCell ref="A23:O23"/>
    <mergeCell ref="A24:O24"/>
    <mergeCell ref="A25:O25"/>
    <mergeCell ref="A26:O26"/>
    <mergeCell ref="A27:O27"/>
    <mergeCell ref="A28:O28"/>
    <mergeCell ref="A5:Q5"/>
    <mergeCell ref="A6:A8"/>
    <mergeCell ref="B6:G6"/>
    <mergeCell ref="H6:M6"/>
    <mergeCell ref="N6:O6"/>
    <mergeCell ref="P6:Q6"/>
    <mergeCell ref="A1:Q1"/>
    <mergeCell ref="A2:Q2"/>
    <mergeCell ref="A3:Q3"/>
    <mergeCell ref="A4:Q4"/>
  </mergeCells>
  <printOptions/>
  <pageMargins left="0.75" right="0.75" top="1" bottom="1" header="0.5" footer="0.5"/>
  <pageSetup fitToHeight="1" fitToWidth="1" horizontalDpi="355" verticalDpi="355" orientation="landscape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17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.57421875" style="0" customWidth="1"/>
    <col min="3" max="3" width="12.140625" style="0" customWidth="1"/>
    <col min="4" max="4" width="14.8515625" style="0" customWidth="1"/>
    <col min="5" max="5" width="1.28515625" style="0" customWidth="1"/>
    <col min="6" max="6" width="28.8515625" style="0" customWidth="1"/>
    <col min="7" max="7" width="9.57421875" style="0" customWidth="1"/>
    <col min="8" max="8" width="9.57421875" style="0" bestFit="1" customWidth="1"/>
    <col min="9" max="9" width="13.7109375" style="0" bestFit="1" customWidth="1"/>
    <col min="10" max="10" width="9.7109375" style="0" customWidth="1"/>
    <col min="11" max="11" width="10.8515625" style="0" bestFit="1" customWidth="1"/>
    <col min="12" max="12" width="14.7109375" style="0" bestFit="1" customWidth="1"/>
    <col min="13" max="13" width="13.421875" style="0" bestFit="1" customWidth="1"/>
    <col min="14" max="14" width="10.8515625" style="0" bestFit="1" customWidth="1"/>
    <col min="15" max="15" width="13.8515625" style="0" bestFit="1" customWidth="1"/>
    <col min="16" max="16" width="1.57421875" style="0" customWidth="1"/>
    <col min="17" max="17" width="9.140625" style="8" customWidth="1"/>
  </cols>
  <sheetData>
    <row r="1" spans="2:15" ht="12.75">
      <c r="B1" s="449" t="str">
        <f>+'Revenue Input'!A1</f>
        <v>North Bay Hydro Distribution Ltd.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2:15" ht="12.75">
      <c r="B2" s="449" t="str">
        <f>+'Revenue Input'!A2</f>
        <v>License Number ED-2003-0024, File Number EB-2009-0270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2:15" ht="12.75">
      <c r="B3" s="449">
        <f>+'Revenue Input'!A3</f>
        <v>0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2:15" ht="12.75">
      <c r="B4" s="8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2:15" ht="20.25">
      <c r="B5" s="8"/>
      <c r="C5" s="476" t="s">
        <v>185</v>
      </c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</row>
    <row r="6" spans="2:15" ht="18">
      <c r="B6" s="8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</row>
    <row r="7" spans="2:15" ht="18" customHeight="1" thickBot="1"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</row>
    <row r="8" spans="2:16" ht="6.75" customHeight="1" thickBot="1">
      <c r="B8" s="205"/>
      <c r="C8" s="512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190"/>
    </row>
    <row r="9" spans="2:16" ht="23.25">
      <c r="B9" s="202"/>
      <c r="C9" s="509" t="s">
        <v>49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190"/>
    </row>
    <row r="10" spans="2:16" ht="6.75" customHeight="1" thickBot="1">
      <c r="B10" s="202"/>
      <c r="C10" s="511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191"/>
    </row>
    <row r="11" spans="2:16" ht="21" thickBot="1">
      <c r="B11" s="202"/>
      <c r="C11" s="425"/>
      <c r="D11" s="204"/>
      <c r="E11" s="33"/>
      <c r="F11" s="39"/>
      <c r="G11" s="504" t="s">
        <v>191</v>
      </c>
      <c r="H11" s="505"/>
      <c r="I11" s="506"/>
      <c r="J11" s="504" t="s">
        <v>219</v>
      </c>
      <c r="K11" s="505"/>
      <c r="L11" s="506"/>
      <c r="M11" s="504" t="s">
        <v>74</v>
      </c>
      <c r="N11" s="505"/>
      <c r="O11" s="506"/>
      <c r="P11" s="191"/>
    </row>
    <row r="12" spans="2:16" ht="26.25" thickBot="1">
      <c r="B12" s="202"/>
      <c r="C12" s="426"/>
      <c r="D12" s="33"/>
      <c r="E12" s="35"/>
      <c r="F12" s="40"/>
      <c r="G12" s="219" t="s">
        <v>68</v>
      </c>
      <c r="H12" s="220" t="s">
        <v>69</v>
      </c>
      <c r="I12" s="221" t="s">
        <v>70</v>
      </c>
      <c r="J12" s="222" t="s">
        <v>68</v>
      </c>
      <c r="K12" s="220" t="s">
        <v>69</v>
      </c>
      <c r="L12" s="221" t="s">
        <v>70</v>
      </c>
      <c r="M12" s="223" t="s">
        <v>80</v>
      </c>
      <c r="N12" s="224" t="s">
        <v>81</v>
      </c>
      <c r="O12" s="225" t="s">
        <v>77</v>
      </c>
      <c r="P12" s="191"/>
    </row>
    <row r="13" spans="2:16" ht="18" customHeight="1" thickBot="1">
      <c r="B13" s="202"/>
      <c r="C13" s="499" t="s">
        <v>71</v>
      </c>
      <c r="D13" s="500"/>
      <c r="E13" s="33"/>
      <c r="F13" s="228" t="s">
        <v>72</v>
      </c>
      <c r="G13" s="238"/>
      <c r="H13" s="239"/>
      <c r="I13" s="240">
        <f>+'2009 Existing Rates'!$C$8</f>
        <v>12.53</v>
      </c>
      <c r="J13" s="238"/>
      <c r="K13" s="422"/>
      <c r="L13" s="242">
        <f>+'Distribution Rate Schedule'!$C$35</f>
        <v>14.84</v>
      </c>
      <c r="M13" s="248">
        <f>+L13-I13</f>
        <v>2.3100000000000005</v>
      </c>
      <c r="N13" s="249">
        <f aca="true" t="shared" si="0" ref="N13:N20">+M13/I13</f>
        <v>0.1843575418994414</v>
      </c>
      <c r="O13" s="250">
        <f>L13/$L$29</f>
        <v>0.14561065849397264</v>
      </c>
      <c r="P13" s="191"/>
    </row>
    <row r="14" spans="2:16" ht="18" customHeight="1" thickBot="1">
      <c r="B14" s="202"/>
      <c r="C14" s="200">
        <v>800</v>
      </c>
      <c r="D14" s="201" t="s">
        <v>17</v>
      </c>
      <c r="E14" s="33"/>
      <c r="F14" s="229" t="s">
        <v>73</v>
      </c>
      <c r="G14" s="233">
        <f>+C14</f>
        <v>800</v>
      </c>
      <c r="H14" s="227">
        <f>+'2009 Existing Rates'!$E$8</f>
        <v>0.0112</v>
      </c>
      <c r="I14" s="241">
        <f>+G14*H14</f>
        <v>8.959999999999999</v>
      </c>
      <c r="J14" s="233">
        <f>+C14</f>
        <v>800</v>
      </c>
      <c r="K14" s="226">
        <f>+'Distribution Rate Schedule'!$E$35</f>
        <v>0.0133</v>
      </c>
      <c r="L14" s="244">
        <f>+J14*K14</f>
        <v>10.639999999999999</v>
      </c>
      <c r="M14" s="251">
        <f>+L14-I14</f>
        <v>1.6799999999999997</v>
      </c>
      <c r="N14" s="245">
        <f t="shared" si="0"/>
        <v>0.1875</v>
      </c>
      <c r="O14" s="252">
        <f>L14/$L$29</f>
        <v>0.1044000947692634</v>
      </c>
      <c r="P14" s="191"/>
    </row>
    <row r="15" spans="2:16" ht="18" customHeight="1">
      <c r="B15" s="202"/>
      <c r="C15" s="427"/>
      <c r="D15" s="63"/>
      <c r="E15" s="33"/>
      <c r="F15" s="232" t="s">
        <v>262</v>
      </c>
      <c r="G15" s="247"/>
      <c r="H15" s="246"/>
      <c r="I15" s="241">
        <v>2.11</v>
      </c>
      <c r="J15" s="247"/>
      <c r="K15" s="423"/>
      <c r="L15" s="244">
        <f>'2010 Rate Rider'!D$7</f>
        <v>1.47</v>
      </c>
      <c r="M15" s="251">
        <f>+L15-I15</f>
        <v>-0.6399999999999999</v>
      </c>
      <c r="N15" s="245">
        <f t="shared" si="0"/>
        <v>-0.30331753554502366</v>
      </c>
      <c r="O15" s="252">
        <f>L15/$L$29</f>
        <v>0.014423697303648234</v>
      </c>
      <c r="P15" s="191"/>
    </row>
    <row r="16" spans="2:16" ht="18" customHeight="1">
      <c r="B16" s="202"/>
      <c r="C16" s="427"/>
      <c r="D16" s="63"/>
      <c r="E16" s="33"/>
      <c r="F16" s="232" t="s">
        <v>164</v>
      </c>
      <c r="G16" s="233">
        <f>C14</f>
        <v>800</v>
      </c>
      <c r="H16" s="227">
        <v>0</v>
      </c>
      <c r="I16" s="241">
        <f>+G16*H16</f>
        <v>0</v>
      </c>
      <c r="J16" s="233">
        <f>C14</f>
        <v>800</v>
      </c>
      <c r="K16" s="226">
        <f>'LRAM and SSM Rate Rider'!L9</f>
        <v>0.0004</v>
      </c>
      <c r="L16" s="244">
        <f>+J16*K16</f>
        <v>0.32</v>
      </c>
      <c r="M16" s="251">
        <f>+L16-I16</f>
        <v>0.32</v>
      </c>
      <c r="N16" s="245">
        <v>0</v>
      </c>
      <c r="O16" s="252">
        <f>L16/$L$29</f>
        <v>0.0031398524742635614</v>
      </c>
      <c r="P16" s="191"/>
    </row>
    <row r="17" spans="2:16" ht="18" customHeight="1" thickBot="1">
      <c r="B17" s="202"/>
      <c r="C17" s="426"/>
      <c r="D17" s="33"/>
      <c r="E17" s="33"/>
      <c r="F17" s="230" t="s">
        <v>78</v>
      </c>
      <c r="G17" s="253">
        <f>+C14</f>
        <v>800</v>
      </c>
      <c r="H17" s="254">
        <f>+'2009 Existing Rates'!$B$22</f>
        <v>0</v>
      </c>
      <c r="I17" s="237">
        <f>+G17*H17</f>
        <v>0</v>
      </c>
      <c r="J17" s="253">
        <f>+C14</f>
        <v>800</v>
      </c>
      <c r="K17" s="254">
        <f>+'2010 Rate Rider'!$B$7</f>
        <v>0.00041856528811017485</v>
      </c>
      <c r="L17" s="255">
        <f>+J17*K17</f>
        <v>0.3348522304881399</v>
      </c>
      <c r="M17" s="256">
        <f>+L17-I17</f>
        <v>0.3348522304881399</v>
      </c>
      <c r="N17" s="257">
        <v>1</v>
      </c>
      <c r="O17" s="258">
        <f>L17/$L$29</f>
        <v>0.003285583138783932</v>
      </c>
      <c r="P17" s="191"/>
    </row>
    <row r="18" spans="2:16" ht="18" customHeight="1" thickBot="1">
      <c r="B18" s="202"/>
      <c r="C18" s="426"/>
      <c r="D18" s="33"/>
      <c r="E18" s="33"/>
      <c r="F18" s="394" t="s">
        <v>251</v>
      </c>
      <c r="G18" s="507"/>
      <c r="H18" s="508"/>
      <c r="I18" s="263">
        <f>SUM(I13:I17)</f>
        <v>23.599999999999998</v>
      </c>
      <c r="J18" s="507"/>
      <c r="K18" s="508"/>
      <c r="L18" s="263">
        <f>SUM(L13:L17)</f>
        <v>27.604852230488135</v>
      </c>
      <c r="M18" s="265">
        <f>SUM(M13:M17)</f>
        <v>4.00485223048814</v>
      </c>
      <c r="N18" s="266">
        <f t="shared" si="0"/>
        <v>0.16969712841051443</v>
      </c>
      <c r="O18" s="271">
        <f>SUM(O13:O17)</f>
        <v>0.2708598861799318</v>
      </c>
      <c r="P18" s="191"/>
    </row>
    <row r="19" spans="2:16" ht="18" customHeight="1">
      <c r="B19" s="202"/>
      <c r="C19" s="426"/>
      <c r="D19" s="33"/>
      <c r="E19" s="33"/>
      <c r="F19" s="231" t="s">
        <v>249</v>
      </c>
      <c r="G19" s="234">
        <f>$C$14*'Other Electricity Rates'!$P$9</f>
        <v>830.9224</v>
      </c>
      <c r="H19" s="235">
        <f>+'Other Electricity Rates'!$C$9</f>
        <v>0.0052</v>
      </c>
      <c r="I19" s="236">
        <f>+G19*H19</f>
        <v>4.32079648</v>
      </c>
      <c r="J19" s="234">
        <f>$C$14*'Other Electricity Rates'!$Q$9</f>
        <v>838.414320467187</v>
      </c>
      <c r="K19" s="235">
        <f>'Other Electricity Rates'!C44</f>
        <v>0.0052790266705327995</v>
      </c>
      <c r="L19" s="259">
        <f>+J19*K19</f>
        <v>4.426011558702914</v>
      </c>
      <c r="M19" s="260">
        <f>+L19-I19</f>
        <v>0.1052150787029138</v>
      </c>
      <c r="N19" s="261">
        <f t="shared" si="0"/>
        <v>0.02435085271660696</v>
      </c>
      <c r="O19" s="262">
        <f>L19/$L$29</f>
        <v>0.04342819794910146</v>
      </c>
      <c r="P19" s="191"/>
    </row>
    <row r="20" spans="2:16" ht="18" customHeight="1" thickBot="1">
      <c r="B20" s="202"/>
      <c r="C20" s="426"/>
      <c r="D20" s="33"/>
      <c r="E20" s="33"/>
      <c r="F20" s="231" t="s">
        <v>250</v>
      </c>
      <c r="G20" s="234">
        <f>$C$14*'Other Electricity Rates'!$P$9</f>
        <v>830.9224</v>
      </c>
      <c r="H20" s="235">
        <f>+'Other Electricity Rates'!$B$9</f>
        <v>0.0047</v>
      </c>
      <c r="I20" s="236">
        <f>+G20*H20</f>
        <v>3.9053352800000005</v>
      </c>
      <c r="J20" s="234">
        <f>$C$14*'Other Electricity Rates'!$Q$9</f>
        <v>838.414320467187</v>
      </c>
      <c r="K20" s="235">
        <f>'Other Electricity Rates'!C34</f>
        <v>0.004826479689963714</v>
      </c>
      <c r="L20" s="259">
        <f>+J20*K20</f>
        <v>4.046589689509607</v>
      </c>
      <c r="M20" s="260">
        <f>+L20-I20</f>
        <v>0.14125440950960622</v>
      </c>
      <c r="N20" s="261">
        <f t="shared" si="0"/>
        <v>0.03616959860860044</v>
      </c>
      <c r="O20" s="262">
        <f>L20/$L$29</f>
        <v>0.03970529577792548</v>
      </c>
      <c r="P20" s="191"/>
    </row>
    <row r="21" spans="2:16" ht="18" customHeight="1" thickBot="1">
      <c r="B21" s="202"/>
      <c r="C21" s="426"/>
      <c r="D21" s="33"/>
      <c r="E21" s="33"/>
      <c r="F21" s="394" t="s">
        <v>252</v>
      </c>
      <c r="G21" s="507"/>
      <c r="H21" s="508"/>
      <c r="I21" s="263">
        <f>SUM(I18:I20)</f>
        <v>31.82613176</v>
      </c>
      <c r="J21" s="507"/>
      <c r="K21" s="508"/>
      <c r="L21" s="263">
        <f>SUM(L18:L20)</f>
        <v>36.077453478700654</v>
      </c>
      <c r="M21" s="263">
        <f>SUM(M18:M20)</f>
        <v>4.251321718700661</v>
      </c>
      <c r="N21" s="266">
        <f>+M21/I21</f>
        <v>0.13357959273089684</v>
      </c>
      <c r="O21" s="271">
        <f>SUM(O18:O20)</f>
        <v>0.3539933799069587</v>
      </c>
      <c r="P21" s="191"/>
    </row>
    <row r="22" spans="2:16" ht="18" customHeight="1">
      <c r="B22" s="202"/>
      <c r="C22" s="426"/>
      <c r="D22" s="33"/>
      <c r="E22" s="33"/>
      <c r="F22" s="231" t="s">
        <v>253</v>
      </c>
      <c r="G22" s="234">
        <f>$C$14*'Other Electricity Rates'!$P$9</f>
        <v>830.9224</v>
      </c>
      <c r="H22" s="235">
        <f>'Other Electricity Rates'!$D$9</f>
        <v>0.0065</v>
      </c>
      <c r="I22" s="236">
        <f>+G22*H22</f>
        <v>5.4009956</v>
      </c>
      <c r="J22" s="234">
        <f>$C$14*'Other Electricity Rates'!$Q$9</f>
        <v>838.414320467187</v>
      </c>
      <c r="K22" s="235">
        <f>'Other Electricity Rates'!D9</f>
        <v>0.0065</v>
      </c>
      <c r="L22" s="259">
        <f>+J22*K22</f>
        <v>5.449693083036715</v>
      </c>
      <c r="M22" s="260">
        <f>+L22-I22</f>
        <v>0.04869748303671528</v>
      </c>
      <c r="N22" s="261">
        <f>+M22/I22</f>
        <v>0.009016390059031947</v>
      </c>
      <c r="O22" s="262">
        <f>L22/$L$29</f>
        <v>0.05347260097109326</v>
      </c>
      <c r="P22" s="191"/>
    </row>
    <row r="23" spans="2:16" ht="18" customHeight="1">
      <c r="B23" s="202"/>
      <c r="C23" s="426"/>
      <c r="D23" s="33"/>
      <c r="E23" s="33"/>
      <c r="F23" s="232" t="s">
        <v>254</v>
      </c>
      <c r="G23" s="234">
        <v>0</v>
      </c>
      <c r="H23" s="235">
        <v>0</v>
      </c>
      <c r="I23" s="236">
        <f>+G23*H23</f>
        <v>0</v>
      </c>
      <c r="J23" s="234">
        <v>0</v>
      </c>
      <c r="K23" s="235">
        <v>0</v>
      </c>
      <c r="L23" s="259">
        <f>+J23*K23</f>
        <v>0</v>
      </c>
      <c r="M23" s="260">
        <f>+L23-I23</f>
        <v>0</v>
      </c>
      <c r="N23" s="261"/>
      <c r="O23" s="262">
        <f>L23/$L$29</f>
        <v>0</v>
      </c>
      <c r="P23" s="191"/>
    </row>
    <row r="24" spans="2:16" ht="18" customHeight="1">
      <c r="B24" s="202"/>
      <c r="C24" s="426"/>
      <c r="D24" s="33"/>
      <c r="E24" s="33"/>
      <c r="F24" s="232" t="s">
        <v>255</v>
      </c>
      <c r="G24" s="234">
        <f>C14</f>
        <v>800</v>
      </c>
      <c r="H24" s="235">
        <f>'Other Electricity Rates'!$E$9</f>
        <v>0.007</v>
      </c>
      <c r="I24" s="236">
        <f>+G24*H24</f>
        <v>5.6000000000000005</v>
      </c>
      <c r="J24" s="234">
        <f>C14</f>
        <v>800</v>
      </c>
      <c r="K24" s="235">
        <f>'Other Electricity Rates'!E9</f>
        <v>0.007</v>
      </c>
      <c r="L24" s="259">
        <f>+J24*K24</f>
        <v>5.6000000000000005</v>
      </c>
      <c r="M24" s="260">
        <f>+L24-I24</f>
        <v>0</v>
      </c>
      <c r="N24" s="261">
        <f aca="true" t="shared" si="1" ref="N24:N29">+M24/I24</f>
        <v>0</v>
      </c>
      <c r="O24" s="262">
        <f>L24/$L$29</f>
        <v>0.054947418299612326</v>
      </c>
      <c r="P24" s="191"/>
    </row>
    <row r="25" spans="2:16" ht="18" customHeight="1">
      <c r="B25" s="202"/>
      <c r="C25" s="426"/>
      <c r="D25" s="33"/>
      <c r="E25" s="33"/>
      <c r="F25" s="232" t="s">
        <v>79</v>
      </c>
      <c r="G25" s="234">
        <v>600</v>
      </c>
      <c r="H25" s="235">
        <f>'Other Electricity Rates'!$N$9</f>
        <v>0.057</v>
      </c>
      <c r="I25" s="236">
        <f>+G25*H25</f>
        <v>34.2</v>
      </c>
      <c r="J25" s="234">
        <v>600</v>
      </c>
      <c r="K25" s="235">
        <f>+'Other Electricity Rates'!$N$9</f>
        <v>0.057</v>
      </c>
      <c r="L25" s="259">
        <f>+J25*K25</f>
        <v>34.2</v>
      </c>
      <c r="M25" s="260">
        <f>+L25-I25</f>
        <v>0</v>
      </c>
      <c r="N25" s="261">
        <f t="shared" si="1"/>
        <v>0</v>
      </c>
      <c r="O25" s="262">
        <f>L25/$L$29</f>
        <v>0.33557173318691813</v>
      </c>
      <c r="P25" s="191"/>
    </row>
    <row r="26" spans="2:16" ht="18" customHeight="1" thickBot="1">
      <c r="B26" s="202"/>
      <c r="C26" s="426"/>
      <c r="D26" s="33"/>
      <c r="E26" s="33"/>
      <c r="F26" s="232" t="s">
        <v>79</v>
      </c>
      <c r="G26" s="234">
        <f>($C$14*'Other Electricity Rates'!$P$9)-G25</f>
        <v>230.92240000000004</v>
      </c>
      <c r="H26" s="235">
        <f>'Other Electricity Rates'!O9</f>
        <v>0.066</v>
      </c>
      <c r="I26" s="236">
        <f>+G26*H26</f>
        <v>15.240878400000003</v>
      </c>
      <c r="J26" s="234">
        <f>($C$14*'Other Electricity Rates'!$Q$9)-J25</f>
        <v>238.41432046718705</v>
      </c>
      <c r="K26" s="235">
        <f>+'Other Electricity Rates'!$O$9</f>
        <v>0.066</v>
      </c>
      <c r="L26" s="259">
        <f>+J26*K26</f>
        <v>15.735345150834346</v>
      </c>
      <c r="M26" s="260">
        <f>+L26-I26</f>
        <v>0.4944667508343432</v>
      </c>
      <c r="N26" s="261">
        <f t="shared" si="1"/>
        <v>0.03244345488868562</v>
      </c>
      <c r="O26" s="262">
        <f>L26/$L$29</f>
        <v>0.15439582001636984</v>
      </c>
      <c r="P26" s="191"/>
    </row>
    <row r="27" spans="2:16" ht="18" customHeight="1" thickBot="1">
      <c r="B27" s="202"/>
      <c r="C27" s="426"/>
      <c r="D27" s="33"/>
      <c r="E27" s="33"/>
      <c r="F27" s="394" t="s">
        <v>256</v>
      </c>
      <c r="G27" s="507"/>
      <c r="H27" s="508"/>
      <c r="I27" s="263">
        <f>SUM(I21:I26)</f>
        <v>92.26800576000001</v>
      </c>
      <c r="J27" s="507"/>
      <c r="K27" s="508"/>
      <c r="L27" s="263">
        <f>SUM(L21:L26)</f>
        <v>97.06249171257173</v>
      </c>
      <c r="M27" s="263">
        <f>SUM(M21:M26)</f>
        <v>4.794485952571719</v>
      </c>
      <c r="N27" s="266">
        <f t="shared" si="1"/>
        <v>0.05196260516394755</v>
      </c>
      <c r="O27" s="271">
        <f>SUM(O21:O26)</f>
        <v>0.9523809523809522</v>
      </c>
      <c r="P27" s="191"/>
    </row>
    <row r="28" spans="2:16" ht="18" customHeight="1" thickBot="1">
      <c r="B28" s="202"/>
      <c r="C28" s="426"/>
      <c r="D28" s="33"/>
      <c r="E28" s="33"/>
      <c r="F28" s="321" t="s">
        <v>203</v>
      </c>
      <c r="G28" s="322"/>
      <c r="H28" s="325">
        <v>0.05</v>
      </c>
      <c r="I28" s="323">
        <f>I27*H28</f>
        <v>4.613400288</v>
      </c>
      <c r="J28" s="322"/>
      <c r="K28" s="325">
        <v>0.05</v>
      </c>
      <c r="L28" s="324">
        <f>L27*K28</f>
        <v>4.853124585628587</v>
      </c>
      <c r="M28" s="256">
        <f>+L28-I28</f>
        <v>0.2397242976285865</v>
      </c>
      <c r="N28" s="257">
        <f t="shared" si="1"/>
        <v>0.05196260516394767</v>
      </c>
      <c r="O28" s="272">
        <f>L28/$L$29</f>
        <v>0.04761904761904762</v>
      </c>
      <c r="P28" s="191"/>
    </row>
    <row r="29" spans="2:16" ht="18" customHeight="1" thickBot="1">
      <c r="B29" s="202"/>
      <c r="C29" s="426"/>
      <c r="D29" s="33"/>
      <c r="E29" s="37"/>
      <c r="F29" s="394" t="s">
        <v>257</v>
      </c>
      <c r="G29" s="515"/>
      <c r="H29" s="516"/>
      <c r="I29" s="264">
        <f>I27+I28</f>
        <v>96.881406048</v>
      </c>
      <c r="J29" s="515"/>
      <c r="K29" s="516"/>
      <c r="L29" s="264">
        <f>L27+L28</f>
        <v>101.91561629820032</v>
      </c>
      <c r="M29" s="264">
        <f>M27+M28</f>
        <v>5.034210250200306</v>
      </c>
      <c r="N29" s="266">
        <f t="shared" si="1"/>
        <v>0.051962605163947566</v>
      </c>
      <c r="O29" s="271">
        <f>O27+O28</f>
        <v>0.9999999999999999</v>
      </c>
      <c r="P29" s="191"/>
    </row>
    <row r="30" spans="2:16" ht="6.75" customHeight="1" thickBot="1">
      <c r="B30" s="192"/>
      <c r="C30" s="428"/>
      <c r="D30" s="209"/>
      <c r="E30" s="209"/>
      <c r="F30" s="210"/>
      <c r="G30" s="211"/>
      <c r="H30" s="212"/>
      <c r="I30" s="213"/>
      <c r="J30" s="211"/>
      <c r="K30" s="214"/>
      <c r="L30" s="213"/>
      <c r="M30" s="218"/>
      <c r="N30" s="216"/>
      <c r="O30" s="217"/>
      <c r="P30" s="197"/>
    </row>
    <row r="31" spans="3:16" ht="6.75" customHeight="1" thickBot="1">
      <c r="C31" s="426"/>
      <c r="D31" s="33"/>
      <c r="E31" s="33"/>
      <c r="F31" s="50"/>
      <c r="G31" s="51"/>
      <c r="H31" s="52"/>
      <c r="I31" s="53"/>
      <c r="J31" s="51"/>
      <c r="K31" s="54"/>
      <c r="L31" s="53"/>
      <c r="M31" s="208"/>
      <c r="N31" s="206"/>
      <c r="O31" s="207"/>
      <c r="P31" s="191"/>
    </row>
    <row r="32" spans="2:16" ht="6.75" customHeight="1">
      <c r="B32" s="205"/>
      <c r="C32" s="512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190"/>
    </row>
    <row r="33" spans="2:16" ht="23.25">
      <c r="B33" s="202"/>
      <c r="C33" s="513" t="s">
        <v>138</v>
      </c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191"/>
    </row>
    <row r="34" spans="2:16" ht="6.75" customHeight="1" thickBot="1">
      <c r="B34" s="202"/>
      <c r="C34" s="511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191"/>
    </row>
    <row r="35" spans="2:16" ht="21" thickBot="1">
      <c r="B35" s="202"/>
      <c r="C35" s="425"/>
      <c r="D35" s="204"/>
      <c r="E35" s="33"/>
      <c r="F35" s="34"/>
      <c r="G35" s="504" t="str">
        <f>+G11</f>
        <v>2009 BILL</v>
      </c>
      <c r="H35" s="505"/>
      <c r="I35" s="506"/>
      <c r="J35" s="504" t="str">
        <f>+J11</f>
        <v>2010 BILL</v>
      </c>
      <c r="K35" s="505"/>
      <c r="L35" s="506"/>
      <c r="M35" s="504" t="str">
        <f>+M11</f>
        <v>IMPACT</v>
      </c>
      <c r="N35" s="505"/>
      <c r="O35" s="506"/>
      <c r="P35" s="191"/>
    </row>
    <row r="36" spans="2:16" ht="26.25" thickBot="1">
      <c r="B36" s="202"/>
      <c r="C36" s="426"/>
      <c r="D36" s="33"/>
      <c r="E36" s="35"/>
      <c r="F36" s="36"/>
      <c r="G36" s="243" t="s">
        <v>68</v>
      </c>
      <c r="H36" s="220" t="s">
        <v>69</v>
      </c>
      <c r="I36" s="221" t="s">
        <v>70</v>
      </c>
      <c r="J36" s="269" t="s">
        <v>68</v>
      </c>
      <c r="K36" s="220" t="s">
        <v>69</v>
      </c>
      <c r="L36" s="221" t="s">
        <v>70</v>
      </c>
      <c r="M36" s="223" t="s">
        <v>75</v>
      </c>
      <c r="N36" s="224" t="s">
        <v>76</v>
      </c>
      <c r="O36" s="225" t="s">
        <v>77</v>
      </c>
      <c r="P36" s="191"/>
    </row>
    <row r="37" spans="2:16" ht="18" customHeight="1" thickBot="1">
      <c r="B37" s="202"/>
      <c r="C37" s="499" t="s">
        <v>71</v>
      </c>
      <c r="D37" s="500"/>
      <c r="E37" s="33"/>
      <c r="F37" s="229" t="s">
        <v>72</v>
      </c>
      <c r="G37" s="267"/>
      <c r="H37" s="268"/>
      <c r="I37" s="240">
        <f>+'2009 Existing Rates'!$C$9</f>
        <v>21.7</v>
      </c>
      <c r="J37" s="267"/>
      <c r="K37" s="270"/>
      <c r="L37" s="242">
        <f>+'Distribution Rate Schedule'!$C$36</f>
        <v>25.7</v>
      </c>
      <c r="M37" s="248">
        <f>+L37-I37</f>
        <v>4</v>
      </c>
      <c r="N37" s="249">
        <f>+M37/I37</f>
        <v>0.18433179723502305</v>
      </c>
      <c r="O37" s="250">
        <f>L37/$L$53</f>
        <v>0.10205763647799049</v>
      </c>
      <c r="P37" s="191"/>
    </row>
    <row r="38" spans="2:16" ht="18" customHeight="1" thickBot="1">
      <c r="B38" s="202"/>
      <c r="C38" s="200">
        <v>2000</v>
      </c>
      <c r="D38" s="201" t="s">
        <v>17</v>
      </c>
      <c r="E38" s="33"/>
      <c r="F38" s="229" t="s">
        <v>73</v>
      </c>
      <c r="G38" s="233">
        <f>+C38</f>
        <v>2000</v>
      </c>
      <c r="H38" s="227">
        <f>+'2009 Existing Rates'!$E$9</f>
        <v>0.0139</v>
      </c>
      <c r="I38" s="241">
        <f>+G38*H38</f>
        <v>27.799999999999997</v>
      </c>
      <c r="J38" s="233">
        <f>+C38</f>
        <v>2000</v>
      </c>
      <c r="K38" s="226">
        <f>+'Distribution Rate Schedule'!$E$36</f>
        <v>0.0165</v>
      </c>
      <c r="L38" s="244">
        <f>+J38*K38</f>
        <v>33</v>
      </c>
      <c r="M38" s="251">
        <f>+L38-I38</f>
        <v>5.200000000000003</v>
      </c>
      <c r="N38" s="245">
        <f>+M38/I38</f>
        <v>0.18705035971223033</v>
      </c>
      <c r="O38" s="252">
        <f>L38/$L$53</f>
        <v>0.1310467705748516</v>
      </c>
      <c r="P38" s="191"/>
    </row>
    <row r="39" spans="2:16" ht="18" customHeight="1">
      <c r="B39" s="202"/>
      <c r="C39" s="427"/>
      <c r="D39" s="63"/>
      <c r="E39" s="33"/>
      <c r="F39" s="232" t="s">
        <v>262</v>
      </c>
      <c r="G39" s="233"/>
      <c r="H39" s="227"/>
      <c r="I39" s="241">
        <f>'2009 Existing Rates'!B49</f>
        <v>2.11</v>
      </c>
      <c r="J39" s="233"/>
      <c r="K39" s="226"/>
      <c r="L39" s="244">
        <f>'2010 Rate Rider'!D$8</f>
        <v>1.47</v>
      </c>
      <c r="M39" s="251">
        <f>+L39-I39</f>
        <v>-0.6399999999999999</v>
      </c>
      <c r="N39" s="245">
        <f>+M39/I39</f>
        <v>-0.30331753554502366</v>
      </c>
      <c r="O39" s="252">
        <f>L39/$L$53</f>
        <v>0.005837537961970662</v>
      </c>
      <c r="P39" s="191"/>
    </row>
    <row r="40" spans="2:16" ht="18" customHeight="1">
      <c r="B40" s="202"/>
      <c r="C40" s="427"/>
      <c r="D40" s="63"/>
      <c r="E40" s="33"/>
      <c r="F40" s="232" t="s">
        <v>164</v>
      </c>
      <c r="G40" s="233">
        <f>+G38</f>
        <v>2000</v>
      </c>
      <c r="H40" s="227">
        <v>0</v>
      </c>
      <c r="I40" s="241">
        <f>+G40*H40</f>
        <v>0</v>
      </c>
      <c r="J40" s="233">
        <f>+G40</f>
        <v>2000</v>
      </c>
      <c r="K40" s="226">
        <f>'LRAM and SSM Rate Rider'!$L$10</f>
        <v>0.0002</v>
      </c>
      <c r="L40" s="244">
        <f>+J40*K40</f>
        <v>0.4</v>
      </c>
      <c r="M40" s="251">
        <f>+L40-I40</f>
        <v>0.4</v>
      </c>
      <c r="N40" s="245">
        <v>1</v>
      </c>
      <c r="O40" s="252">
        <f>L40/$L$53</f>
        <v>0.0015884457039375952</v>
      </c>
      <c r="P40" s="191"/>
    </row>
    <row r="41" spans="2:16" ht="18" customHeight="1" thickBot="1">
      <c r="B41" s="202"/>
      <c r="C41" s="426"/>
      <c r="D41" s="33"/>
      <c r="E41" s="33"/>
      <c r="F41" s="229" t="s">
        <v>78</v>
      </c>
      <c r="G41" s="233">
        <f>+C38</f>
        <v>2000</v>
      </c>
      <c r="H41" s="227">
        <f>+'2009 Existing Rates'!$B$23</f>
        <v>0</v>
      </c>
      <c r="I41" s="241">
        <f>+G41*H41</f>
        <v>0</v>
      </c>
      <c r="J41" s="233">
        <f>+C38</f>
        <v>2000</v>
      </c>
      <c r="K41" s="226">
        <f>+'2010 Rate Rider'!$B$8</f>
        <v>0.0003952060955391778</v>
      </c>
      <c r="L41" s="244">
        <f>+J41*K41</f>
        <v>0.7904121910783556</v>
      </c>
      <c r="M41" s="251">
        <f>+L41-I41</f>
        <v>0.7904121910783556</v>
      </c>
      <c r="N41" s="245">
        <v>0</v>
      </c>
      <c r="O41" s="252">
        <f>L41/$L$53</f>
        <v>0.003138817123145789</v>
      </c>
      <c r="P41" s="191"/>
    </row>
    <row r="42" spans="2:16" ht="18" customHeight="1" thickBot="1">
      <c r="B42" s="202"/>
      <c r="C42" s="426"/>
      <c r="D42" s="33"/>
      <c r="E42" s="33"/>
      <c r="F42" s="394" t="s">
        <v>251</v>
      </c>
      <c r="G42" s="507"/>
      <c r="H42" s="508"/>
      <c r="I42" s="263">
        <f>SUM(I37:I41)</f>
        <v>51.61</v>
      </c>
      <c r="J42" s="507"/>
      <c r="K42" s="508"/>
      <c r="L42" s="263">
        <f>SUM(L37:L41)</f>
        <v>61.36041219107835</v>
      </c>
      <c r="M42" s="265">
        <f>SUM(M37:M41)</f>
        <v>9.750412191078357</v>
      </c>
      <c r="N42" s="266">
        <f>+M42/I42</f>
        <v>0.18892486322569962</v>
      </c>
      <c r="O42" s="271">
        <f>SUM(O37:O41)</f>
        <v>0.24366920784189613</v>
      </c>
      <c r="P42" s="191"/>
    </row>
    <row r="43" spans="2:16" ht="18" customHeight="1">
      <c r="B43" s="202"/>
      <c r="C43" s="426"/>
      <c r="D43" s="33"/>
      <c r="E43" s="33"/>
      <c r="F43" s="231" t="s">
        <v>249</v>
      </c>
      <c r="G43" s="234">
        <f>$C$38*'Other Electricity Rates'!$P$10</f>
        <v>2077.306</v>
      </c>
      <c r="H43" s="235">
        <f>+'Other Electricity Rates'!$C$10</f>
        <v>0.0048</v>
      </c>
      <c r="I43" s="236">
        <f>+G43*H43</f>
        <v>9.9710688</v>
      </c>
      <c r="J43" s="234">
        <f>$C$38*'Other Electricity Rates'!$Q$10</f>
        <v>2096.0358011679677</v>
      </c>
      <c r="K43" s="235">
        <f>'Other Electricity Rates'!C45</f>
        <v>0.00487294769587643</v>
      </c>
      <c r="L43" s="259">
        <f>+J43*K43</f>
        <v>10.213872827775957</v>
      </c>
      <c r="M43" s="260">
        <f>+L43-I43</f>
        <v>0.2428040277759571</v>
      </c>
      <c r="N43" s="245">
        <f>+M43/I43</f>
        <v>0.024350852716607183</v>
      </c>
      <c r="O43" s="252">
        <f>L43/$L$53</f>
        <v>0.04056045603461414</v>
      </c>
      <c r="P43" s="191"/>
    </row>
    <row r="44" spans="2:16" ht="18" customHeight="1" thickBot="1">
      <c r="B44" s="202"/>
      <c r="C44" s="426"/>
      <c r="D44" s="33"/>
      <c r="E44" s="33"/>
      <c r="F44" s="231" t="s">
        <v>250</v>
      </c>
      <c r="G44" s="234">
        <f>$C$38*'Other Electricity Rates'!$P$10</f>
        <v>2077.306</v>
      </c>
      <c r="H44" s="235">
        <f>+'Other Electricity Rates'!$B$10</f>
        <v>0.0042</v>
      </c>
      <c r="I44" s="236">
        <f>+G44*H44</f>
        <v>8.7246852</v>
      </c>
      <c r="J44" s="234">
        <f>$C$38*'Other Electricity Rates'!$Q$10</f>
        <v>2096.0358011679677</v>
      </c>
      <c r="K44" s="235">
        <f>'Other Electricity Rates'!C35</f>
        <v>0.0043130244037973605</v>
      </c>
      <c r="L44" s="259">
        <f>+J44*K44</f>
        <v>9.040253561670397</v>
      </c>
      <c r="M44" s="260">
        <f>+L44-I44</f>
        <v>0.3155683616703975</v>
      </c>
      <c r="N44" s="245">
        <f>+M44/I44</f>
        <v>0.036169598608600514</v>
      </c>
      <c r="O44" s="252">
        <f>L44/$L$53</f>
        <v>0.03589987983135472</v>
      </c>
      <c r="P44" s="191"/>
    </row>
    <row r="45" spans="2:16" ht="18" customHeight="1" thickBot="1">
      <c r="B45" s="202"/>
      <c r="C45" s="426"/>
      <c r="D45" s="33"/>
      <c r="E45" s="33"/>
      <c r="F45" s="394" t="s">
        <v>252</v>
      </c>
      <c r="G45" s="507"/>
      <c r="H45" s="508"/>
      <c r="I45" s="263">
        <f>SUM(I42:I44)</f>
        <v>70.305754</v>
      </c>
      <c r="J45" s="507"/>
      <c r="K45" s="508"/>
      <c r="L45" s="263">
        <f>SUM(L42:L44)</f>
        <v>80.61453858052471</v>
      </c>
      <c r="M45" s="263">
        <f>SUM(M42:M44)</f>
        <v>10.308784580524712</v>
      </c>
      <c r="N45" s="266">
        <f>+M45/I45</f>
        <v>0.14662789308147828</v>
      </c>
      <c r="O45" s="271">
        <f>SUM(O42:O44)</f>
        <v>0.320129543707865</v>
      </c>
      <c r="P45" s="191"/>
    </row>
    <row r="46" spans="2:16" ht="18" customHeight="1">
      <c r="B46" s="202"/>
      <c r="C46" s="426"/>
      <c r="D46" s="33"/>
      <c r="E46" s="33"/>
      <c r="F46" s="231" t="s">
        <v>253</v>
      </c>
      <c r="G46" s="234">
        <f>$C$38*'Other Electricity Rates'!$P$10</f>
        <v>2077.306</v>
      </c>
      <c r="H46" s="235">
        <f>'Other Electricity Rates'!$D$10</f>
        <v>0.0065</v>
      </c>
      <c r="I46" s="236">
        <f>+G46*H46</f>
        <v>13.502488999999999</v>
      </c>
      <c r="J46" s="234">
        <f>$C$38*'Other Electricity Rates'!$Q$10</f>
        <v>2096.0358011679677</v>
      </c>
      <c r="K46" s="235">
        <f>'Other Electricity Rates'!$D$10</f>
        <v>0.0065</v>
      </c>
      <c r="L46" s="259">
        <f>+J46*K46</f>
        <v>13.62423270759179</v>
      </c>
      <c r="M46" s="260">
        <f>+L46-I46</f>
        <v>0.12174370759179176</v>
      </c>
      <c r="N46" s="245">
        <f>+M46/I46</f>
        <v>0.00901639005903221</v>
      </c>
      <c r="O46" s="252">
        <f>L46/$L$53</f>
        <v>0.05410338478455062</v>
      </c>
      <c r="P46" s="191"/>
    </row>
    <row r="47" spans="2:16" ht="18" customHeight="1">
      <c r="B47" s="202"/>
      <c r="C47" s="426"/>
      <c r="D47" s="33"/>
      <c r="E47" s="33"/>
      <c r="F47" s="232" t="s">
        <v>254</v>
      </c>
      <c r="G47" s="234">
        <v>0</v>
      </c>
      <c r="H47" s="235">
        <v>0</v>
      </c>
      <c r="I47" s="236">
        <f>+G47*H47</f>
        <v>0</v>
      </c>
      <c r="J47" s="234">
        <v>0</v>
      </c>
      <c r="K47" s="235">
        <v>0</v>
      </c>
      <c r="L47" s="259">
        <f>+J47*K47</f>
        <v>0</v>
      </c>
      <c r="M47" s="260">
        <f>+L47-I47</f>
        <v>0</v>
      </c>
      <c r="N47" s="245">
        <v>0</v>
      </c>
      <c r="O47" s="252">
        <f>L47/$L$53</f>
        <v>0</v>
      </c>
      <c r="P47" s="191"/>
    </row>
    <row r="48" spans="2:16" ht="18" customHeight="1">
      <c r="B48" s="202"/>
      <c r="C48" s="426"/>
      <c r="D48" s="33"/>
      <c r="E48" s="33"/>
      <c r="F48" s="232" t="s">
        <v>255</v>
      </c>
      <c r="G48" s="234">
        <f>C38</f>
        <v>2000</v>
      </c>
      <c r="H48" s="235">
        <f>'Other Electricity Rates'!$E$10</f>
        <v>0.007</v>
      </c>
      <c r="I48" s="236">
        <f>+G48*H48</f>
        <v>14</v>
      </c>
      <c r="J48" s="234">
        <f>C38</f>
        <v>2000</v>
      </c>
      <c r="K48" s="235">
        <f>'Other Electricity Rates'!$E$10</f>
        <v>0.007</v>
      </c>
      <c r="L48" s="259">
        <f>+J48*K48</f>
        <v>14</v>
      </c>
      <c r="M48" s="260">
        <f>+L48-I48</f>
        <v>0</v>
      </c>
      <c r="N48" s="245">
        <f aca="true" t="shared" si="2" ref="N48:N53">+M48/I48</f>
        <v>0</v>
      </c>
      <c r="O48" s="252">
        <f>L48/$L$53</f>
        <v>0.05559559963781583</v>
      </c>
      <c r="P48" s="191"/>
    </row>
    <row r="49" spans="2:16" ht="18" customHeight="1">
      <c r="B49" s="202"/>
      <c r="C49" s="426"/>
      <c r="D49" s="33"/>
      <c r="E49" s="33"/>
      <c r="F49" s="232" t="s">
        <v>79</v>
      </c>
      <c r="G49" s="234">
        <v>750</v>
      </c>
      <c r="H49" s="235">
        <f>'Other Electricity Rates'!$N$10</f>
        <v>0.057</v>
      </c>
      <c r="I49" s="236">
        <f>+G49*H49</f>
        <v>42.75</v>
      </c>
      <c r="J49" s="234">
        <f>G49</f>
        <v>750</v>
      </c>
      <c r="K49" s="235">
        <f>+'Other Electricity Rates'!$N$9</f>
        <v>0.057</v>
      </c>
      <c r="L49" s="259">
        <f>+J49*K49</f>
        <v>42.75</v>
      </c>
      <c r="M49" s="260">
        <f>+L49-I49</f>
        <v>0</v>
      </c>
      <c r="N49" s="245">
        <f t="shared" si="2"/>
        <v>0</v>
      </c>
      <c r="O49" s="252">
        <f>L49/$L$53</f>
        <v>0.16976513460833048</v>
      </c>
      <c r="P49" s="191"/>
    </row>
    <row r="50" spans="2:16" ht="18" customHeight="1" thickBot="1">
      <c r="B50" s="202"/>
      <c r="C50" s="426"/>
      <c r="D50" s="33"/>
      <c r="E50" s="33"/>
      <c r="F50" s="232" t="s">
        <v>79</v>
      </c>
      <c r="G50" s="234">
        <f>($C$38*'Other Electricity Rates'!$P$10)-G49</f>
        <v>1327.306</v>
      </c>
      <c r="H50" s="235">
        <f>'Other Electricity Rates'!$O$10</f>
        <v>0.066</v>
      </c>
      <c r="I50" s="236">
        <f>+G50*H50</f>
        <v>87.602196</v>
      </c>
      <c r="J50" s="234">
        <f>($C$38*'Other Electricity Rates'!$Q$10)-J49</f>
        <v>1346.0358011679677</v>
      </c>
      <c r="K50" s="235">
        <f>+'Other Electricity Rates'!$O$9</f>
        <v>0.066</v>
      </c>
      <c r="L50" s="259">
        <f>+J50*K50</f>
        <v>88.83836287708587</v>
      </c>
      <c r="M50" s="260">
        <f>+L50-I50</f>
        <v>1.2361668770858643</v>
      </c>
      <c r="N50" s="245">
        <f t="shared" si="2"/>
        <v>0.014111140285636951</v>
      </c>
      <c r="O50" s="252">
        <f>L50/$L$53</f>
        <v>0.3527872896423905</v>
      </c>
      <c r="P50" s="191"/>
    </row>
    <row r="51" spans="2:16" ht="18" customHeight="1" thickBot="1">
      <c r="B51" s="202"/>
      <c r="C51" s="426"/>
      <c r="D51" s="33"/>
      <c r="E51" s="33"/>
      <c r="F51" s="394" t="s">
        <v>256</v>
      </c>
      <c r="G51" s="507"/>
      <c r="H51" s="508"/>
      <c r="I51" s="263">
        <f>SUM(I45:I50)</f>
        <v>228.160439</v>
      </c>
      <c r="J51" s="507"/>
      <c r="K51" s="508"/>
      <c r="L51" s="263">
        <f>SUM(L45:L50)</f>
        <v>239.82713416520235</v>
      </c>
      <c r="M51" s="263">
        <f>SUM(M45:M50)</f>
        <v>11.666695165202368</v>
      </c>
      <c r="N51" s="266">
        <f t="shared" si="2"/>
        <v>0.05113373385998073</v>
      </c>
      <c r="O51" s="271">
        <f>SUM(O45:O50)</f>
        <v>0.9523809523809524</v>
      </c>
      <c r="P51" s="191"/>
    </row>
    <row r="52" spans="2:16" ht="18" customHeight="1" thickBot="1">
      <c r="B52" s="202"/>
      <c r="C52" s="426"/>
      <c r="D52" s="33"/>
      <c r="E52" s="33"/>
      <c r="F52" s="321" t="s">
        <v>203</v>
      </c>
      <c r="G52" s="322"/>
      <c r="H52" s="325">
        <v>0.05</v>
      </c>
      <c r="I52" s="323">
        <f>I51*H52</f>
        <v>11.40802195</v>
      </c>
      <c r="J52" s="322"/>
      <c r="K52" s="325">
        <v>0.05</v>
      </c>
      <c r="L52" s="324">
        <f>L51*K52</f>
        <v>11.991356708260119</v>
      </c>
      <c r="M52" s="256">
        <f>+L52-I52</f>
        <v>0.5833347582601185</v>
      </c>
      <c r="N52" s="257">
        <f t="shared" si="2"/>
        <v>0.05113373385998074</v>
      </c>
      <c r="O52" s="272">
        <f>L52/$L$53</f>
        <v>0.04761904761904762</v>
      </c>
      <c r="P52" s="191"/>
    </row>
    <row r="53" spans="2:16" ht="18" customHeight="1" thickBot="1">
      <c r="B53" s="202"/>
      <c r="C53" s="426"/>
      <c r="D53" s="33"/>
      <c r="E53" s="37"/>
      <c r="F53" s="394" t="s">
        <v>257</v>
      </c>
      <c r="G53" s="515"/>
      <c r="H53" s="516"/>
      <c r="I53" s="264">
        <f>I51+I52</f>
        <v>239.56846095</v>
      </c>
      <c r="J53" s="515"/>
      <c r="K53" s="516"/>
      <c r="L53" s="264">
        <f>L51+L52</f>
        <v>251.81849087346248</v>
      </c>
      <c r="M53" s="264">
        <f>M51+M52</f>
        <v>12.250029923462487</v>
      </c>
      <c r="N53" s="266">
        <f t="shared" si="2"/>
        <v>0.05113373385998073</v>
      </c>
      <c r="O53" s="271">
        <f>O51+O52</f>
        <v>1</v>
      </c>
      <c r="P53" s="191"/>
    </row>
    <row r="54" spans="2:16" ht="6.75" customHeight="1" thickBot="1">
      <c r="B54" s="192"/>
      <c r="C54" s="428"/>
      <c r="D54" s="209"/>
      <c r="E54" s="209"/>
      <c r="F54" s="210"/>
      <c r="G54" s="211"/>
      <c r="H54" s="212"/>
      <c r="I54" s="213"/>
      <c r="J54" s="211"/>
      <c r="K54" s="214"/>
      <c r="L54" s="213"/>
      <c r="M54" s="218"/>
      <c r="N54" s="216"/>
      <c r="O54" s="217"/>
      <c r="P54" s="197"/>
    </row>
    <row r="55" spans="3:15" ht="6.75" customHeight="1" thickBot="1">
      <c r="C55" s="33"/>
      <c r="D55" s="33"/>
      <c r="E55" s="33"/>
      <c r="F55" s="50"/>
      <c r="G55" s="51"/>
      <c r="H55" s="52"/>
      <c r="I55" s="53"/>
      <c r="J55" s="51"/>
      <c r="K55" s="54"/>
      <c r="L55" s="53"/>
      <c r="M55" s="208"/>
      <c r="N55" s="206"/>
      <c r="O55" s="207"/>
    </row>
    <row r="56" spans="2:16" ht="6.75" customHeight="1" thickBot="1">
      <c r="B56" s="205"/>
      <c r="C56" s="503"/>
      <c r="D56" s="503"/>
      <c r="E56" s="503"/>
      <c r="F56" s="503"/>
      <c r="G56" s="503"/>
      <c r="H56" s="503"/>
      <c r="I56" s="503"/>
      <c r="J56" s="503"/>
      <c r="K56" s="503"/>
      <c r="L56" s="503"/>
      <c r="M56" s="503"/>
      <c r="N56" s="503"/>
      <c r="O56" s="503"/>
      <c r="P56" s="190"/>
    </row>
    <row r="57" spans="2:16" ht="23.25">
      <c r="B57" s="202"/>
      <c r="C57" s="509" t="s">
        <v>92</v>
      </c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190"/>
    </row>
    <row r="58" spans="2:16" ht="6.75" customHeight="1" thickBot="1">
      <c r="B58" s="202"/>
      <c r="C58" s="511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191"/>
    </row>
    <row r="59" spans="2:16" ht="21" thickBot="1">
      <c r="B59" s="202"/>
      <c r="C59" s="425"/>
      <c r="D59" s="204"/>
      <c r="E59" s="33"/>
      <c r="F59" s="34"/>
      <c r="G59" s="504" t="str">
        <f>+G35</f>
        <v>2009 BILL</v>
      </c>
      <c r="H59" s="505"/>
      <c r="I59" s="506"/>
      <c r="J59" s="504" t="str">
        <f>+J35</f>
        <v>2010 BILL</v>
      </c>
      <c r="K59" s="505"/>
      <c r="L59" s="506"/>
      <c r="M59" s="504" t="str">
        <f>+M35</f>
        <v>IMPACT</v>
      </c>
      <c r="N59" s="505"/>
      <c r="O59" s="506"/>
      <c r="P59" s="191"/>
    </row>
    <row r="60" spans="2:16" ht="26.25" thickBot="1">
      <c r="B60" s="202"/>
      <c r="C60" s="426"/>
      <c r="D60" s="33"/>
      <c r="E60" s="35"/>
      <c r="F60" s="36"/>
      <c r="G60" s="219" t="s">
        <v>68</v>
      </c>
      <c r="H60" s="220" t="s">
        <v>69</v>
      </c>
      <c r="I60" s="221" t="s">
        <v>70</v>
      </c>
      <c r="J60" s="222" t="s">
        <v>68</v>
      </c>
      <c r="K60" s="220" t="s">
        <v>69</v>
      </c>
      <c r="L60" s="221" t="s">
        <v>70</v>
      </c>
      <c r="M60" s="223" t="s">
        <v>75</v>
      </c>
      <c r="N60" s="224" t="s">
        <v>76</v>
      </c>
      <c r="O60" s="225" t="s">
        <v>77</v>
      </c>
      <c r="P60" s="191"/>
    </row>
    <row r="61" spans="2:16" ht="18" customHeight="1" thickBot="1">
      <c r="B61" s="202"/>
      <c r="C61" s="499" t="s">
        <v>71</v>
      </c>
      <c r="D61" s="500"/>
      <c r="E61" s="33"/>
      <c r="F61" s="229" t="s">
        <v>72</v>
      </c>
      <c r="G61" s="233"/>
      <c r="H61" s="227"/>
      <c r="I61" s="241">
        <f>+'2009 Existing Rates'!$C$10</f>
        <v>311.4</v>
      </c>
      <c r="J61" s="233"/>
      <c r="K61" s="226"/>
      <c r="L61" s="244">
        <f>+'Distribution Rate Schedule'!$C$37</f>
        <v>329.78</v>
      </c>
      <c r="M61" s="251">
        <f aca="true" t="shared" si="3" ref="M61:M66">+L61-I61</f>
        <v>18.379999999999995</v>
      </c>
      <c r="N61" s="249">
        <f>+M61/I61</f>
        <v>0.05902376364804109</v>
      </c>
      <c r="O61" s="250">
        <f aca="true" t="shared" si="4" ref="O61:O66">L61/$L$77</f>
        <v>0.07730548574643643</v>
      </c>
      <c r="P61" s="191"/>
    </row>
    <row r="62" spans="2:16" ht="18" customHeight="1" thickBot="1">
      <c r="B62" s="202"/>
      <c r="C62" s="200">
        <v>40000</v>
      </c>
      <c r="D62" s="201" t="s">
        <v>17</v>
      </c>
      <c r="E62" s="33"/>
      <c r="F62" s="229" t="s">
        <v>73</v>
      </c>
      <c r="G62" s="233">
        <v>0</v>
      </c>
      <c r="H62" s="227">
        <v>0</v>
      </c>
      <c r="I62" s="241">
        <f>+G62*H62</f>
        <v>0</v>
      </c>
      <c r="J62" s="233">
        <v>0</v>
      </c>
      <c r="K62" s="226">
        <v>0</v>
      </c>
      <c r="L62" s="244">
        <f>+J62*K62</f>
        <v>0</v>
      </c>
      <c r="M62" s="251">
        <f t="shared" si="3"/>
        <v>0</v>
      </c>
      <c r="N62" s="245">
        <v>0</v>
      </c>
      <c r="O62" s="252">
        <f t="shared" si="4"/>
        <v>0</v>
      </c>
      <c r="P62" s="191"/>
    </row>
    <row r="63" spans="2:16" ht="18" customHeight="1" thickBot="1">
      <c r="B63" s="202"/>
      <c r="C63" s="200">
        <v>100</v>
      </c>
      <c r="D63" s="201" t="s">
        <v>18</v>
      </c>
      <c r="E63" s="33"/>
      <c r="F63" s="229" t="s">
        <v>82</v>
      </c>
      <c r="G63" s="233">
        <f>+C63</f>
        <v>100</v>
      </c>
      <c r="H63" s="227">
        <f>+'2009 Existing Rates'!$D$10</f>
        <v>2.1783</v>
      </c>
      <c r="I63" s="241">
        <f>+G63*H63</f>
        <v>217.83</v>
      </c>
      <c r="J63" s="233">
        <f>+C63</f>
        <v>100</v>
      </c>
      <c r="K63" s="226">
        <f>+'Distribution Rate Schedule'!$D$37</f>
        <v>2.3153</v>
      </c>
      <c r="L63" s="244">
        <f>+J63*K63</f>
        <v>231.53</v>
      </c>
      <c r="M63" s="251">
        <f t="shared" si="3"/>
        <v>13.699999999999989</v>
      </c>
      <c r="N63" s="245">
        <f>+M63/I63</f>
        <v>0.06289308176100623</v>
      </c>
      <c r="O63" s="252">
        <f t="shared" si="4"/>
        <v>0.0542741801045316</v>
      </c>
      <c r="P63" s="191"/>
    </row>
    <row r="64" spans="2:16" ht="18" customHeight="1">
      <c r="B64" s="202"/>
      <c r="C64" s="427"/>
      <c r="D64" s="63"/>
      <c r="E64" s="33"/>
      <c r="F64" s="232" t="s">
        <v>262</v>
      </c>
      <c r="G64" s="233"/>
      <c r="H64" s="227"/>
      <c r="I64" s="241">
        <f>'2009 Existing Rates'!B50</f>
        <v>2.11</v>
      </c>
      <c r="J64" s="233"/>
      <c r="K64" s="226"/>
      <c r="L64" s="244">
        <f>'2010 Rate Rider'!D$9</f>
        <v>1.47</v>
      </c>
      <c r="M64" s="251">
        <f t="shared" si="3"/>
        <v>-0.6399999999999999</v>
      </c>
      <c r="N64" s="245">
        <f>+M64/I64</f>
        <v>-0.30331753554502366</v>
      </c>
      <c r="O64" s="252">
        <f t="shared" si="4"/>
        <v>0.00034459052716132445</v>
      </c>
      <c r="P64" s="191"/>
    </row>
    <row r="65" spans="2:16" ht="18" customHeight="1">
      <c r="B65" s="202"/>
      <c r="C65" s="429"/>
      <c r="D65" s="63"/>
      <c r="E65" s="33"/>
      <c r="F65" s="232" t="s">
        <v>270</v>
      </c>
      <c r="G65" s="233">
        <f>+G63</f>
        <v>100</v>
      </c>
      <c r="H65" s="227">
        <v>0</v>
      </c>
      <c r="I65" s="241">
        <v>0</v>
      </c>
      <c r="J65" s="233">
        <f>+G65</f>
        <v>100</v>
      </c>
      <c r="K65" s="226">
        <f>'LRAM and SSM Rate Rider'!$L$11</f>
        <v>0.0679</v>
      </c>
      <c r="L65" s="244">
        <f>+J65*K65</f>
        <v>6.79</v>
      </c>
      <c r="M65" s="251">
        <f t="shared" si="3"/>
        <v>6.79</v>
      </c>
      <c r="N65" s="245">
        <v>1</v>
      </c>
      <c r="O65" s="252">
        <f t="shared" si="4"/>
        <v>0.0015916800540308796</v>
      </c>
      <c r="P65" s="191"/>
    </row>
    <row r="66" spans="2:16" ht="18" customHeight="1" thickBot="1">
      <c r="B66" s="202"/>
      <c r="C66" s="431"/>
      <c r="D66" s="33"/>
      <c r="E66" s="33"/>
      <c r="F66" s="229" t="s">
        <v>83</v>
      </c>
      <c r="G66" s="233">
        <f>+C63</f>
        <v>100</v>
      </c>
      <c r="H66" s="227">
        <f>+'2009 Existing Rates'!$D$24</f>
        <v>0</v>
      </c>
      <c r="I66" s="241">
        <f>+G66*H66</f>
        <v>0</v>
      </c>
      <c r="J66" s="233">
        <f>+C63</f>
        <v>100</v>
      </c>
      <c r="K66" s="226">
        <f>+'2010 Rate Rider'!$C$9</f>
        <v>0.4513205267704249</v>
      </c>
      <c r="L66" s="244">
        <f>+J66*K66</f>
        <v>45.13205267704249</v>
      </c>
      <c r="M66" s="251">
        <f t="shared" si="3"/>
        <v>45.13205267704249</v>
      </c>
      <c r="N66" s="245">
        <v>0</v>
      </c>
      <c r="O66" s="252">
        <f t="shared" si="4"/>
        <v>0.010579644778132473</v>
      </c>
      <c r="P66" s="191"/>
    </row>
    <row r="67" spans="2:16" ht="18" customHeight="1" thickBot="1">
      <c r="B67" s="202"/>
      <c r="C67" s="426"/>
      <c r="D67" s="33"/>
      <c r="E67" s="33"/>
      <c r="F67" s="394" t="s">
        <v>251</v>
      </c>
      <c r="G67" s="507"/>
      <c r="H67" s="508"/>
      <c r="I67" s="263">
        <f>SUM(I61:I66)</f>
        <v>531.34</v>
      </c>
      <c r="J67" s="507"/>
      <c r="K67" s="508"/>
      <c r="L67" s="263">
        <f>SUM(L61:L66)</f>
        <v>614.7020526770424</v>
      </c>
      <c r="M67" s="265">
        <f>SUM(M61:M66)</f>
        <v>83.36205267704247</v>
      </c>
      <c r="N67" s="266">
        <f aca="true" t="shared" si="5" ref="N67:N74">+M67/I67</f>
        <v>0.15689022598908883</v>
      </c>
      <c r="O67" s="271">
        <f>SUM(O61:O66)</f>
        <v>0.1440955812102927</v>
      </c>
      <c r="P67" s="191"/>
    </row>
    <row r="68" spans="2:16" ht="18" customHeight="1">
      <c r="B68" s="202"/>
      <c r="C68" s="426"/>
      <c r="D68" s="33"/>
      <c r="E68" s="33"/>
      <c r="F68" s="231" t="s">
        <v>249</v>
      </c>
      <c r="G68" s="234">
        <f>$C$63</f>
        <v>100</v>
      </c>
      <c r="H68" s="235">
        <f>'Other Electricity Rates'!$I$11</f>
        <v>1.9313</v>
      </c>
      <c r="I68" s="236">
        <f>+G68*H68</f>
        <v>193.13</v>
      </c>
      <c r="J68" s="234">
        <f>$C$63</f>
        <v>100</v>
      </c>
      <c r="K68" s="235">
        <f>'Other Electricity Rates'!C46</f>
        <v>1.960650809384615</v>
      </c>
      <c r="L68" s="259">
        <f>+J68*K68</f>
        <v>196.06508093846148</v>
      </c>
      <c r="M68" s="260">
        <f>+L68-I68</f>
        <v>2.935080938461482</v>
      </c>
      <c r="N68" s="245">
        <f t="shared" si="5"/>
        <v>0.01519743664092312</v>
      </c>
      <c r="O68" s="252">
        <f>L68/$L$77</f>
        <v>0.04596065959082461</v>
      </c>
      <c r="P68" s="191"/>
    </row>
    <row r="69" spans="2:16" ht="18" customHeight="1" thickBot="1">
      <c r="B69" s="202"/>
      <c r="C69" s="426"/>
      <c r="D69" s="33"/>
      <c r="E69" s="33"/>
      <c r="F69" s="231" t="s">
        <v>250</v>
      </c>
      <c r="G69" s="234">
        <f>$C$63</f>
        <v>100</v>
      </c>
      <c r="H69" s="235">
        <f>'Other Electricity Rates'!$H$11</f>
        <v>1.6636</v>
      </c>
      <c r="I69" s="236">
        <f>+G69*H69</f>
        <v>166.35999999999999</v>
      </c>
      <c r="J69" s="234">
        <f>$C$63</f>
        <v>100</v>
      </c>
      <c r="K69" s="235">
        <f>'Other Electricity Rates'!C36</f>
        <v>1.708368428132688</v>
      </c>
      <c r="L69" s="259">
        <f>+J69*K69</f>
        <v>170.83684281326882</v>
      </c>
      <c r="M69" s="260">
        <f>+L69-I69</f>
        <v>4.476842813268831</v>
      </c>
      <c r="N69" s="245">
        <f t="shared" si="5"/>
        <v>0.02691057233270517</v>
      </c>
      <c r="O69" s="252">
        <f>L69/$L$77</f>
        <v>0.04004677396163308</v>
      </c>
      <c r="P69" s="191"/>
    </row>
    <row r="70" spans="2:16" ht="18" customHeight="1" thickBot="1">
      <c r="B70" s="202"/>
      <c r="C70" s="426"/>
      <c r="D70" s="33"/>
      <c r="E70" s="33"/>
      <c r="F70" s="394" t="s">
        <v>252</v>
      </c>
      <c r="G70" s="507"/>
      <c r="H70" s="508"/>
      <c r="I70" s="263">
        <f>SUM(I67:I69)</f>
        <v>890.83</v>
      </c>
      <c r="J70" s="507"/>
      <c r="K70" s="508"/>
      <c r="L70" s="263">
        <f>SUM(L67:L69)</f>
        <v>981.6039764287727</v>
      </c>
      <c r="M70" s="263">
        <f>SUM(M67:M69)</f>
        <v>90.77397642877278</v>
      </c>
      <c r="N70" s="266">
        <f t="shared" si="5"/>
        <v>0.10189820328095459</v>
      </c>
      <c r="O70" s="271">
        <f>SUM(O67:O69)</f>
        <v>0.2301030147627504</v>
      </c>
      <c r="P70" s="191"/>
    </row>
    <row r="71" spans="2:16" ht="18" customHeight="1">
      <c r="B71" s="202"/>
      <c r="C71" s="426"/>
      <c r="D71" s="33"/>
      <c r="E71" s="33"/>
      <c r="F71" s="231" t="s">
        <v>253</v>
      </c>
      <c r="G71" s="234">
        <f>$C$62*'Other Electricity Rates'!$P$11</f>
        <v>41546.12</v>
      </c>
      <c r="H71" s="235">
        <f>'Other Electricity Rates'!$D$11</f>
        <v>0.0065</v>
      </c>
      <c r="I71" s="236">
        <f>+G71*H71</f>
        <v>270.04978</v>
      </c>
      <c r="J71" s="234">
        <f>$C$62*'Other Electricity Rates'!$P$11</f>
        <v>41546.12</v>
      </c>
      <c r="K71" s="235">
        <f>'Other Electricity Rates'!$D$11</f>
        <v>0.0065</v>
      </c>
      <c r="L71" s="259">
        <f>+J71*K71</f>
        <v>270.04978</v>
      </c>
      <c r="M71" s="260">
        <f>+L71-I71</f>
        <v>0</v>
      </c>
      <c r="N71" s="245">
        <f t="shared" si="5"/>
        <v>0</v>
      </c>
      <c r="O71" s="252">
        <f>L71/$L$77</f>
        <v>0.06330380683673448</v>
      </c>
      <c r="P71" s="191"/>
    </row>
    <row r="72" spans="2:16" ht="18" customHeight="1">
      <c r="B72" s="202"/>
      <c r="C72" s="426"/>
      <c r="D72" s="33"/>
      <c r="E72" s="33"/>
      <c r="F72" s="232" t="s">
        <v>254</v>
      </c>
      <c r="G72" s="234">
        <v>0</v>
      </c>
      <c r="H72" s="235">
        <v>0</v>
      </c>
      <c r="I72" s="236">
        <f>+G72*H72</f>
        <v>0</v>
      </c>
      <c r="J72" s="234">
        <v>0</v>
      </c>
      <c r="K72" s="235">
        <v>0</v>
      </c>
      <c r="L72" s="259">
        <f>+J72*K72</f>
        <v>0</v>
      </c>
      <c r="M72" s="260">
        <f>+L72-I72</f>
        <v>0</v>
      </c>
      <c r="N72" s="245">
        <v>0</v>
      </c>
      <c r="O72" s="252">
        <f>L72/$L$77</f>
        <v>0</v>
      </c>
      <c r="P72" s="191"/>
    </row>
    <row r="73" spans="2:16" ht="18" customHeight="1">
      <c r="B73" s="202"/>
      <c r="C73" s="426"/>
      <c r="D73" s="33"/>
      <c r="E73" s="33"/>
      <c r="F73" s="232" t="s">
        <v>255</v>
      </c>
      <c r="G73" s="234">
        <f>$C$62</f>
        <v>40000</v>
      </c>
      <c r="H73" s="235">
        <f>'Other Electricity Rates'!$E$11</f>
        <v>0.007</v>
      </c>
      <c r="I73" s="236">
        <f>+G73*H73</f>
        <v>280</v>
      </c>
      <c r="J73" s="234">
        <f>$C$62</f>
        <v>40000</v>
      </c>
      <c r="K73" s="235">
        <f>'Other Electricity Rates'!$E$11</f>
        <v>0.007</v>
      </c>
      <c r="L73" s="259">
        <f>+J73*K73</f>
        <v>280</v>
      </c>
      <c r="M73" s="260">
        <f>+L73-I73</f>
        <v>0</v>
      </c>
      <c r="N73" s="245">
        <f t="shared" si="5"/>
        <v>0</v>
      </c>
      <c r="O73" s="252">
        <f>L73/$L$77</f>
        <v>0.06563629088787132</v>
      </c>
      <c r="P73" s="191"/>
    </row>
    <row r="74" spans="2:16" ht="18" customHeight="1" thickBot="1">
      <c r="B74" s="202"/>
      <c r="C74" s="426"/>
      <c r="D74" s="33"/>
      <c r="E74" s="33"/>
      <c r="F74" s="232" t="s">
        <v>79</v>
      </c>
      <c r="G74" s="234">
        <f>$C$62*'Other Electricity Rates'!$P$11</f>
        <v>41546.12</v>
      </c>
      <c r="H74" s="235">
        <f>'Other Electricity Rates'!$N$11</f>
        <v>0.0603792</v>
      </c>
      <c r="I74" s="236">
        <f>+G74*H74</f>
        <v>2508.521488704</v>
      </c>
      <c r="J74" s="234">
        <f>$C$62*'Other Electricity Rates'!$Q$11</f>
        <v>41920.71602335935</v>
      </c>
      <c r="K74" s="235">
        <f>'Other Electricity Rates'!$N$11</f>
        <v>0.0603792</v>
      </c>
      <c r="L74" s="259">
        <f>+J74*K74</f>
        <v>2531.139296917619</v>
      </c>
      <c r="M74" s="260">
        <f>+L74-I74</f>
        <v>22.6178082136189</v>
      </c>
      <c r="N74" s="245">
        <f t="shared" si="5"/>
        <v>0.009016390059032</v>
      </c>
      <c r="O74" s="252">
        <f>L74/$L$77</f>
        <v>0.5933378398935962</v>
      </c>
      <c r="P74" s="191"/>
    </row>
    <row r="75" spans="2:16" ht="18" customHeight="1" thickBot="1">
      <c r="B75" s="202"/>
      <c r="C75" s="426"/>
      <c r="D75" s="33"/>
      <c r="E75" s="33"/>
      <c r="F75" s="394" t="s">
        <v>256</v>
      </c>
      <c r="G75" s="507"/>
      <c r="H75" s="508"/>
      <c r="I75" s="263">
        <f>SUM(I70:I74)</f>
        <v>3949.4012687040004</v>
      </c>
      <c r="J75" s="507"/>
      <c r="K75" s="508"/>
      <c r="L75" s="263">
        <f>SUM(L70:L74)</f>
        <v>4062.793053346392</v>
      </c>
      <c r="M75" s="263">
        <f>SUM(M70:M74)</f>
        <v>113.39178464239168</v>
      </c>
      <c r="N75" s="266">
        <f>+M75/I75</f>
        <v>0.028711132885112307</v>
      </c>
      <c r="O75" s="271">
        <f>SUM(O70:O74)</f>
        <v>0.9523809523809524</v>
      </c>
      <c r="P75" s="191"/>
    </row>
    <row r="76" spans="2:16" ht="18" customHeight="1" thickBot="1">
      <c r="B76" s="202"/>
      <c r="C76" s="426"/>
      <c r="D76" s="33"/>
      <c r="E76" s="33"/>
      <c r="F76" s="321" t="s">
        <v>203</v>
      </c>
      <c r="G76" s="322"/>
      <c r="H76" s="325">
        <v>0.05</v>
      </c>
      <c r="I76" s="323">
        <f>I75*H76</f>
        <v>197.47006343520002</v>
      </c>
      <c r="J76" s="322"/>
      <c r="K76" s="325">
        <v>0.05</v>
      </c>
      <c r="L76" s="324">
        <f>L75*K76</f>
        <v>203.1396526673196</v>
      </c>
      <c r="M76" s="256">
        <f>+L76-I76</f>
        <v>5.669589232119591</v>
      </c>
      <c r="N76" s="257">
        <f>+M76/I76</f>
        <v>0.02871113288511234</v>
      </c>
      <c r="O76" s="272">
        <f>L76/$L$77</f>
        <v>0.04761904761904762</v>
      </c>
      <c r="P76" s="191"/>
    </row>
    <row r="77" spans="2:16" ht="18" customHeight="1" thickBot="1">
      <c r="B77" s="202"/>
      <c r="C77" s="426"/>
      <c r="D77" s="33"/>
      <c r="E77" s="37"/>
      <c r="F77" s="394" t="s">
        <v>257</v>
      </c>
      <c r="G77" s="515"/>
      <c r="H77" s="516"/>
      <c r="I77" s="264">
        <f>I75+I76</f>
        <v>4146.871332139201</v>
      </c>
      <c r="J77" s="515"/>
      <c r="K77" s="516"/>
      <c r="L77" s="264">
        <f>L75+L76</f>
        <v>4265.932706013711</v>
      </c>
      <c r="M77" s="264">
        <f>M75+M76</f>
        <v>119.06137387451128</v>
      </c>
      <c r="N77" s="266">
        <f>+M77/I77</f>
        <v>0.028711132885112307</v>
      </c>
      <c r="O77" s="271">
        <f>O75+O76</f>
        <v>1</v>
      </c>
      <c r="P77" s="191"/>
    </row>
    <row r="78" spans="2:16" ht="6.75" customHeight="1" thickBot="1">
      <c r="B78" s="192"/>
      <c r="C78" s="428"/>
      <c r="D78" s="209"/>
      <c r="E78" s="209"/>
      <c r="F78" s="210"/>
      <c r="G78" s="211"/>
      <c r="H78" s="212"/>
      <c r="I78" s="213"/>
      <c r="J78" s="211"/>
      <c r="K78" s="214"/>
      <c r="L78" s="213"/>
      <c r="M78" s="215"/>
      <c r="N78" s="216"/>
      <c r="O78" s="217"/>
      <c r="P78" s="197"/>
    </row>
    <row r="79" spans="3:16" ht="6.75" customHeight="1" thickBot="1">
      <c r="C79" s="426"/>
      <c r="D79" s="33"/>
      <c r="E79" s="33"/>
      <c r="F79" s="50"/>
      <c r="G79" s="51"/>
      <c r="H79" s="52"/>
      <c r="I79" s="53"/>
      <c r="J79" s="51"/>
      <c r="K79" s="54"/>
      <c r="L79" s="53"/>
      <c r="M79" s="55"/>
      <c r="N79" s="206"/>
      <c r="O79" s="207"/>
      <c r="P79" s="191"/>
    </row>
    <row r="80" spans="2:16" ht="6.75" customHeight="1" thickBot="1">
      <c r="B80" s="205"/>
      <c r="C80" s="512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  <c r="P80" s="190"/>
    </row>
    <row r="81" spans="2:16" ht="6.75" customHeight="1">
      <c r="B81" s="205"/>
      <c r="C81" s="512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190"/>
    </row>
    <row r="82" spans="2:16" ht="23.25">
      <c r="B82" s="202"/>
      <c r="C82" s="514" t="str">
        <f>+'Other Electricity Rates'!A12</f>
        <v>General Service &gt; 3000 to 4999 kW</v>
      </c>
      <c r="D82" s="501"/>
      <c r="E82" s="501"/>
      <c r="F82" s="501"/>
      <c r="G82" s="501"/>
      <c r="H82" s="501"/>
      <c r="I82" s="501"/>
      <c r="J82" s="501"/>
      <c r="K82" s="501"/>
      <c r="L82" s="501"/>
      <c r="M82" s="501"/>
      <c r="N82" s="501"/>
      <c r="O82" s="501"/>
      <c r="P82" s="191"/>
    </row>
    <row r="83" spans="2:16" ht="6.75" customHeight="1" thickBot="1">
      <c r="B83" s="202"/>
      <c r="C83" s="511"/>
      <c r="D83" s="502"/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P83" s="191"/>
    </row>
    <row r="84" spans="2:16" ht="21" thickBot="1">
      <c r="B84" s="202"/>
      <c r="C84" s="425"/>
      <c r="D84" s="204"/>
      <c r="E84" s="33"/>
      <c r="F84" s="34"/>
      <c r="G84" s="504" t="str">
        <f>+G59</f>
        <v>2009 BILL</v>
      </c>
      <c r="H84" s="505"/>
      <c r="I84" s="506"/>
      <c r="J84" s="504" t="str">
        <f>+J59</f>
        <v>2010 BILL</v>
      </c>
      <c r="K84" s="505"/>
      <c r="L84" s="506"/>
      <c r="M84" s="504" t="str">
        <f>+M59</f>
        <v>IMPACT</v>
      </c>
      <c r="N84" s="505"/>
      <c r="O84" s="506"/>
      <c r="P84" s="191"/>
    </row>
    <row r="85" spans="2:16" ht="26.25" thickBot="1">
      <c r="B85" s="202"/>
      <c r="C85" s="426"/>
      <c r="D85" s="33"/>
      <c r="E85" s="35"/>
      <c r="F85" s="36"/>
      <c r="G85" s="219" t="s">
        <v>68</v>
      </c>
      <c r="H85" s="220" t="s">
        <v>69</v>
      </c>
      <c r="I85" s="221" t="s">
        <v>70</v>
      </c>
      <c r="J85" s="222" t="s">
        <v>68</v>
      </c>
      <c r="K85" s="220" t="s">
        <v>69</v>
      </c>
      <c r="L85" s="221" t="s">
        <v>70</v>
      </c>
      <c r="M85" s="223" t="s">
        <v>75</v>
      </c>
      <c r="N85" s="224" t="s">
        <v>76</v>
      </c>
      <c r="O85" s="225" t="s">
        <v>77</v>
      </c>
      <c r="P85" s="191"/>
    </row>
    <row r="86" spans="2:16" ht="18" customHeight="1" thickBot="1">
      <c r="B86" s="202"/>
      <c r="C86" s="499" t="s">
        <v>71</v>
      </c>
      <c r="D86" s="500"/>
      <c r="E86" s="33"/>
      <c r="F86" s="229" t="s">
        <v>72</v>
      </c>
      <c r="G86" s="233"/>
      <c r="H86" s="227"/>
      <c r="I86" s="241">
        <f>'2009 Existing Rates'!C11</f>
        <v>2399.29</v>
      </c>
      <c r="J86" s="233"/>
      <c r="K86" s="226"/>
      <c r="L86" s="244">
        <f>'Rate Schedule (Part 1)'!E42</f>
        <v>4721.33</v>
      </c>
      <c r="M86" s="251">
        <f aca="true" t="shared" si="6" ref="M86:M92">+L86-I86</f>
        <v>2322.04</v>
      </c>
      <c r="N86" s="245">
        <f>+M86/I86</f>
        <v>0.9678029750467847</v>
      </c>
      <c r="O86" s="252">
        <f aca="true" t="shared" si="7" ref="O86:O92">L86/$L$103</f>
        <v>0.025731968081657616</v>
      </c>
      <c r="P86" s="191"/>
    </row>
    <row r="87" spans="2:16" ht="18" customHeight="1" thickBot="1">
      <c r="B87" s="202"/>
      <c r="C87" s="200">
        <v>2000000</v>
      </c>
      <c r="D87" s="201" t="s">
        <v>17</v>
      </c>
      <c r="E87" s="33"/>
      <c r="F87" s="229" t="s">
        <v>73</v>
      </c>
      <c r="G87" s="233">
        <v>0</v>
      </c>
      <c r="H87" s="227">
        <v>0</v>
      </c>
      <c r="I87" s="241">
        <f>+G87*H87</f>
        <v>0</v>
      </c>
      <c r="J87" s="233">
        <f>+C87</f>
        <v>2000000</v>
      </c>
      <c r="K87" s="226">
        <v>0</v>
      </c>
      <c r="L87" s="244">
        <f>+J87*K87</f>
        <v>0</v>
      </c>
      <c r="M87" s="251">
        <f t="shared" si="6"/>
        <v>0</v>
      </c>
      <c r="N87" s="245">
        <v>0</v>
      </c>
      <c r="O87" s="252">
        <f t="shared" si="7"/>
        <v>0</v>
      </c>
      <c r="P87" s="191"/>
    </row>
    <row r="88" spans="2:16" ht="18" customHeight="1" thickBot="1">
      <c r="B88" s="202"/>
      <c r="C88" s="200">
        <v>3500</v>
      </c>
      <c r="D88" s="201" t="s">
        <v>18</v>
      </c>
      <c r="E88" s="33"/>
      <c r="F88" s="229" t="s">
        <v>82</v>
      </c>
      <c r="G88" s="233">
        <f>+C88</f>
        <v>3500</v>
      </c>
      <c r="H88" s="227">
        <f>'2009 Existing Rates'!D11</f>
        <v>0.7321</v>
      </c>
      <c r="I88" s="241">
        <f>+G88*H88</f>
        <v>2562.35</v>
      </c>
      <c r="J88" s="233">
        <f>+C88</f>
        <v>3500</v>
      </c>
      <c r="K88" s="226">
        <f>'Rate Schedule (Part 1)'!E43</f>
        <v>0.8599</v>
      </c>
      <c r="L88" s="244">
        <f>+J88*K88</f>
        <v>3009.65</v>
      </c>
      <c r="M88" s="251">
        <f t="shared" si="6"/>
        <v>447.3000000000002</v>
      </c>
      <c r="N88" s="245">
        <f>+M88/I88</f>
        <v>0.17456631607703874</v>
      </c>
      <c r="O88" s="252">
        <f t="shared" si="7"/>
        <v>0.016403051203148444</v>
      </c>
      <c r="P88" s="191"/>
    </row>
    <row r="89" spans="2:16" ht="18" customHeight="1">
      <c r="B89" s="202"/>
      <c r="C89" s="432"/>
      <c r="D89" s="63"/>
      <c r="E89" s="33"/>
      <c r="F89" s="232" t="s">
        <v>262</v>
      </c>
      <c r="G89" s="233"/>
      <c r="H89" s="227"/>
      <c r="I89" s="241">
        <f>'2009 Existing Rates'!B51</f>
        <v>2.11</v>
      </c>
      <c r="J89" s="233"/>
      <c r="K89" s="226"/>
      <c r="L89" s="244">
        <f>'2010 Rate Rider'!D10</f>
        <v>1.47</v>
      </c>
      <c r="M89" s="251">
        <f t="shared" si="6"/>
        <v>-0.6399999999999999</v>
      </c>
      <c r="N89" s="245">
        <f>+M89/I89</f>
        <v>-0.30331753554502366</v>
      </c>
      <c r="O89" s="252">
        <f t="shared" si="7"/>
        <v>8.011724043868294E-06</v>
      </c>
      <c r="P89" s="191"/>
    </row>
    <row r="90" spans="2:16" ht="18" customHeight="1">
      <c r="B90" s="202"/>
      <c r="C90" s="429"/>
      <c r="D90" s="63"/>
      <c r="E90" s="33"/>
      <c r="F90" s="229" t="s">
        <v>199</v>
      </c>
      <c r="G90" s="233">
        <f>C88</f>
        <v>3500</v>
      </c>
      <c r="H90" s="227">
        <v>-0.6</v>
      </c>
      <c r="I90" s="244">
        <f>+G90*H90</f>
        <v>-2100</v>
      </c>
      <c r="J90" s="233">
        <f>C88</f>
        <v>3500</v>
      </c>
      <c r="K90" s="226">
        <v>-0.6</v>
      </c>
      <c r="L90" s="244">
        <f>+J90*K90</f>
        <v>-2100</v>
      </c>
      <c r="M90" s="251">
        <f t="shared" si="6"/>
        <v>0</v>
      </c>
      <c r="N90" s="245">
        <f>+M90/I90</f>
        <v>0</v>
      </c>
      <c r="O90" s="252">
        <f t="shared" si="7"/>
        <v>-0.011445320062668992</v>
      </c>
      <c r="P90" s="191"/>
    </row>
    <row r="91" spans="2:16" ht="18" customHeight="1">
      <c r="B91" s="202"/>
      <c r="C91" s="433"/>
      <c r="D91" s="63"/>
      <c r="E91" s="33"/>
      <c r="F91" s="232" t="s">
        <v>270</v>
      </c>
      <c r="G91" s="233">
        <f>$C$88</f>
        <v>3500</v>
      </c>
      <c r="H91" s="227">
        <v>0</v>
      </c>
      <c r="I91" s="241">
        <v>0</v>
      </c>
      <c r="J91" s="233">
        <f>+G91</f>
        <v>3500</v>
      </c>
      <c r="K91" s="226">
        <f>'LRAM and SSM Rate Rider'!$L$12</f>
        <v>0.0163</v>
      </c>
      <c r="L91" s="244">
        <f>+J91*K91</f>
        <v>57.05</v>
      </c>
      <c r="M91" s="251">
        <f t="shared" si="6"/>
        <v>57.05</v>
      </c>
      <c r="N91" s="245">
        <v>1</v>
      </c>
      <c r="O91" s="252">
        <f>L91/$L$77</f>
        <v>0.01337339426840378</v>
      </c>
      <c r="P91" s="191"/>
    </row>
    <row r="92" spans="2:16" ht="18" customHeight="1" thickBot="1">
      <c r="B92" s="202"/>
      <c r="C92" s="433"/>
      <c r="D92" s="33"/>
      <c r="E92" s="33"/>
      <c r="F92" s="229" t="s">
        <v>83</v>
      </c>
      <c r="G92" s="233">
        <f>+C88</f>
        <v>3500</v>
      </c>
      <c r="H92" s="227">
        <f>'2009 Existing Rates'!D25</f>
        <v>0</v>
      </c>
      <c r="I92" s="241">
        <f>+G92*H92</f>
        <v>0</v>
      </c>
      <c r="J92" s="233">
        <f>+C88</f>
        <v>3500</v>
      </c>
      <c r="K92" s="226">
        <f>'2010 Rate Rider'!C10</f>
        <v>0.6820947364191872</v>
      </c>
      <c r="L92" s="244">
        <f>+J92*K92</f>
        <v>2387.331577467155</v>
      </c>
      <c r="M92" s="251">
        <f t="shared" si="6"/>
        <v>2387.331577467155</v>
      </c>
      <c r="N92" s="245">
        <v>0</v>
      </c>
      <c r="O92" s="252">
        <f t="shared" si="7"/>
        <v>0.013011320952299068</v>
      </c>
      <c r="P92" s="191"/>
    </row>
    <row r="93" spans="2:16" ht="18" customHeight="1" thickBot="1">
      <c r="B93" s="202"/>
      <c r="C93" s="426"/>
      <c r="D93" s="33"/>
      <c r="E93" s="33"/>
      <c r="F93" s="394" t="s">
        <v>251</v>
      </c>
      <c r="G93" s="507"/>
      <c r="H93" s="508"/>
      <c r="I93" s="263">
        <f>SUM(I86:I92)</f>
        <v>2863.749999999999</v>
      </c>
      <c r="J93" s="507"/>
      <c r="K93" s="508"/>
      <c r="L93" s="263">
        <f>SUM(L86:L92)</f>
        <v>8076.8315774671555</v>
      </c>
      <c r="M93" s="265">
        <f>SUM(M86:M92)</f>
        <v>5213.0815774671555</v>
      </c>
      <c r="N93" s="266">
        <f aca="true" t="shared" si="8" ref="N93:N100">+M93/I93</f>
        <v>1.8203689489191295</v>
      </c>
      <c r="O93" s="271">
        <f>SUM(O86:O92)</f>
        <v>0.05708242616688379</v>
      </c>
      <c r="P93" s="191"/>
    </row>
    <row r="94" spans="2:16" ht="18" customHeight="1">
      <c r="B94" s="202"/>
      <c r="C94" s="426"/>
      <c r="D94" s="33"/>
      <c r="E94" s="33"/>
      <c r="F94" s="231" t="s">
        <v>249</v>
      </c>
      <c r="G94" s="234">
        <f>$C$88</f>
        <v>3500</v>
      </c>
      <c r="H94" s="235">
        <f>'Other Electricity Rates'!$I$12</f>
        <v>2.0487</v>
      </c>
      <c r="I94" s="236">
        <f>+G94*H94</f>
        <v>7170.450000000001</v>
      </c>
      <c r="J94" s="234">
        <f>$C$88</f>
        <v>3500</v>
      </c>
      <c r="K94" s="235">
        <f>'Other Electricity Rates'!C47</f>
        <v>2.0798349884462595</v>
      </c>
      <c r="L94" s="259">
        <f>+J94*K94</f>
        <v>7279.422459561908</v>
      </c>
      <c r="M94" s="260">
        <f>+L94-I94</f>
        <v>108.97245956190727</v>
      </c>
      <c r="N94" s="245">
        <f t="shared" si="8"/>
        <v>0.01519743664092313</v>
      </c>
      <c r="O94" s="252">
        <f>L94/$L$103</f>
        <v>0.03967396186717484</v>
      </c>
      <c r="P94" s="191"/>
    </row>
    <row r="95" spans="2:16" ht="18" customHeight="1" thickBot="1">
      <c r="B95" s="202"/>
      <c r="C95" s="426"/>
      <c r="D95" s="33"/>
      <c r="E95" s="33"/>
      <c r="F95" s="231" t="s">
        <v>250</v>
      </c>
      <c r="G95" s="234">
        <f>$C$88</f>
        <v>3500</v>
      </c>
      <c r="H95" s="235">
        <f>'Other Electricity Rates'!$H$12</f>
        <v>1.8386</v>
      </c>
      <c r="I95" s="236">
        <f>+G95*H95</f>
        <v>6435.1</v>
      </c>
      <c r="J95" s="234">
        <f>$C$88</f>
        <v>3500</v>
      </c>
      <c r="K95" s="235">
        <f>'Other Electricity Rates'!C37</f>
        <v>1.8880777782909115</v>
      </c>
      <c r="L95" s="259">
        <f>+J95*K95</f>
        <v>6608.27222401819</v>
      </c>
      <c r="M95" s="260">
        <f>+L95-I95</f>
        <v>173.1722240181898</v>
      </c>
      <c r="N95" s="245">
        <f t="shared" si="8"/>
        <v>0.02691057233270498</v>
      </c>
      <c r="O95" s="252">
        <f>L95/$L$103</f>
        <v>0.03601609079292078</v>
      </c>
      <c r="P95" s="191"/>
    </row>
    <row r="96" spans="2:16" ht="18" customHeight="1" thickBot="1">
      <c r="B96" s="202"/>
      <c r="C96" s="426"/>
      <c r="D96" s="33"/>
      <c r="E96" s="33"/>
      <c r="F96" s="394" t="s">
        <v>252</v>
      </c>
      <c r="G96" s="507"/>
      <c r="H96" s="508"/>
      <c r="I96" s="263">
        <f>SUM(I93:I95)</f>
        <v>16469.300000000003</v>
      </c>
      <c r="J96" s="507"/>
      <c r="K96" s="508"/>
      <c r="L96" s="263">
        <f>SUM(L93:L95)</f>
        <v>21964.526261047253</v>
      </c>
      <c r="M96" s="263">
        <f>SUM(M93:M95)</f>
        <v>5495.226261047253</v>
      </c>
      <c r="N96" s="266">
        <f t="shared" si="8"/>
        <v>0.33366483463457774</v>
      </c>
      <c r="O96" s="271">
        <f>SUM(O93:O95)</f>
        <v>0.1327724788269794</v>
      </c>
      <c r="P96" s="191"/>
    </row>
    <row r="97" spans="2:16" ht="18" customHeight="1">
      <c r="B97" s="202"/>
      <c r="C97" s="426"/>
      <c r="D97" s="33"/>
      <c r="E97" s="33"/>
      <c r="F97" s="231" t="s">
        <v>253</v>
      </c>
      <c r="G97" s="234">
        <f>$C$87*'Other Electricity Rates'!$P$29</f>
        <v>2056532.94</v>
      </c>
      <c r="H97" s="235">
        <f>'Other Electricity Rates'!$D$12</f>
        <v>0.0065</v>
      </c>
      <c r="I97" s="236">
        <f>+G97*H97</f>
        <v>13367.464109999999</v>
      </c>
      <c r="J97" s="234">
        <f>$C$87*'Other Electricity Rates'!$Q$29</f>
        <v>2075075.443156288</v>
      </c>
      <c r="K97" s="235">
        <f>'Other Electricity Rates'!$D$12</f>
        <v>0.0065</v>
      </c>
      <c r="L97" s="259">
        <f>+J97*K97</f>
        <v>13487.990380515872</v>
      </c>
      <c r="M97" s="260">
        <f>+L97-I97</f>
        <v>120.52627051587297</v>
      </c>
      <c r="N97" s="245">
        <f t="shared" si="8"/>
        <v>0.009016390059032145</v>
      </c>
      <c r="O97" s="252">
        <f>L97/$L$103</f>
        <v>0.07351160328914509</v>
      </c>
      <c r="P97" s="191"/>
    </row>
    <row r="98" spans="2:16" ht="18" customHeight="1">
      <c r="B98" s="202"/>
      <c r="C98" s="426"/>
      <c r="D98" s="33"/>
      <c r="E98" s="33"/>
      <c r="F98" s="232" t="s">
        <v>254</v>
      </c>
      <c r="G98" s="234">
        <v>0</v>
      </c>
      <c r="H98" s="235">
        <v>0</v>
      </c>
      <c r="I98" s="236">
        <f>+G98*H98</f>
        <v>0</v>
      </c>
      <c r="J98" s="234">
        <v>0</v>
      </c>
      <c r="K98" s="235">
        <v>0</v>
      </c>
      <c r="L98" s="259">
        <f>+J98*K98</f>
        <v>0</v>
      </c>
      <c r="M98" s="260">
        <f>+L98-I98</f>
        <v>0</v>
      </c>
      <c r="N98" s="245">
        <v>0</v>
      </c>
      <c r="O98" s="252">
        <f>L98/$L$103</f>
        <v>0</v>
      </c>
      <c r="P98" s="191"/>
    </row>
    <row r="99" spans="2:16" ht="18" customHeight="1">
      <c r="B99" s="202"/>
      <c r="C99" s="426"/>
      <c r="D99" s="33"/>
      <c r="E99" s="33"/>
      <c r="F99" s="232" t="s">
        <v>255</v>
      </c>
      <c r="G99" s="234">
        <f>$C$87</f>
        <v>2000000</v>
      </c>
      <c r="H99" s="235">
        <f>'Other Electricity Rates'!$E$12</f>
        <v>0.007</v>
      </c>
      <c r="I99" s="236">
        <f>+G99*H99</f>
        <v>14000</v>
      </c>
      <c r="J99" s="234">
        <f>$C$87</f>
        <v>2000000</v>
      </c>
      <c r="K99" s="235">
        <f>'Other Electricity Rates'!$E$12</f>
        <v>0.007</v>
      </c>
      <c r="L99" s="259">
        <f>+J99*K99</f>
        <v>14000</v>
      </c>
      <c r="M99" s="260">
        <f>+L99-I99</f>
        <v>0</v>
      </c>
      <c r="N99" s="245">
        <f t="shared" si="8"/>
        <v>0</v>
      </c>
      <c r="O99" s="252">
        <f>L99/$L$103</f>
        <v>0.07630213375112661</v>
      </c>
      <c r="P99" s="191"/>
    </row>
    <row r="100" spans="2:16" ht="18" customHeight="1" thickBot="1">
      <c r="B100" s="202"/>
      <c r="C100" s="426"/>
      <c r="D100" s="33"/>
      <c r="E100" s="33"/>
      <c r="F100" s="232" t="s">
        <v>79</v>
      </c>
      <c r="G100" s="234">
        <f>$C$87*'Other Electricity Rates'!$P$29</f>
        <v>2056532.94</v>
      </c>
      <c r="H100" s="235">
        <f>'Other Electricity Rates'!$N$12</f>
        <v>0.0603792</v>
      </c>
      <c r="I100" s="236">
        <f>+G100*H100</f>
        <v>124171.813690848</v>
      </c>
      <c r="J100" s="234">
        <f>$C$87*'Other Electricity Rates'!$Q$29</f>
        <v>2075075.443156288</v>
      </c>
      <c r="K100" s="235">
        <f>'Other Electricity Rates'!$N$12</f>
        <v>0.0603792</v>
      </c>
      <c r="L100" s="259">
        <f>+J100*K100</f>
        <v>125291.39519742214</v>
      </c>
      <c r="M100" s="260">
        <f>+L100-I100</f>
        <v>1119.581506574148</v>
      </c>
      <c r="N100" s="245">
        <f t="shared" si="8"/>
        <v>0.009016390059032101</v>
      </c>
      <c r="O100" s="252">
        <f>L100/$L$103</f>
        <v>0.682857199587069</v>
      </c>
      <c r="P100" s="191"/>
    </row>
    <row r="101" spans="2:16" ht="18" customHeight="1" thickBot="1">
      <c r="B101" s="202"/>
      <c r="C101" s="426"/>
      <c r="D101" s="33"/>
      <c r="E101" s="33"/>
      <c r="F101" s="394" t="s">
        <v>256</v>
      </c>
      <c r="G101" s="507"/>
      <c r="H101" s="508"/>
      <c r="I101" s="263">
        <f>SUM(I96:I100)</f>
        <v>168008.577800848</v>
      </c>
      <c r="J101" s="507"/>
      <c r="K101" s="508"/>
      <c r="L101" s="263">
        <f>SUM(L96:L100)</f>
        <v>174743.91183898528</v>
      </c>
      <c r="M101" s="263">
        <f>SUM(M96:M100)</f>
        <v>6735.334038137274</v>
      </c>
      <c r="N101" s="266">
        <f>+M101/I101</f>
        <v>0.04008922714720628</v>
      </c>
      <c r="O101" s="271">
        <f>SUM(O96:O100)</f>
        <v>0.9654434154543201</v>
      </c>
      <c r="P101" s="191"/>
    </row>
    <row r="102" spans="2:16" ht="18" customHeight="1" thickBot="1">
      <c r="B102" s="202"/>
      <c r="C102" s="426"/>
      <c r="D102" s="33"/>
      <c r="E102" s="33"/>
      <c r="F102" s="321" t="s">
        <v>203</v>
      </c>
      <c r="G102" s="322"/>
      <c r="H102" s="325">
        <v>0.05</v>
      </c>
      <c r="I102" s="323">
        <f>I101*H102</f>
        <v>8400.4288900424</v>
      </c>
      <c r="J102" s="322"/>
      <c r="K102" s="325">
        <v>0.05</v>
      </c>
      <c r="L102" s="324">
        <f>L101*K102</f>
        <v>8737.195591949265</v>
      </c>
      <c r="M102" s="256">
        <f>+L102-I102</f>
        <v>336.7667019068649</v>
      </c>
      <c r="N102" s="257">
        <f>+M102/I102</f>
        <v>0.040089227147206426</v>
      </c>
      <c r="O102" s="272">
        <f>L102/$L$103</f>
        <v>0.04761904761904762</v>
      </c>
      <c r="P102" s="191"/>
    </row>
    <row r="103" spans="2:16" ht="18" customHeight="1" thickBot="1">
      <c r="B103" s="202"/>
      <c r="C103" s="426"/>
      <c r="D103" s="33"/>
      <c r="E103" s="37"/>
      <c r="F103" s="394" t="s">
        <v>257</v>
      </c>
      <c r="G103" s="515"/>
      <c r="H103" s="516"/>
      <c r="I103" s="264">
        <f>I101+I102</f>
        <v>176409.0066908904</v>
      </c>
      <c r="J103" s="515"/>
      <c r="K103" s="516"/>
      <c r="L103" s="264">
        <f>L101+L102</f>
        <v>183481.10743093456</v>
      </c>
      <c r="M103" s="264">
        <f>M101+M102</f>
        <v>7072.100740044139</v>
      </c>
      <c r="N103" s="266">
        <f>+M103/I103</f>
        <v>0.04008922714720628</v>
      </c>
      <c r="O103" s="271">
        <f>O101+O102</f>
        <v>1.0130624630733678</v>
      </c>
      <c r="P103" s="191"/>
    </row>
    <row r="104" spans="2:16" ht="6.75" customHeight="1" thickBot="1">
      <c r="B104" s="192"/>
      <c r="C104" s="428"/>
      <c r="D104" s="209"/>
      <c r="E104" s="209"/>
      <c r="F104" s="210"/>
      <c r="G104" s="211"/>
      <c r="H104" s="212"/>
      <c r="I104" s="213"/>
      <c r="J104" s="211"/>
      <c r="K104" s="214"/>
      <c r="L104" s="213"/>
      <c r="M104" s="215"/>
      <c r="N104" s="216"/>
      <c r="O104" s="217"/>
      <c r="P104" s="197"/>
    </row>
    <row r="105" spans="2:16" ht="10.5" customHeight="1" thickBot="1">
      <c r="B105" s="205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  <c r="P105" s="190"/>
    </row>
    <row r="106" spans="2:16" ht="23.25">
      <c r="B106" s="202"/>
      <c r="C106" s="509" t="s">
        <v>85</v>
      </c>
      <c r="D106" s="510"/>
      <c r="E106" s="510"/>
      <c r="F106" s="510"/>
      <c r="G106" s="510"/>
      <c r="H106" s="510"/>
      <c r="I106" s="510"/>
      <c r="J106" s="510"/>
      <c r="K106" s="510"/>
      <c r="L106" s="510"/>
      <c r="M106" s="510"/>
      <c r="N106" s="510"/>
      <c r="O106" s="510"/>
      <c r="P106" s="190"/>
    </row>
    <row r="107" spans="2:16" ht="6.75" customHeight="1" thickBot="1">
      <c r="B107" s="202"/>
      <c r="C107" s="511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191"/>
    </row>
    <row r="108" spans="2:16" ht="21" thickBot="1">
      <c r="B108" s="202"/>
      <c r="C108" s="425"/>
      <c r="D108" s="204"/>
      <c r="E108" s="33"/>
      <c r="F108" s="34"/>
      <c r="G108" s="504" t="str">
        <f>+G84</f>
        <v>2009 BILL</v>
      </c>
      <c r="H108" s="505"/>
      <c r="I108" s="506"/>
      <c r="J108" s="504" t="str">
        <f>+J84</f>
        <v>2010 BILL</v>
      </c>
      <c r="K108" s="505"/>
      <c r="L108" s="506"/>
      <c r="M108" s="504" t="str">
        <f>+M84</f>
        <v>IMPACT</v>
      </c>
      <c r="N108" s="505"/>
      <c r="O108" s="506"/>
      <c r="P108" s="191"/>
    </row>
    <row r="109" spans="2:16" ht="26.25" thickBot="1">
      <c r="B109" s="202"/>
      <c r="C109" s="426"/>
      <c r="D109" s="33"/>
      <c r="E109" s="35"/>
      <c r="F109" s="36"/>
      <c r="G109" s="219" t="s">
        <v>68</v>
      </c>
      <c r="H109" s="220" t="s">
        <v>69</v>
      </c>
      <c r="I109" s="221" t="s">
        <v>70</v>
      </c>
      <c r="J109" s="222" t="s">
        <v>68</v>
      </c>
      <c r="K109" s="220" t="s">
        <v>69</v>
      </c>
      <c r="L109" s="221" t="s">
        <v>70</v>
      </c>
      <c r="M109" s="223" t="s">
        <v>75</v>
      </c>
      <c r="N109" s="224" t="s">
        <v>76</v>
      </c>
      <c r="O109" s="225" t="s">
        <v>77</v>
      </c>
      <c r="P109" s="191"/>
    </row>
    <row r="110" spans="2:16" ht="18" customHeight="1" thickBot="1">
      <c r="B110" s="202"/>
      <c r="C110" s="499" t="s">
        <v>140</v>
      </c>
      <c r="D110" s="500"/>
      <c r="E110" s="33"/>
      <c r="F110" s="229" t="s">
        <v>72</v>
      </c>
      <c r="G110" s="233">
        <f>+C111</f>
        <v>5681.644630897791</v>
      </c>
      <c r="H110" s="227">
        <f>+'2009 Existing Rates'!$B$14</f>
        <v>0.44</v>
      </c>
      <c r="I110" s="241">
        <f>+H110*G110</f>
        <v>2499.923637595028</v>
      </c>
      <c r="J110" s="233">
        <f>+C111</f>
        <v>5681.644630897791</v>
      </c>
      <c r="K110" s="226">
        <f>+'Distribution Rate Schedule'!$B$41</f>
        <v>2.6927</v>
      </c>
      <c r="L110" s="244">
        <f>+J110*K110</f>
        <v>15298.96449761848</v>
      </c>
      <c r="M110" s="251">
        <f>+L110-I110</f>
        <v>12799.040860023453</v>
      </c>
      <c r="N110" s="245">
        <f>+M110/I110</f>
        <v>5.119772727272727</v>
      </c>
      <c r="O110" s="252">
        <f>L110/$L$125</f>
        <v>0.29377947102649693</v>
      </c>
      <c r="P110" s="191"/>
    </row>
    <row r="111" spans="2:16" ht="18" customHeight="1" thickBot="1">
      <c r="B111" s="202"/>
      <c r="C111" s="200">
        <f>+'Forecast Data For 2010'!G23</f>
        <v>5681.644630897791</v>
      </c>
      <c r="D111" s="201" t="s">
        <v>139</v>
      </c>
      <c r="E111" s="33"/>
      <c r="F111" s="229" t="s">
        <v>73</v>
      </c>
      <c r="G111" s="233">
        <v>0</v>
      </c>
      <c r="H111" s="227">
        <v>0</v>
      </c>
      <c r="I111" s="241">
        <f>+G111*H111</f>
        <v>0</v>
      </c>
      <c r="J111" s="233">
        <v>0</v>
      </c>
      <c r="K111" s="226">
        <v>0</v>
      </c>
      <c r="L111" s="244">
        <f>+J111*K111</f>
        <v>0</v>
      </c>
      <c r="M111" s="251">
        <f>+L111-I111</f>
        <v>0</v>
      </c>
      <c r="N111" s="245">
        <v>0</v>
      </c>
      <c r="O111" s="252">
        <f>L111/$L$125</f>
        <v>0</v>
      </c>
      <c r="P111" s="191"/>
    </row>
    <row r="112" spans="2:16" ht="18" customHeight="1" thickBot="1">
      <c r="B112" s="202"/>
      <c r="C112" s="200">
        <v>275000</v>
      </c>
      <c r="D112" s="201" t="s">
        <v>17</v>
      </c>
      <c r="E112" s="33"/>
      <c r="F112" s="229" t="s">
        <v>82</v>
      </c>
      <c r="G112" s="233">
        <f>+C114</f>
        <v>800</v>
      </c>
      <c r="H112" s="227">
        <f>+'2009 Existing Rates'!$D$14</f>
        <v>2.357</v>
      </c>
      <c r="I112" s="241">
        <f>+G112*H112</f>
        <v>1885.6000000000001</v>
      </c>
      <c r="J112" s="233">
        <f>+C114</f>
        <v>800</v>
      </c>
      <c r="K112" s="226">
        <f>+'Distribution Rate Schedule'!$D$41</f>
        <v>14.4352</v>
      </c>
      <c r="L112" s="244">
        <f>+J112*K112</f>
        <v>11548.16</v>
      </c>
      <c r="M112" s="251">
        <f>+L112-I112</f>
        <v>9662.56</v>
      </c>
      <c r="N112" s="245">
        <f>+M112/I112</f>
        <v>5.124395417904115</v>
      </c>
      <c r="O112" s="252">
        <f>L112/$L$125</f>
        <v>0.2217543766872237</v>
      </c>
      <c r="P112" s="191"/>
    </row>
    <row r="113" spans="2:16" ht="18" customHeight="1" thickBot="1">
      <c r="B113" s="202"/>
      <c r="C113" s="427"/>
      <c r="D113" s="63"/>
      <c r="E113" s="33"/>
      <c r="F113" s="232" t="s">
        <v>270</v>
      </c>
      <c r="G113" s="233">
        <f>+G112</f>
        <v>800</v>
      </c>
      <c r="H113" s="227"/>
      <c r="I113" s="241"/>
      <c r="J113" s="233">
        <f>+G113</f>
        <v>800</v>
      </c>
      <c r="K113" s="226">
        <f>'LRAM and SSM Rate Rider'!$L$15</f>
        <v>0</v>
      </c>
      <c r="L113" s="244">
        <f>+J113*K113</f>
        <v>0</v>
      </c>
      <c r="M113" s="251">
        <f>+L113-I113</f>
        <v>0</v>
      </c>
      <c r="N113" s="245">
        <v>0</v>
      </c>
      <c r="O113" s="252">
        <f>L113/$L$125</f>
        <v>0</v>
      </c>
      <c r="P113" s="191"/>
    </row>
    <row r="114" spans="2:16" ht="18" customHeight="1" thickBot="1">
      <c r="B114" s="202"/>
      <c r="C114" s="199">
        <v>800</v>
      </c>
      <c r="D114" s="434" t="s">
        <v>18</v>
      </c>
      <c r="E114" s="33"/>
      <c r="F114" s="229" t="s">
        <v>83</v>
      </c>
      <c r="G114" s="233">
        <f>+C114</f>
        <v>800</v>
      </c>
      <c r="H114" s="227">
        <f>+'2009 Existing Rates'!$D$28</f>
        <v>0</v>
      </c>
      <c r="I114" s="241">
        <f>+G114*H114</f>
        <v>0</v>
      </c>
      <c r="J114" s="233">
        <f>+C114</f>
        <v>800</v>
      </c>
      <c r="K114" s="226">
        <f>+'2010 Rate Rider'!$C$13</f>
        <v>-0.8623783840926715</v>
      </c>
      <c r="L114" s="244">
        <f>+J114*K114</f>
        <v>-689.9027072741372</v>
      </c>
      <c r="M114" s="251">
        <f>+L114-I114</f>
        <v>-689.9027072741372</v>
      </c>
      <c r="N114" s="245">
        <v>0</v>
      </c>
      <c r="O114" s="252">
        <f>L114/$L$125</f>
        <v>-0.01324790657787946</v>
      </c>
      <c r="P114" s="191"/>
    </row>
    <row r="115" spans="2:16" ht="18" customHeight="1" thickBot="1">
      <c r="B115" s="202"/>
      <c r="C115" s="435"/>
      <c r="D115" s="33"/>
      <c r="E115" s="33"/>
      <c r="F115" s="394" t="s">
        <v>251</v>
      </c>
      <c r="G115" s="507"/>
      <c r="H115" s="508"/>
      <c r="I115" s="263">
        <f>SUM(I110:I114)</f>
        <v>4385.523637595028</v>
      </c>
      <c r="J115" s="507"/>
      <c r="K115" s="508"/>
      <c r="L115" s="263">
        <f>SUM(L110:L114)</f>
        <v>26157.221790344345</v>
      </c>
      <c r="M115" s="263">
        <f>SUM(M110:M114)</f>
        <v>21771.698152749315</v>
      </c>
      <c r="N115" s="266">
        <f aca="true" t="shared" si="9" ref="N115:N122">+M115/I115</f>
        <v>4.964446654924124</v>
      </c>
      <c r="O115" s="263">
        <f>SUM(O110:O114)</f>
        <v>0.5022859411358411</v>
      </c>
      <c r="P115" s="191"/>
    </row>
    <row r="116" spans="2:16" ht="18" customHeight="1">
      <c r="B116" s="202"/>
      <c r="C116" s="433"/>
      <c r="D116" s="63"/>
      <c r="E116" s="33"/>
      <c r="F116" s="231" t="s">
        <v>249</v>
      </c>
      <c r="G116" s="234">
        <f>$C$114</f>
        <v>800</v>
      </c>
      <c r="H116" s="235">
        <f>'Other Electricity Rates'!$I$15</f>
        <v>1.4565</v>
      </c>
      <c r="I116" s="236">
        <f>+G116*H116</f>
        <v>1165.1999999999998</v>
      </c>
      <c r="J116" s="234">
        <f>$C$114</f>
        <v>800</v>
      </c>
      <c r="K116" s="235">
        <f>'Other Electricity Rates'!C50</f>
        <v>1.4786350664675043</v>
      </c>
      <c r="L116" s="259">
        <f>+J116*K116</f>
        <v>1182.9080531740035</v>
      </c>
      <c r="M116" s="260">
        <f>+L116-I116</f>
        <v>17.70805317400368</v>
      </c>
      <c r="N116" s="245">
        <f t="shared" si="9"/>
        <v>0.015197436640923174</v>
      </c>
      <c r="O116" s="252">
        <f>L116/$L$125</f>
        <v>0.02271487734928321</v>
      </c>
      <c r="P116" s="191"/>
    </row>
    <row r="117" spans="2:16" ht="18" customHeight="1" thickBot="1">
      <c r="B117" s="202"/>
      <c r="C117" s="433"/>
      <c r="D117" s="33"/>
      <c r="E117" s="33"/>
      <c r="F117" s="231" t="s">
        <v>250</v>
      </c>
      <c r="G117" s="234">
        <f>$C$114</f>
        <v>800</v>
      </c>
      <c r="H117" s="235">
        <f>'Other Electricity Rates'!$H$15</f>
        <v>1.286</v>
      </c>
      <c r="I117" s="236">
        <f>+G117*H117</f>
        <v>1028.8</v>
      </c>
      <c r="J117" s="234">
        <f>$C$114</f>
        <v>800</v>
      </c>
      <c r="K117" s="235">
        <f>'Other Electricity Rates'!C40</f>
        <v>1.3206069960198588</v>
      </c>
      <c r="L117" s="259">
        <f>+J117*K117</f>
        <v>1056.485596815887</v>
      </c>
      <c r="M117" s="260">
        <f>+L117-I117</f>
        <v>27.68559681588704</v>
      </c>
      <c r="N117" s="245">
        <f t="shared" si="9"/>
        <v>0.02691057233270513</v>
      </c>
      <c r="O117" s="252">
        <f>L117/$L$125</f>
        <v>0.020287240997781165</v>
      </c>
      <c r="P117" s="191"/>
    </row>
    <row r="118" spans="2:16" ht="18" customHeight="1" thickBot="1">
      <c r="B118" s="202"/>
      <c r="C118" s="202"/>
      <c r="D118" s="33"/>
      <c r="E118" s="33"/>
      <c r="F118" s="394" t="s">
        <v>252</v>
      </c>
      <c r="G118" s="507"/>
      <c r="H118" s="508"/>
      <c r="I118" s="263">
        <f>SUM(I115:I117)</f>
        <v>6579.523637595028</v>
      </c>
      <c r="J118" s="507"/>
      <c r="K118" s="508"/>
      <c r="L118" s="263">
        <f>SUM(L115:L117)</f>
        <v>28396.615440334237</v>
      </c>
      <c r="M118" s="263">
        <f>SUM(M115:M117)</f>
        <v>21817.091802739204</v>
      </c>
      <c r="N118" s="266">
        <f t="shared" si="9"/>
        <v>3.3159075040140547</v>
      </c>
      <c r="O118" s="271">
        <f>SUM(O115:O117)</f>
        <v>0.5452880594829055</v>
      </c>
      <c r="P118" s="191"/>
    </row>
    <row r="119" spans="2:16" ht="18" customHeight="1">
      <c r="B119" s="202"/>
      <c r="C119" s="202"/>
      <c r="D119" s="33"/>
      <c r="E119" s="33"/>
      <c r="F119" s="231" t="s">
        <v>253</v>
      </c>
      <c r="G119" s="234">
        <f>$C$112*'Other Electricity Rates'!$P$15</f>
        <v>285629.575</v>
      </c>
      <c r="H119" s="235">
        <f>'Other Electricity Rates'!$D$15</f>
        <v>0.0065</v>
      </c>
      <c r="I119" s="236">
        <f>+G119*H119</f>
        <v>1856.5922375</v>
      </c>
      <c r="J119" s="234">
        <f>$C$112*'Other Electricity Rates'!$Q$15</f>
        <v>288204.92266059556</v>
      </c>
      <c r="K119" s="235">
        <f>'Other Electricity Rates'!$D$15</f>
        <v>0.0065</v>
      </c>
      <c r="L119" s="259">
        <f>+J119*K119</f>
        <v>1873.3319972938712</v>
      </c>
      <c r="M119" s="260">
        <f>+L119-I119</f>
        <v>16.739759793871144</v>
      </c>
      <c r="N119" s="245">
        <f t="shared" si="9"/>
        <v>0.009016390059032089</v>
      </c>
      <c r="O119" s="252">
        <f>L119/$L$125</f>
        <v>0.035972793015349135</v>
      </c>
      <c r="P119" s="191"/>
    </row>
    <row r="120" spans="2:16" ht="18" customHeight="1">
      <c r="B120" s="202"/>
      <c r="C120" s="426"/>
      <c r="D120" s="33"/>
      <c r="E120" s="33"/>
      <c r="F120" s="232" t="s">
        <v>254</v>
      </c>
      <c r="G120" s="234">
        <v>0</v>
      </c>
      <c r="H120" s="235">
        <v>0</v>
      </c>
      <c r="I120" s="236">
        <f>+G120*H120</f>
        <v>0</v>
      </c>
      <c r="J120" s="234">
        <v>0</v>
      </c>
      <c r="K120" s="235">
        <v>0</v>
      </c>
      <c r="L120" s="259">
        <f>+J120*K120</f>
        <v>0</v>
      </c>
      <c r="M120" s="260">
        <f>+L120-I120</f>
        <v>0</v>
      </c>
      <c r="N120" s="245">
        <v>0</v>
      </c>
      <c r="O120" s="252">
        <f>L120/$L$125</f>
        <v>0</v>
      </c>
      <c r="P120" s="191"/>
    </row>
    <row r="121" spans="2:16" ht="18" customHeight="1">
      <c r="B121" s="202"/>
      <c r="C121" s="426"/>
      <c r="D121" s="33"/>
      <c r="E121" s="33"/>
      <c r="F121" s="232" t="s">
        <v>255</v>
      </c>
      <c r="G121" s="234">
        <f>$C$112</f>
        <v>275000</v>
      </c>
      <c r="H121" s="235">
        <f>'Other Electricity Rates'!$E$15</f>
        <v>0.007</v>
      </c>
      <c r="I121" s="236">
        <f>+G121*H121</f>
        <v>1925</v>
      </c>
      <c r="J121" s="234">
        <f>$C$112</f>
        <v>275000</v>
      </c>
      <c r="K121" s="235">
        <f>'Other Electricity Rates'!$E$15</f>
        <v>0.007</v>
      </c>
      <c r="L121" s="259">
        <f>+J121*K121</f>
        <v>1925</v>
      </c>
      <c r="M121" s="260">
        <f>+L121-I121</f>
        <v>0</v>
      </c>
      <c r="N121" s="245">
        <f t="shared" si="9"/>
        <v>0</v>
      </c>
      <c r="O121" s="252">
        <f>L121/$L$125</f>
        <v>0.036964951570025495</v>
      </c>
      <c r="P121" s="191"/>
    </row>
    <row r="122" spans="2:16" ht="18" customHeight="1" thickBot="1">
      <c r="B122" s="202"/>
      <c r="C122" s="426"/>
      <c r="D122" s="33"/>
      <c r="E122" s="33"/>
      <c r="F122" s="232" t="s">
        <v>79</v>
      </c>
      <c r="G122" s="234">
        <f>$C$112*'Other Electricity Rates'!$P$15</f>
        <v>285629.575</v>
      </c>
      <c r="H122" s="235">
        <f>'Other Electricity Rates'!$N$15</f>
        <v>0.0603792</v>
      </c>
      <c r="I122" s="236">
        <f>+G122*H122</f>
        <v>17246.08523484</v>
      </c>
      <c r="J122" s="234">
        <f>$C$112*'Other Electricity Rates'!$Q$15</f>
        <v>288204.92266059556</v>
      </c>
      <c r="K122" s="235">
        <f>'Other Electricity Rates'!$N$15</f>
        <v>0.0603792</v>
      </c>
      <c r="L122" s="259">
        <f>+J122*K122</f>
        <v>17401.582666308634</v>
      </c>
      <c r="M122" s="260">
        <f>+L122-I122</f>
        <v>155.4974314686333</v>
      </c>
      <c r="N122" s="245">
        <f t="shared" si="9"/>
        <v>0.009016390059032195</v>
      </c>
      <c r="O122" s="252">
        <f>L122/$L$125</f>
        <v>0.33415514831267207</v>
      </c>
      <c r="P122" s="191"/>
    </row>
    <row r="123" spans="2:16" ht="18" customHeight="1" thickBot="1">
      <c r="B123" s="202"/>
      <c r="C123" s="426"/>
      <c r="D123" s="33"/>
      <c r="E123" s="33"/>
      <c r="F123" s="394" t="s">
        <v>256</v>
      </c>
      <c r="G123" s="507"/>
      <c r="H123" s="508"/>
      <c r="I123" s="263">
        <f>SUM(I118:I122)</f>
        <v>27607.201109935027</v>
      </c>
      <c r="J123" s="507"/>
      <c r="K123" s="508"/>
      <c r="L123" s="263">
        <f>SUM(L118:L122)</f>
        <v>49596.53010393674</v>
      </c>
      <c r="M123" s="263">
        <f>SUM(M118:M122)</f>
        <v>21989.32899400171</v>
      </c>
      <c r="N123" s="266">
        <f>+M123/I123</f>
        <v>0.7965070021563465</v>
      </c>
      <c r="O123" s="271">
        <f>SUM(O118:O122)</f>
        <v>0.9523809523809523</v>
      </c>
      <c r="P123" s="191"/>
    </row>
    <row r="124" spans="2:16" ht="18" customHeight="1" thickBot="1">
      <c r="B124" s="202"/>
      <c r="C124" s="426"/>
      <c r="D124" s="33"/>
      <c r="E124" s="33"/>
      <c r="F124" s="321" t="s">
        <v>203</v>
      </c>
      <c r="G124" s="322"/>
      <c r="H124" s="325">
        <v>0.05</v>
      </c>
      <c r="I124" s="323">
        <f>I123*H124</f>
        <v>1380.3600554967516</v>
      </c>
      <c r="J124" s="322"/>
      <c r="K124" s="325">
        <v>0.05</v>
      </c>
      <c r="L124" s="324">
        <f>L123*K124</f>
        <v>2479.8265051968374</v>
      </c>
      <c r="M124" s="256">
        <f>+L124-I124</f>
        <v>1099.4664497000858</v>
      </c>
      <c r="N124" s="257">
        <f>+M124/I124</f>
        <v>0.7965070021563466</v>
      </c>
      <c r="O124" s="272">
        <f>L124/$L$125</f>
        <v>0.04761904761904762</v>
      </c>
      <c r="P124" s="191"/>
    </row>
    <row r="125" spans="2:16" ht="18" customHeight="1" thickBot="1">
      <c r="B125" s="202"/>
      <c r="C125" s="426"/>
      <c r="D125" s="33"/>
      <c r="E125" s="37"/>
      <c r="F125" s="394" t="s">
        <v>257</v>
      </c>
      <c r="G125" s="515"/>
      <c r="H125" s="516"/>
      <c r="I125" s="264">
        <f>I123+I124</f>
        <v>28987.56116543178</v>
      </c>
      <c r="J125" s="515"/>
      <c r="K125" s="516"/>
      <c r="L125" s="264">
        <f>L123+L124</f>
        <v>52076.35660913358</v>
      </c>
      <c r="M125" s="264">
        <f>M123+M124</f>
        <v>23088.795443701794</v>
      </c>
      <c r="N125" s="266">
        <f>+M125/I125</f>
        <v>0.7965070021563464</v>
      </c>
      <c r="O125" s="271">
        <f>O123+O124</f>
        <v>1</v>
      </c>
      <c r="P125" s="191"/>
    </row>
    <row r="126" spans="2:16" ht="6.75" customHeight="1" thickBot="1">
      <c r="B126" s="192"/>
      <c r="C126" s="428"/>
      <c r="D126" s="209"/>
      <c r="E126" s="209"/>
      <c r="F126" s="210"/>
      <c r="G126" s="211"/>
      <c r="H126" s="212"/>
      <c r="I126" s="213"/>
      <c r="J126" s="211"/>
      <c r="K126" s="214"/>
      <c r="L126" s="213"/>
      <c r="M126" s="218"/>
      <c r="N126" s="216"/>
      <c r="O126" s="217"/>
      <c r="P126" s="197"/>
    </row>
    <row r="127" spans="3:16" ht="6.75" customHeight="1">
      <c r="C127" s="426"/>
      <c r="D127" s="33"/>
      <c r="E127" s="33"/>
      <c r="F127" s="50"/>
      <c r="G127" s="51"/>
      <c r="H127" s="52"/>
      <c r="I127" s="53"/>
      <c r="J127" s="51"/>
      <c r="K127" s="54"/>
      <c r="L127" s="53"/>
      <c r="M127" s="208"/>
      <c r="N127" s="206"/>
      <c r="O127" s="207"/>
      <c r="P127" s="191"/>
    </row>
    <row r="128" spans="2:16" ht="6.75" customHeight="1">
      <c r="B128" s="202"/>
      <c r="C128" s="424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191"/>
    </row>
    <row r="129" spans="2:16" ht="23.25">
      <c r="B129" s="202"/>
      <c r="C129" s="513" t="s">
        <v>84</v>
      </c>
      <c r="D129" s="501"/>
      <c r="E129" s="501"/>
      <c r="F129" s="501"/>
      <c r="G129" s="501"/>
      <c r="H129" s="501"/>
      <c r="I129" s="501"/>
      <c r="J129" s="501"/>
      <c r="K129" s="501"/>
      <c r="L129" s="501"/>
      <c r="M129" s="501"/>
      <c r="N129" s="501"/>
      <c r="O129" s="501"/>
      <c r="P129" s="191"/>
    </row>
    <row r="130" spans="2:16" ht="6.75" customHeight="1" thickBot="1">
      <c r="B130" s="202"/>
      <c r="C130" s="511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191"/>
    </row>
    <row r="131" spans="2:16" ht="21" thickBot="1">
      <c r="B131" s="202"/>
      <c r="C131" s="425"/>
      <c r="D131" s="204"/>
      <c r="E131" s="33"/>
      <c r="F131" s="34"/>
      <c r="G131" s="504" t="str">
        <f>+G108</f>
        <v>2009 BILL</v>
      </c>
      <c r="H131" s="505"/>
      <c r="I131" s="506"/>
      <c r="J131" s="504" t="str">
        <f>+J108</f>
        <v>2010 BILL</v>
      </c>
      <c r="K131" s="505"/>
      <c r="L131" s="506"/>
      <c r="M131" s="504" t="s">
        <v>74</v>
      </c>
      <c r="N131" s="505"/>
      <c r="O131" s="506"/>
      <c r="P131" s="191"/>
    </row>
    <row r="132" spans="2:16" ht="26.25" thickBot="1">
      <c r="B132" s="202"/>
      <c r="C132" s="426"/>
      <c r="D132" s="33"/>
      <c r="E132" s="35"/>
      <c r="F132" s="36"/>
      <c r="G132" s="219" t="s">
        <v>68</v>
      </c>
      <c r="H132" s="220" t="s">
        <v>69</v>
      </c>
      <c r="I132" s="221" t="s">
        <v>70</v>
      </c>
      <c r="J132" s="222" t="s">
        <v>68</v>
      </c>
      <c r="K132" s="220" t="s">
        <v>69</v>
      </c>
      <c r="L132" s="221" t="s">
        <v>70</v>
      </c>
      <c r="M132" s="223" t="s">
        <v>75</v>
      </c>
      <c r="N132" s="224" t="s">
        <v>76</v>
      </c>
      <c r="O132" s="225" t="s">
        <v>77</v>
      </c>
      <c r="P132" s="191"/>
    </row>
    <row r="133" spans="2:16" ht="18" customHeight="1" thickBot="1">
      <c r="B133" s="202"/>
      <c r="C133" s="499" t="s">
        <v>140</v>
      </c>
      <c r="D133" s="500"/>
      <c r="E133" s="33"/>
      <c r="F133" s="229" t="s">
        <v>72</v>
      </c>
      <c r="G133" s="233">
        <f>+C134</f>
        <v>1</v>
      </c>
      <c r="H133" s="227">
        <f>+'2009 Existing Rates'!$B$13</f>
        <v>1.98</v>
      </c>
      <c r="I133" s="241">
        <f>+H133*G133</f>
        <v>1.98</v>
      </c>
      <c r="J133" s="233">
        <f>+C134</f>
        <v>1</v>
      </c>
      <c r="K133" s="226">
        <f>+'Distribution Rate Schedule'!$B$40</f>
        <v>3.3721</v>
      </c>
      <c r="L133" s="244">
        <f>+J133*K133</f>
        <v>3.3721</v>
      </c>
      <c r="M133" s="251">
        <f>+L133-I133</f>
        <v>1.3921000000000001</v>
      </c>
      <c r="N133" s="245">
        <f>+M133/I133</f>
        <v>0.7030808080808082</v>
      </c>
      <c r="O133" s="252">
        <f>L133/$L$149</f>
        <v>0.07492441096004729</v>
      </c>
      <c r="P133" s="191"/>
    </row>
    <row r="134" spans="2:16" ht="18" customHeight="1" thickBot="1">
      <c r="B134" s="202"/>
      <c r="C134" s="200">
        <v>1</v>
      </c>
      <c r="D134" s="201" t="s">
        <v>26</v>
      </c>
      <c r="E134" s="33"/>
      <c r="F134" s="229" t="s">
        <v>73</v>
      </c>
      <c r="G134" s="233">
        <v>0</v>
      </c>
      <c r="H134" s="227">
        <v>0</v>
      </c>
      <c r="I134" s="241">
        <f>+G134*H134</f>
        <v>0</v>
      </c>
      <c r="J134" s="233">
        <v>0</v>
      </c>
      <c r="K134" s="226">
        <v>0</v>
      </c>
      <c r="L134" s="244">
        <f>+J134*K134</f>
        <v>0</v>
      </c>
      <c r="M134" s="251">
        <f>+L134-I134</f>
        <v>0</v>
      </c>
      <c r="N134" s="245">
        <v>0</v>
      </c>
      <c r="O134" s="252">
        <f>L134/$L$149</f>
        <v>0</v>
      </c>
      <c r="P134" s="191"/>
    </row>
    <row r="135" spans="2:16" ht="18" customHeight="1" thickBot="1">
      <c r="B135" s="202"/>
      <c r="C135" s="200">
        <v>180</v>
      </c>
      <c r="D135" s="201" t="s">
        <v>17</v>
      </c>
      <c r="E135" s="33"/>
      <c r="F135" s="229" t="s">
        <v>82</v>
      </c>
      <c r="G135" s="233">
        <f>+C137</f>
        <v>1</v>
      </c>
      <c r="H135" s="227">
        <f>+'2009 Existing Rates'!$D$13</f>
        <v>6.9018</v>
      </c>
      <c r="I135" s="241">
        <f>+G135*H135</f>
        <v>6.9018</v>
      </c>
      <c r="J135" s="233">
        <f>+C137</f>
        <v>1</v>
      </c>
      <c r="K135" s="226">
        <f>+'Distribution Rate Schedule'!$D$40</f>
        <v>11.7654</v>
      </c>
      <c r="L135" s="244">
        <f>+J135*K135</f>
        <v>11.7654</v>
      </c>
      <c r="M135" s="251">
        <f>+L135-I135</f>
        <v>4.8636</v>
      </c>
      <c r="N135" s="245">
        <f>+M135/I135</f>
        <v>0.7046857341563071</v>
      </c>
      <c r="O135" s="252">
        <f>L135/$L$149</f>
        <v>0.26141444936666774</v>
      </c>
      <c r="P135" s="191"/>
    </row>
    <row r="136" spans="2:16" ht="18" customHeight="1" thickBot="1">
      <c r="B136" s="202"/>
      <c r="C136" s="427"/>
      <c r="D136" s="63"/>
      <c r="E136" s="33"/>
      <c r="F136" s="232" t="s">
        <v>164</v>
      </c>
      <c r="G136" s="233">
        <f>+G135</f>
        <v>1</v>
      </c>
      <c r="H136" s="227">
        <v>0</v>
      </c>
      <c r="I136" s="241">
        <f>+G136*H136</f>
        <v>0</v>
      </c>
      <c r="J136" s="233">
        <f>+G136</f>
        <v>1</v>
      </c>
      <c r="K136" s="379">
        <f>'LRAM and SSM Rate Rider'!$L$14</f>
        <v>0</v>
      </c>
      <c r="L136" s="244">
        <f>+J136*K136</f>
        <v>0</v>
      </c>
      <c r="M136" s="251">
        <f>+L136-I136</f>
        <v>0</v>
      </c>
      <c r="N136" s="245">
        <v>0</v>
      </c>
      <c r="O136" s="252">
        <f>L136/$L$149</f>
        <v>0</v>
      </c>
      <c r="P136" s="191"/>
    </row>
    <row r="137" spans="2:16" ht="18" customHeight="1" thickBot="1">
      <c r="B137" s="202"/>
      <c r="C137" s="199">
        <v>1</v>
      </c>
      <c r="D137" s="434" t="s">
        <v>18</v>
      </c>
      <c r="E137" s="33"/>
      <c r="F137" s="229" t="s">
        <v>83</v>
      </c>
      <c r="G137" s="233">
        <f>+C137</f>
        <v>1</v>
      </c>
      <c r="H137" s="227">
        <f>+'2009 Existing Rates'!$D$27</f>
        <v>0</v>
      </c>
      <c r="I137" s="241">
        <f>+G137*H137</f>
        <v>0</v>
      </c>
      <c r="J137" s="233">
        <f>+C137</f>
        <v>1</v>
      </c>
      <c r="K137" s="226">
        <f>+'2010 Rate Rider'!$C$12</f>
        <v>-0.37489810264835477</v>
      </c>
      <c r="L137" s="244">
        <f>+J137*K137</f>
        <v>-0.37489810264835477</v>
      </c>
      <c r="M137" s="251">
        <f>+L137-I137</f>
        <v>-0.37489810264835477</v>
      </c>
      <c r="N137" s="245">
        <v>0</v>
      </c>
      <c r="O137" s="252">
        <f>L137/$L$149</f>
        <v>-0.008329829931190453</v>
      </c>
      <c r="P137" s="191"/>
    </row>
    <row r="138" spans="2:16" ht="18" customHeight="1" thickBot="1">
      <c r="B138" s="202"/>
      <c r="C138" s="435"/>
      <c r="D138" s="33"/>
      <c r="E138" s="33"/>
      <c r="F138" s="394" t="s">
        <v>251</v>
      </c>
      <c r="G138" s="507"/>
      <c r="H138" s="508"/>
      <c r="I138" s="263">
        <f>SUM(I133:I137)</f>
        <v>8.8818</v>
      </c>
      <c r="J138" s="507"/>
      <c r="K138" s="508"/>
      <c r="L138" s="263">
        <f>SUM(L133:L137)</f>
        <v>14.762601897351644</v>
      </c>
      <c r="M138" s="263">
        <f>SUM(M133:M137)</f>
        <v>5.880801897351645</v>
      </c>
      <c r="N138" s="266">
        <f aca="true" t="shared" si="10" ref="N138:N146">+M138/I138</f>
        <v>0.6621182527586351</v>
      </c>
      <c r="O138" s="263">
        <f>SUM(O133:O137)</f>
        <v>0.32800903039552454</v>
      </c>
      <c r="P138" s="191"/>
    </row>
    <row r="139" spans="2:16" ht="18" customHeight="1">
      <c r="B139" s="202"/>
      <c r="C139" s="436"/>
      <c r="D139" s="33"/>
      <c r="E139" s="33"/>
      <c r="F139" s="231" t="s">
        <v>249</v>
      </c>
      <c r="G139" s="234">
        <f>$C$137</f>
        <v>1</v>
      </c>
      <c r="H139" s="235">
        <f>'Other Electricity Rates'!$I$14</f>
        <v>1.4639</v>
      </c>
      <c r="I139" s="236">
        <f>+G139*H139</f>
        <v>1.4639</v>
      </c>
      <c r="J139" s="234">
        <f>$C$137</f>
        <v>1</v>
      </c>
      <c r="K139" s="235">
        <f>'Other Electricity Rates'!C49</f>
        <v>1.4861475274986473</v>
      </c>
      <c r="L139" s="259">
        <f>+J139*K139</f>
        <v>1.4861475274986473</v>
      </c>
      <c r="M139" s="260">
        <f>+L139-I139</f>
        <v>0.022247527498647335</v>
      </c>
      <c r="N139" s="245">
        <f t="shared" si="10"/>
        <v>0.015197436640923106</v>
      </c>
      <c r="O139" s="252">
        <f>L139/$L$149</f>
        <v>0.03302058897943917</v>
      </c>
      <c r="P139" s="191"/>
    </row>
    <row r="140" spans="2:16" ht="18" customHeight="1" thickBot="1">
      <c r="B140" s="202"/>
      <c r="C140" s="426"/>
      <c r="D140" s="33"/>
      <c r="E140" s="33"/>
      <c r="F140" s="231" t="s">
        <v>250</v>
      </c>
      <c r="G140" s="234">
        <f>$C$137</f>
        <v>1</v>
      </c>
      <c r="H140" s="235">
        <f>'Other Electricity Rates'!$H$14</f>
        <v>1.313</v>
      </c>
      <c r="I140" s="236">
        <f>+G140*H140</f>
        <v>1.313</v>
      </c>
      <c r="J140" s="234">
        <f>$C$137</f>
        <v>1</v>
      </c>
      <c r="K140" s="235">
        <f>'Other Electricity Rates'!C39</f>
        <v>1.3483335814728417</v>
      </c>
      <c r="L140" s="259">
        <f>+J140*K140</f>
        <v>1.3483335814728417</v>
      </c>
      <c r="M140" s="260">
        <f>+L140-I140</f>
        <v>0.03533358147284171</v>
      </c>
      <c r="N140" s="245">
        <f t="shared" si="10"/>
        <v>0.026910572332705038</v>
      </c>
      <c r="O140" s="252">
        <f>L140/$L$149</f>
        <v>0.0299585123126549</v>
      </c>
      <c r="P140" s="191"/>
    </row>
    <row r="141" spans="2:16" ht="18" customHeight="1" thickBot="1">
      <c r="B141" s="202"/>
      <c r="C141" s="426"/>
      <c r="D141" s="33"/>
      <c r="E141" s="33"/>
      <c r="F141" s="394" t="s">
        <v>252</v>
      </c>
      <c r="G141" s="507"/>
      <c r="H141" s="508"/>
      <c r="I141" s="263">
        <f>SUM(I138:I140)</f>
        <v>11.658700000000001</v>
      </c>
      <c r="J141" s="507"/>
      <c r="K141" s="508"/>
      <c r="L141" s="263">
        <f>SUM(L138:L140)</f>
        <v>17.597083006323132</v>
      </c>
      <c r="M141" s="263">
        <f>SUM(M138:M140)</f>
        <v>5.938383006323135</v>
      </c>
      <c r="N141" s="266">
        <f t="shared" si="10"/>
        <v>0.5093520723856977</v>
      </c>
      <c r="O141" s="271">
        <f>SUM(O138:O140)</f>
        <v>0.3909881316876186</v>
      </c>
      <c r="P141" s="191"/>
    </row>
    <row r="142" spans="2:16" ht="18" customHeight="1">
      <c r="B142" s="202"/>
      <c r="C142" s="426"/>
      <c r="D142" s="33"/>
      <c r="E142" s="33"/>
      <c r="F142" s="231" t="s">
        <v>253</v>
      </c>
      <c r="G142" s="234">
        <f>$C$135*'Other Electricity Rates'!$P$14</f>
        <v>186.95754</v>
      </c>
      <c r="H142" s="235">
        <f>'Other Electricity Rates'!$D$14</f>
        <v>0.0065</v>
      </c>
      <c r="I142" s="236">
        <f>+G142*H142</f>
        <v>1.2152240099999998</v>
      </c>
      <c r="J142" s="234">
        <f>$C$135*'Other Electricity Rates'!$Q$14</f>
        <v>188.64322210511708</v>
      </c>
      <c r="K142" s="235">
        <f>'Other Electricity Rates'!$D$14</f>
        <v>0.0065</v>
      </c>
      <c r="L142" s="259">
        <f>+J142*K142</f>
        <v>1.226180943683261</v>
      </c>
      <c r="M142" s="260">
        <f>+L142-I142</f>
        <v>0.010956933683261116</v>
      </c>
      <c r="N142" s="245">
        <f t="shared" si="10"/>
        <v>0.009016390059032094</v>
      </c>
      <c r="O142" s="252">
        <f>L142/$L$149</f>
        <v>0.027244412958068634</v>
      </c>
      <c r="P142" s="191"/>
    </row>
    <row r="143" spans="2:16" ht="18" customHeight="1">
      <c r="B143" s="202"/>
      <c r="C143" s="426"/>
      <c r="D143" s="33"/>
      <c r="E143" s="33"/>
      <c r="F143" s="232" t="s">
        <v>254</v>
      </c>
      <c r="G143" s="234">
        <v>0</v>
      </c>
      <c r="H143" s="235">
        <v>0</v>
      </c>
      <c r="I143" s="236">
        <f>+G143*H143</f>
        <v>0</v>
      </c>
      <c r="J143" s="234">
        <v>0</v>
      </c>
      <c r="K143" s="235">
        <v>0</v>
      </c>
      <c r="L143" s="259">
        <f>+J143*K143</f>
        <v>0</v>
      </c>
      <c r="M143" s="260">
        <f>+L143-I143</f>
        <v>0</v>
      </c>
      <c r="N143" s="245">
        <v>0</v>
      </c>
      <c r="O143" s="252">
        <f>L143/$L$149</f>
        <v>0</v>
      </c>
      <c r="P143" s="191"/>
    </row>
    <row r="144" spans="2:16" ht="18" customHeight="1">
      <c r="B144" s="202"/>
      <c r="C144" s="426"/>
      <c r="D144" s="33"/>
      <c r="E144" s="33"/>
      <c r="F144" s="232" t="s">
        <v>255</v>
      </c>
      <c r="G144" s="234">
        <f>$C$135</f>
        <v>180</v>
      </c>
      <c r="H144" s="235">
        <f>'Other Electricity Rates'!$E$14</f>
        <v>0.007</v>
      </c>
      <c r="I144" s="236">
        <f>+G144*H144</f>
        <v>1.26</v>
      </c>
      <c r="J144" s="234">
        <f>$C$135</f>
        <v>180</v>
      </c>
      <c r="K144" s="235">
        <f>'Other Electricity Rates'!$E$14</f>
        <v>0.007</v>
      </c>
      <c r="L144" s="259">
        <f>+J144*K144</f>
        <v>1.26</v>
      </c>
      <c r="M144" s="260">
        <f>+L144-I144</f>
        <v>0</v>
      </c>
      <c r="N144" s="245">
        <f t="shared" si="10"/>
        <v>0</v>
      </c>
      <c r="O144" s="252">
        <f>L144/$L$149</f>
        <v>0.02799583577285952</v>
      </c>
      <c r="P144" s="191"/>
    </row>
    <row r="145" spans="2:16" ht="18" customHeight="1">
      <c r="B145" s="202"/>
      <c r="C145" s="426"/>
      <c r="D145" s="33"/>
      <c r="E145" s="33"/>
      <c r="F145" s="232" t="s">
        <v>79</v>
      </c>
      <c r="G145" s="234">
        <f>$C$135*'Other Electricity Rates'!$P$14</f>
        <v>186.95754</v>
      </c>
      <c r="H145" s="235">
        <f>'Other Electricity Rates'!$N$14</f>
        <v>0.0603792</v>
      </c>
      <c r="I145" s="236">
        <f>+G145*H145</f>
        <v>11.288346699168</v>
      </c>
      <c r="J145" s="234">
        <f>$C$135*'Other Electricity Rates'!$Q$14</f>
        <v>188.64322210511708</v>
      </c>
      <c r="K145" s="235">
        <f>'Other Electricity Rates'!$N$14</f>
        <v>0.0603792</v>
      </c>
      <c r="L145" s="259">
        <f>+J145*K145</f>
        <v>11.390126836129285</v>
      </c>
      <c r="M145" s="260">
        <f>+L145-I145</f>
        <v>0.10178013696128474</v>
      </c>
      <c r="N145" s="245">
        <f>+M145/I145</f>
        <v>0.009016390059031973</v>
      </c>
      <c r="O145" s="252">
        <f>L145/$L$149</f>
        <v>0.25307628598120274</v>
      </c>
      <c r="P145" s="191"/>
    </row>
    <row r="146" spans="2:16" ht="18" customHeight="1" thickBot="1">
      <c r="B146" s="202"/>
      <c r="C146" s="426"/>
      <c r="D146" s="33"/>
      <c r="E146" s="33"/>
      <c r="F146" s="232" t="s">
        <v>79</v>
      </c>
      <c r="G146" s="234">
        <v>0</v>
      </c>
      <c r="H146" s="235">
        <v>0</v>
      </c>
      <c r="I146" s="236">
        <f>+G146*H146</f>
        <v>0</v>
      </c>
      <c r="J146" s="234">
        <f>$C$135*'Other Electricity Rates'!$Q$14</f>
        <v>188.64322210511708</v>
      </c>
      <c r="K146" s="235">
        <f>'Other Electricity Rates'!$N$14</f>
        <v>0.0603792</v>
      </c>
      <c r="L146" s="259">
        <f>+J146*K146</f>
        <v>11.390126836129285</v>
      </c>
      <c r="M146" s="260">
        <f>+L146-I146</f>
        <v>11.390126836129285</v>
      </c>
      <c r="N146" s="245" t="e">
        <f t="shared" si="10"/>
        <v>#DIV/0!</v>
      </c>
      <c r="O146" s="252">
        <f>L146/$L$149</f>
        <v>0.25307628598120274</v>
      </c>
      <c r="P146" s="191"/>
    </row>
    <row r="147" spans="2:16" ht="18" customHeight="1" thickBot="1">
      <c r="B147" s="202"/>
      <c r="C147" s="426"/>
      <c r="D147" s="33"/>
      <c r="E147" s="33"/>
      <c r="F147" s="394" t="s">
        <v>256</v>
      </c>
      <c r="G147" s="507"/>
      <c r="H147" s="508"/>
      <c r="I147" s="263">
        <f>SUM(I141:I146)</f>
        <v>25.422270709168004</v>
      </c>
      <c r="J147" s="507"/>
      <c r="K147" s="508"/>
      <c r="L147" s="263">
        <f>SUM(L141:L146)</f>
        <v>42.863517622264965</v>
      </c>
      <c r="M147" s="263">
        <f>SUM(M141:M146)</f>
        <v>17.44124691309697</v>
      </c>
      <c r="N147" s="266">
        <f>+M147/I147</f>
        <v>0.6860617256666672</v>
      </c>
      <c r="O147" s="271">
        <f>SUM(O141:O146)</f>
        <v>0.9523809523809523</v>
      </c>
      <c r="P147" s="191"/>
    </row>
    <row r="148" spans="2:16" ht="18" customHeight="1" thickBot="1">
      <c r="B148" s="202"/>
      <c r="C148" s="426"/>
      <c r="D148" s="33"/>
      <c r="E148" s="33"/>
      <c r="F148" s="321" t="s">
        <v>203</v>
      </c>
      <c r="G148" s="322"/>
      <c r="H148" s="325">
        <v>0.05</v>
      </c>
      <c r="I148" s="323">
        <f>I147*H148</f>
        <v>1.2711135354584002</v>
      </c>
      <c r="J148" s="322"/>
      <c r="K148" s="325">
        <v>0.05</v>
      </c>
      <c r="L148" s="324">
        <f>L147*K148</f>
        <v>2.1431758811132484</v>
      </c>
      <c r="M148" s="256">
        <f>+L148-I148</f>
        <v>0.8720623456548482</v>
      </c>
      <c r="N148" s="257">
        <f>+M148/I148</f>
        <v>0.686061725666667</v>
      </c>
      <c r="O148" s="272">
        <f>L148/$L$149</f>
        <v>0.04761904761904762</v>
      </c>
      <c r="P148" s="191"/>
    </row>
    <row r="149" spans="2:16" ht="18" customHeight="1" thickBot="1">
      <c r="B149" s="202"/>
      <c r="C149" s="426"/>
      <c r="D149" s="33"/>
      <c r="E149" s="37"/>
      <c r="F149" s="394" t="s">
        <v>257</v>
      </c>
      <c r="G149" s="515"/>
      <c r="H149" s="516"/>
      <c r="I149" s="264">
        <f>I147+I148</f>
        <v>26.693384244626404</v>
      </c>
      <c r="J149" s="515"/>
      <c r="K149" s="516"/>
      <c r="L149" s="264">
        <f>L147+L148</f>
        <v>45.006693503378216</v>
      </c>
      <c r="M149" s="264">
        <f>M147+M148</f>
        <v>18.313309258751815</v>
      </c>
      <c r="N149" s="266">
        <f>+M149/I149</f>
        <v>0.6860617256666671</v>
      </c>
      <c r="O149" s="271">
        <f>O147+O148</f>
        <v>1</v>
      </c>
      <c r="P149" s="191"/>
    </row>
    <row r="150" spans="2:16" ht="6.75" customHeight="1" thickBot="1">
      <c r="B150" s="192"/>
      <c r="C150" s="428"/>
      <c r="D150" s="209"/>
      <c r="E150" s="209"/>
      <c r="F150" s="210"/>
      <c r="G150" s="211"/>
      <c r="H150" s="212"/>
      <c r="I150" s="213"/>
      <c r="J150" s="211"/>
      <c r="K150" s="214"/>
      <c r="L150" s="213"/>
      <c r="M150" s="218"/>
      <c r="N150" s="216"/>
      <c r="O150" s="217"/>
      <c r="P150" s="197"/>
    </row>
    <row r="151" spans="3:15" ht="6.75" customHeight="1" thickBot="1">
      <c r="C151" s="33"/>
      <c r="D151" s="33"/>
      <c r="E151" s="33"/>
      <c r="F151" s="50"/>
      <c r="G151" s="51"/>
      <c r="H151" s="52"/>
      <c r="I151" s="53"/>
      <c r="J151" s="51"/>
      <c r="K151" s="54"/>
      <c r="L151" s="53"/>
      <c r="M151" s="208"/>
      <c r="N151" s="206"/>
      <c r="O151" s="207"/>
    </row>
    <row r="152" spans="2:16" ht="6.75" customHeight="1" thickBot="1">
      <c r="B152" s="205"/>
      <c r="C152" s="503"/>
      <c r="D152" s="503"/>
      <c r="E152" s="503"/>
      <c r="F152" s="503"/>
      <c r="G152" s="503"/>
      <c r="H152" s="503"/>
      <c r="I152" s="503"/>
      <c r="J152" s="503"/>
      <c r="K152" s="503"/>
      <c r="L152" s="503"/>
      <c r="M152" s="503"/>
      <c r="N152" s="503"/>
      <c r="O152" s="503"/>
      <c r="P152" s="190"/>
    </row>
    <row r="153" spans="2:16" ht="23.25">
      <c r="B153" s="202"/>
      <c r="C153" s="509" t="s">
        <v>202</v>
      </c>
      <c r="D153" s="510"/>
      <c r="E153" s="510"/>
      <c r="F153" s="510"/>
      <c r="G153" s="510"/>
      <c r="H153" s="510"/>
      <c r="I153" s="510"/>
      <c r="J153" s="510"/>
      <c r="K153" s="510"/>
      <c r="L153" s="510"/>
      <c r="M153" s="510"/>
      <c r="N153" s="510"/>
      <c r="O153" s="510"/>
      <c r="P153" s="190"/>
    </row>
    <row r="154" spans="2:16" ht="6.75" customHeight="1" thickBot="1">
      <c r="B154" s="202"/>
      <c r="C154" s="511"/>
      <c r="D154" s="502"/>
      <c r="E154" s="502"/>
      <c r="F154" s="502"/>
      <c r="G154" s="502"/>
      <c r="H154" s="502"/>
      <c r="I154" s="502"/>
      <c r="J154" s="502"/>
      <c r="K154" s="502"/>
      <c r="L154" s="502"/>
      <c r="M154" s="502"/>
      <c r="N154" s="502"/>
      <c r="O154" s="502"/>
      <c r="P154" s="191"/>
    </row>
    <row r="155" spans="2:16" ht="21" thickBot="1">
      <c r="B155" s="202"/>
      <c r="C155" s="425"/>
      <c r="D155" s="204"/>
      <c r="E155" s="33"/>
      <c r="F155" s="39"/>
      <c r="G155" s="504" t="str">
        <f>+G131</f>
        <v>2009 BILL</v>
      </c>
      <c r="H155" s="505"/>
      <c r="I155" s="506"/>
      <c r="J155" s="504" t="str">
        <f>+J131</f>
        <v>2010 BILL</v>
      </c>
      <c r="K155" s="505"/>
      <c r="L155" s="506"/>
      <c r="M155" s="504" t="s">
        <v>74</v>
      </c>
      <c r="N155" s="505"/>
      <c r="O155" s="506"/>
      <c r="P155" s="191"/>
    </row>
    <row r="156" spans="2:16" ht="26.25" thickBot="1">
      <c r="B156" s="202"/>
      <c r="C156" s="426"/>
      <c r="D156" s="33"/>
      <c r="E156" s="35"/>
      <c r="F156" s="40"/>
      <c r="G156" s="219" t="s">
        <v>68</v>
      </c>
      <c r="H156" s="220" t="s">
        <v>69</v>
      </c>
      <c r="I156" s="221" t="s">
        <v>70</v>
      </c>
      <c r="J156" s="222" t="s">
        <v>68</v>
      </c>
      <c r="K156" s="220" t="s">
        <v>69</v>
      </c>
      <c r="L156" s="221" t="s">
        <v>70</v>
      </c>
      <c r="M156" s="223" t="s">
        <v>80</v>
      </c>
      <c r="N156" s="224" t="s">
        <v>81</v>
      </c>
      <c r="O156" s="225" t="s">
        <v>77</v>
      </c>
      <c r="P156" s="191"/>
    </row>
    <row r="157" spans="2:16" ht="18" customHeight="1" thickBot="1">
      <c r="B157" s="202"/>
      <c r="C157" s="499" t="s">
        <v>71</v>
      </c>
      <c r="D157" s="500"/>
      <c r="E157" s="33"/>
      <c r="F157" s="229" t="s">
        <v>72</v>
      </c>
      <c r="G157" s="233"/>
      <c r="H157" s="227"/>
      <c r="I157" s="241">
        <f>'2009 Existing Rates'!C15</f>
        <v>21.75</v>
      </c>
      <c r="J157" s="233"/>
      <c r="K157" s="226"/>
      <c r="L157" s="244">
        <f>'Distribution Rate Schedule'!B42</f>
        <v>25.6994</v>
      </c>
      <c r="M157" s="251">
        <f>+L157-I157</f>
        <v>3.9494000000000007</v>
      </c>
      <c r="N157" s="245">
        <v>1</v>
      </c>
      <c r="O157" s="252">
        <f>L157/$L$172</f>
        <v>0.17954841044851855</v>
      </c>
      <c r="P157" s="191"/>
    </row>
    <row r="158" spans="2:16" ht="18" customHeight="1" thickBot="1">
      <c r="B158" s="202"/>
      <c r="C158" s="200">
        <v>1000</v>
      </c>
      <c r="D158" s="201" t="s">
        <v>17</v>
      </c>
      <c r="E158" s="33"/>
      <c r="F158" s="229" t="s">
        <v>73</v>
      </c>
      <c r="G158" s="233">
        <f>+C158</f>
        <v>1000</v>
      </c>
      <c r="H158" s="227">
        <f>'2009 Existing Rates'!E15</f>
        <v>0.0139</v>
      </c>
      <c r="I158" s="241">
        <f>+G158*H158</f>
        <v>13.899999999999999</v>
      </c>
      <c r="J158" s="233">
        <f>+C158</f>
        <v>1000</v>
      </c>
      <c r="K158" s="227">
        <f>'Distribution Rate Schedule'!E42</f>
        <v>0.0221</v>
      </c>
      <c r="L158" s="244">
        <f>+J158*K158</f>
        <v>22.1</v>
      </c>
      <c r="M158" s="251">
        <f>+L158-I158</f>
        <v>8.200000000000003</v>
      </c>
      <c r="N158" s="245">
        <f>+M158/I158</f>
        <v>0.589928057553957</v>
      </c>
      <c r="O158" s="252">
        <f>L158/$L$172</f>
        <v>0.1544012650455754</v>
      </c>
      <c r="P158" s="191"/>
    </row>
    <row r="159" spans="2:16" ht="18" customHeight="1">
      <c r="B159" s="202"/>
      <c r="C159" s="427"/>
      <c r="D159" s="63"/>
      <c r="E159" s="33"/>
      <c r="F159" s="232" t="s">
        <v>164</v>
      </c>
      <c r="G159" s="233">
        <f>+G158</f>
        <v>1000</v>
      </c>
      <c r="H159" s="227">
        <v>0</v>
      </c>
      <c r="I159" s="241">
        <f>+G159*H159</f>
        <v>0</v>
      </c>
      <c r="J159" s="233">
        <f>+G159</f>
        <v>1000</v>
      </c>
      <c r="K159" s="226">
        <f>'LRAM and SSM Rate Rider'!$L$16</f>
        <v>0.0024</v>
      </c>
      <c r="L159" s="244">
        <f>+J159*K159</f>
        <v>2.4</v>
      </c>
      <c r="M159" s="251">
        <f>+L159-I159</f>
        <v>2.4</v>
      </c>
      <c r="N159" s="245">
        <v>1</v>
      </c>
      <c r="O159" s="252">
        <f>L159/$L$172</f>
        <v>0.01676755819499461</v>
      </c>
      <c r="P159" s="191"/>
    </row>
    <row r="160" spans="2:16" ht="18" customHeight="1" thickBot="1">
      <c r="B160" s="202"/>
      <c r="C160" s="433"/>
      <c r="D160" s="26"/>
      <c r="E160" s="33"/>
      <c r="F160" s="229" t="s">
        <v>83</v>
      </c>
      <c r="G160" s="233">
        <f>+C158</f>
        <v>1000</v>
      </c>
      <c r="H160" s="227">
        <f>'2009 Existing Rates'!B29</f>
        <v>0</v>
      </c>
      <c r="I160" s="241">
        <f>+G160*H160</f>
        <v>0</v>
      </c>
      <c r="J160" s="233">
        <f>C158</f>
        <v>1000</v>
      </c>
      <c r="K160" s="226">
        <f>'2010 Rate Rider'!B14</f>
        <v>0.00025989833656024674</v>
      </c>
      <c r="L160" s="244">
        <f>+J160*K160</f>
        <v>0.25989833656024675</v>
      </c>
      <c r="M160" s="251">
        <f>+L160-I160</f>
        <v>0.25989833656024675</v>
      </c>
      <c r="N160" s="245">
        <v>0</v>
      </c>
      <c r="O160" s="252">
        <f>L160/$L$172</f>
        <v>0.0018157752012734304</v>
      </c>
      <c r="P160" s="191"/>
    </row>
    <row r="161" spans="2:16" ht="18" customHeight="1" thickBot="1">
      <c r="B161" s="202"/>
      <c r="C161" s="436"/>
      <c r="D161" s="33"/>
      <c r="E161" s="33"/>
      <c r="F161" s="394" t="s">
        <v>251</v>
      </c>
      <c r="G161" s="507"/>
      <c r="H161" s="508"/>
      <c r="I161" s="263">
        <f>SUM(I157:I160)</f>
        <v>35.65</v>
      </c>
      <c r="J161" s="507"/>
      <c r="K161" s="508"/>
      <c r="L161" s="263">
        <f>SUM(L157:L160)</f>
        <v>50.45929833656025</v>
      </c>
      <c r="M161" s="263">
        <f>SUM(M157:M160)</f>
        <v>14.80929833656025</v>
      </c>
      <c r="N161" s="266">
        <f aca="true" t="shared" si="11" ref="N161:N169">+M161/I161</f>
        <v>0.4154080879820547</v>
      </c>
      <c r="O161" s="263">
        <f>SUM(O157:O160)</f>
        <v>0.35253300889036193</v>
      </c>
      <c r="P161" s="191"/>
    </row>
    <row r="162" spans="2:16" ht="18" customHeight="1">
      <c r="B162" s="202"/>
      <c r="C162" s="436"/>
      <c r="D162" s="33"/>
      <c r="E162" s="33"/>
      <c r="F162" s="231" t="s">
        <v>249</v>
      </c>
      <c r="G162" s="234">
        <f>$C$158*'Other Electricity Rates'!$P$16</f>
        <v>1038.653</v>
      </c>
      <c r="H162" s="235">
        <f>'Other Electricity Rates'!$C$16</f>
        <v>0.0048</v>
      </c>
      <c r="I162" s="236">
        <f>+G162*H162</f>
        <v>4.9855344</v>
      </c>
      <c r="J162" s="234">
        <f>$C$158*'Other Electricity Rates'!$Q$16</f>
        <v>1048.0179005839839</v>
      </c>
      <c r="K162" s="235">
        <f>'Other Electricity Rates'!C51</f>
        <v>0.00487294769587643</v>
      </c>
      <c r="L162" s="259">
        <f>+J162*K162</f>
        <v>5.106936413887978</v>
      </c>
      <c r="M162" s="251">
        <f>+L162-I162</f>
        <v>0.12140201388797855</v>
      </c>
      <c r="N162" s="245">
        <f t="shared" si="11"/>
        <v>0.024350852716607183</v>
      </c>
      <c r="O162" s="252">
        <f>L162/$L$172</f>
        <v>0.03567952229916823</v>
      </c>
      <c r="P162" s="191"/>
    </row>
    <row r="163" spans="2:16" ht="18" customHeight="1" thickBot="1">
      <c r="B163" s="202"/>
      <c r="C163" s="437"/>
      <c r="D163" s="33"/>
      <c r="E163" s="33"/>
      <c r="F163" s="231" t="s">
        <v>250</v>
      </c>
      <c r="G163" s="234">
        <f>$C$158*'Other Electricity Rates'!$P$16</f>
        <v>1038.653</v>
      </c>
      <c r="H163" s="235">
        <f>'Other Electricity Rates'!$B$16</f>
        <v>0.0042</v>
      </c>
      <c r="I163" s="236">
        <f>+G163*H163</f>
        <v>4.3623426</v>
      </c>
      <c r="J163" s="234">
        <f>$C$158*'Other Electricity Rates'!$Q$16</f>
        <v>1048.0179005839839</v>
      </c>
      <c r="K163" s="235">
        <f>'Other Electricity Rates'!C41</f>
        <v>0.0043130244037973605</v>
      </c>
      <c r="L163" s="259">
        <f>+J163*K163</f>
        <v>4.520126780835199</v>
      </c>
      <c r="M163" s="251">
        <f>+L163-I163</f>
        <v>0.15778418083519874</v>
      </c>
      <c r="N163" s="245">
        <f t="shared" si="11"/>
        <v>0.036169598608600514</v>
      </c>
      <c r="O163" s="252">
        <f>L163/$L$172</f>
        <v>0.0315797870193366</v>
      </c>
      <c r="P163" s="191"/>
    </row>
    <row r="164" spans="2:16" ht="18" customHeight="1" thickBot="1">
      <c r="B164" s="202"/>
      <c r="C164" s="426"/>
      <c r="D164" s="33"/>
      <c r="E164" s="33"/>
      <c r="F164" s="394" t="s">
        <v>252</v>
      </c>
      <c r="G164" s="507"/>
      <c r="H164" s="508"/>
      <c r="I164" s="263">
        <f>SUM(I161:I163)</f>
        <v>44.997876999999995</v>
      </c>
      <c r="J164" s="507"/>
      <c r="K164" s="508"/>
      <c r="L164" s="263">
        <f>SUM(L161:L163)</f>
        <v>60.08636153128343</v>
      </c>
      <c r="M164" s="263">
        <f>SUM(M161:M163)</f>
        <v>15.088484531283427</v>
      </c>
      <c r="N164" s="266">
        <f t="shared" si="11"/>
        <v>0.3353154756897404</v>
      </c>
      <c r="O164" s="271">
        <f>SUM(O161:O163)</f>
        <v>0.41979231820886675</v>
      </c>
      <c r="P164" s="191"/>
    </row>
    <row r="165" spans="2:16" ht="18" customHeight="1">
      <c r="B165" s="202"/>
      <c r="C165" s="426"/>
      <c r="D165" s="33"/>
      <c r="E165" s="33"/>
      <c r="F165" s="231" t="s">
        <v>253</v>
      </c>
      <c r="G165" s="234">
        <f>$C$158*'Other Electricity Rates'!$P$16</f>
        <v>1038.653</v>
      </c>
      <c r="H165" s="235">
        <f>'Other Electricity Rates'!$D$16</f>
        <v>0.0065</v>
      </c>
      <c r="I165" s="236">
        <f>+G165*H165</f>
        <v>6.751244499999999</v>
      </c>
      <c r="J165" s="234">
        <f>$C$158*'Other Electricity Rates'!$Q$16</f>
        <v>1048.0179005839839</v>
      </c>
      <c r="K165" s="235">
        <f>'Other Electricity Rates'!$D$14</f>
        <v>0.0065</v>
      </c>
      <c r="L165" s="259">
        <f>+J165*K165</f>
        <v>6.812116353795895</v>
      </c>
      <c r="M165" s="251">
        <f>+L165-I165</f>
        <v>0.06087185379589588</v>
      </c>
      <c r="N165" s="245">
        <f t="shared" si="11"/>
        <v>0.00901639005903221</v>
      </c>
      <c r="O165" s="252">
        <f>L165/$L$172</f>
        <v>0.04759273224722799</v>
      </c>
      <c r="P165" s="191"/>
    </row>
    <row r="166" spans="2:16" ht="18" customHeight="1">
      <c r="B166" s="202"/>
      <c r="C166" s="426"/>
      <c r="D166" s="33"/>
      <c r="E166" s="33"/>
      <c r="F166" s="232" t="s">
        <v>254</v>
      </c>
      <c r="G166" s="234">
        <v>0</v>
      </c>
      <c r="H166" s="235">
        <v>0</v>
      </c>
      <c r="I166" s="236">
        <f>+G166*H166</f>
        <v>0</v>
      </c>
      <c r="J166" s="234">
        <v>0</v>
      </c>
      <c r="K166" s="235">
        <v>0</v>
      </c>
      <c r="L166" s="259">
        <f>+J166*K166</f>
        <v>0</v>
      </c>
      <c r="M166" s="251">
        <f>+L166-I166</f>
        <v>0</v>
      </c>
      <c r="N166" s="245">
        <v>0</v>
      </c>
      <c r="O166" s="252">
        <f>L166/$L$172</f>
        <v>0</v>
      </c>
      <c r="P166" s="191"/>
    </row>
    <row r="167" spans="2:16" ht="18" customHeight="1">
      <c r="B167" s="202"/>
      <c r="C167" s="426"/>
      <c r="D167" s="33"/>
      <c r="E167" s="33"/>
      <c r="F167" s="232" t="s">
        <v>255</v>
      </c>
      <c r="G167" s="234">
        <f>$C$158</f>
        <v>1000</v>
      </c>
      <c r="H167" s="235">
        <f>'Other Electricity Rates'!$E$16</f>
        <v>0.007</v>
      </c>
      <c r="I167" s="236">
        <f>+G167*H167</f>
        <v>7</v>
      </c>
      <c r="J167" s="234">
        <f>$C$158</f>
        <v>1000</v>
      </c>
      <c r="K167" s="235">
        <f>'Other Electricity Rates'!$E$14</f>
        <v>0.007</v>
      </c>
      <c r="L167" s="259">
        <f>+J167*K167</f>
        <v>7</v>
      </c>
      <c r="M167" s="251">
        <f>+L167-I167</f>
        <v>0</v>
      </c>
      <c r="N167" s="245">
        <f t="shared" si="11"/>
        <v>0</v>
      </c>
      <c r="O167" s="252">
        <f>L167/$L$172</f>
        <v>0.04890537806873428</v>
      </c>
      <c r="P167" s="191"/>
    </row>
    <row r="168" spans="2:16" ht="18" customHeight="1">
      <c r="B168" s="202"/>
      <c r="C168" s="426"/>
      <c r="D168" s="33"/>
      <c r="E168" s="33"/>
      <c r="F168" s="232" t="s">
        <v>79</v>
      </c>
      <c r="G168" s="234">
        <v>750</v>
      </c>
      <c r="H168" s="235">
        <f>'Other Electricity Rates'!$N$16</f>
        <v>0.057</v>
      </c>
      <c r="I168" s="236">
        <f>+G168*H168</f>
        <v>42.75</v>
      </c>
      <c r="J168" s="234">
        <v>750</v>
      </c>
      <c r="K168" s="235">
        <f>+'Other Electricity Rates'!$N$10</f>
        <v>0.057</v>
      </c>
      <c r="L168" s="259">
        <f>+J168*K168</f>
        <v>42.75</v>
      </c>
      <c r="M168" s="251">
        <f>+L168-I168</f>
        <v>0</v>
      </c>
      <c r="N168" s="245">
        <f t="shared" si="11"/>
        <v>0</v>
      </c>
      <c r="O168" s="252">
        <f>L168/$L$172</f>
        <v>0.2986721303483415</v>
      </c>
      <c r="P168" s="191"/>
    </row>
    <row r="169" spans="2:16" ht="18" customHeight="1" thickBot="1">
      <c r="B169" s="202"/>
      <c r="C169" s="426"/>
      <c r="D169" s="33"/>
      <c r="E169" s="33"/>
      <c r="F169" s="232" t="s">
        <v>79</v>
      </c>
      <c r="G169" s="234">
        <f>($C$158*'Other Electricity Rates'!$P$16)-G168</f>
        <v>288.653</v>
      </c>
      <c r="H169" s="235">
        <f>'Other Electricity Rates'!$O$16</f>
        <v>0.066</v>
      </c>
      <c r="I169" s="236">
        <f>+G169*H169</f>
        <v>19.051098000000003</v>
      </c>
      <c r="J169" s="234">
        <f>($C$158*'Other Electricity Rates'!$Q$16)-J168</f>
        <v>298.0179005839839</v>
      </c>
      <c r="K169" s="235">
        <f>+'Other Electricity Rates'!$O$10</f>
        <v>0.066</v>
      </c>
      <c r="L169" s="259">
        <f>+J169*K169</f>
        <v>19.669181438542935</v>
      </c>
      <c r="M169" s="251">
        <f>+L169-I169</f>
        <v>0.6180834385429321</v>
      </c>
      <c r="N169" s="245">
        <f t="shared" si="11"/>
        <v>0.03244345488868579</v>
      </c>
      <c r="O169" s="252">
        <f>L169/$L$172</f>
        <v>0.13741839350778187</v>
      </c>
      <c r="P169" s="191"/>
    </row>
    <row r="170" spans="2:16" ht="18" customHeight="1" thickBot="1">
      <c r="B170" s="202"/>
      <c r="C170" s="426"/>
      <c r="D170" s="33"/>
      <c r="E170" s="33"/>
      <c r="F170" s="394" t="s">
        <v>256</v>
      </c>
      <c r="G170" s="507"/>
      <c r="H170" s="508"/>
      <c r="I170" s="263">
        <f>SUM(I164:I169)</f>
        <v>120.5502195</v>
      </c>
      <c r="J170" s="507"/>
      <c r="K170" s="508"/>
      <c r="L170" s="263">
        <f>SUM(L164:L169)</f>
        <v>136.31765932362225</v>
      </c>
      <c r="M170" s="263">
        <f>SUM(M164:M169)</f>
        <v>15.767439823622254</v>
      </c>
      <c r="N170" s="266">
        <f>+M170/I170</f>
        <v>0.1307956127248881</v>
      </c>
      <c r="O170" s="271">
        <f>SUM(O164:O169)</f>
        <v>0.9523809523809523</v>
      </c>
      <c r="P170" s="191"/>
    </row>
    <row r="171" spans="2:16" ht="18" customHeight="1" thickBot="1">
      <c r="B171" s="202"/>
      <c r="C171" s="426"/>
      <c r="D171" s="33"/>
      <c r="E171" s="33"/>
      <c r="F171" s="321" t="s">
        <v>203</v>
      </c>
      <c r="G171" s="322"/>
      <c r="H171" s="325">
        <v>0.05</v>
      </c>
      <c r="I171" s="323">
        <f>I170*H171</f>
        <v>6.027510975</v>
      </c>
      <c r="J171" s="322"/>
      <c r="K171" s="325">
        <v>0.05</v>
      </c>
      <c r="L171" s="324">
        <f>L170*K171</f>
        <v>6.815882966181113</v>
      </c>
      <c r="M171" s="251">
        <f>+L171-I171</f>
        <v>0.7883719911811129</v>
      </c>
      <c r="N171" s="245">
        <f>+M171/I171</f>
        <v>0.13079561272488813</v>
      </c>
      <c r="O171" s="252">
        <f>L171/$L$172</f>
        <v>0.04761904761904762</v>
      </c>
      <c r="P171" s="191"/>
    </row>
    <row r="172" spans="2:16" ht="18" customHeight="1" thickBot="1">
      <c r="B172" s="202"/>
      <c r="C172" s="426"/>
      <c r="D172" s="33"/>
      <c r="E172" s="37"/>
      <c r="F172" s="394" t="s">
        <v>257</v>
      </c>
      <c r="G172" s="515"/>
      <c r="H172" s="516"/>
      <c r="I172" s="264">
        <f>I170+I171</f>
        <v>126.577730475</v>
      </c>
      <c r="J172" s="515"/>
      <c r="K172" s="516"/>
      <c r="L172" s="264">
        <f>L170+L171</f>
        <v>143.13354228980336</v>
      </c>
      <c r="M172" s="264">
        <f>M170+M171</f>
        <v>16.555811814803366</v>
      </c>
      <c r="N172" s="266">
        <f>+M172/I172</f>
        <v>0.1307956127248881</v>
      </c>
      <c r="O172" s="271">
        <f>O170+O171</f>
        <v>1</v>
      </c>
      <c r="P172" s="191"/>
    </row>
    <row r="173" spans="2:16" ht="6.75" customHeight="1" thickBot="1">
      <c r="B173" s="192"/>
      <c r="C173" s="428"/>
      <c r="D173" s="209"/>
      <c r="E173" s="209"/>
      <c r="F173" s="210"/>
      <c r="G173" s="211"/>
      <c r="H173" s="212"/>
      <c r="I173" s="213"/>
      <c r="J173" s="211"/>
      <c r="K173" s="214"/>
      <c r="L173" s="213"/>
      <c r="M173" s="218"/>
      <c r="N173" s="216"/>
      <c r="O173" s="217"/>
      <c r="P173" s="197"/>
    </row>
    <row r="174" spans="2:16" ht="6.75" customHeight="1" thickBot="1">
      <c r="B174" s="192"/>
      <c r="C174" s="209"/>
      <c r="D174" s="209"/>
      <c r="E174" s="209"/>
      <c r="F174" s="210"/>
      <c r="G174" s="211"/>
      <c r="H174" s="212"/>
      <c r="I174" s="213"/>
      <c r="J174" s="211"/>
      <c r="K174" s="214"/>
      <c r="L174" s="213"/>
      <c r="M174" s="215"/>
      <c r="N174" s="216"/>
      <c r="O174" s="217"/>
      <c r="P174" s="197"/>
    </row>
    <row r="175" spans="3:15" ht="6.75" customHeight="1">
      <c r="C175" s="33"/>
      <c r="D175" s="38"/>
      <c r="E175" s="38"/>
      <c r="F175" s="50"/>
      <c r="G175" s="51"/>
      <c r="H175" s="52"/>
      <c r="I175" s="53"/>
      <c r="J175" s="51"/>
      <c r="K175" s="54"/>
      <c r="L175" s="53"/>
      <c r="M175" s="55"/>
      <c r="N175" s="206"/>
      <c r="O175" s="207"/>
    </row>
  </sheetData>
  <mergeCells count="112">
    <mergeCell ref="G172:H172"/>
    <mergeCell ref="J172:K172"/>
    <mergeCell ref="G164:H164"/>
    <mergeCell ref="J164:K164"/>
    <mergeCell ref="G170:H170"/>
    <mergeCell ref="J170:K170"/>
    <mergeCell ref="G149:H149"/>
    <mergeCell ref="J149:K149"/>
    <mergeCell ref="G161:H161"/>
    <mergeCell ref="J161:K161"/>
    <mergeCell ref="J155:L155"/>
    <mergeCell ref="M155:O155"/>
    <mergeCell ref="G125:H125"/>
    <mergeCell ref="J125:K125"/>
    <mergeCell ref="G138:H138"/>
    <mergeCell ref="J138:K138"/>
    <mergeCell ref="J131:L131"/>
    <mergeCell ref="G131:I131"/>
    <mergeCell ref="J101:K101"/>
    <mergeCell ref="G103:H103"/>
    <mergeCell ref="J103:K103"/>
    <mergeCell ref="G115:H115"/>
    <mergeCell ref="J115:K115"/>
    <mergeCell ref="G108:I108"/>
    <mergeCell ref="J108:L108"/>
    <mergeCell ref="G75:H75"/>
    <mergeCell ref="J75:K75"/>
    <mergeCell ref="G77:H77"/>
    <mergeCell ref="J77:K77"/>
    <mergeCell ref="G67:H67"/>
    <mergeCell ref="J67:K67"/>
    <mergeCell ref="G70:H70"/>
    <mergeCell ref="J70:K70"/>
    <mergeCell ref="G21:H21"/>
    <mergeCell ref="J21:K21"/>
    <mergeCell ref="G45:H45"/>
    <mergeCell ref="J45:K45"/>
    <mergeCell ref="J42:K42"/>
    <mergeCell ref="G29:H29"/>
    <mergeCell ref="J29:K29"/>
    <mergeCell ref="G27:H27"/>
    <mergeCell ref="J27:K27"/>
    <mergeCell ref="G141:H141"/>
    <mergeCell ref="J141:K141"/>
    <mergeCell ref="C130:O130"/>
    <mergeCell ref="G118:H118"/>
    <mergeCell ref="J118:K118"/>
    <mergeCell ref="G123:H123"/>
    <mergeCell ref="J123:K123"/>
    <mergeCell ref="J18:K18"/>
    <mergeCell ref="G18:H18"/>
    <mergeCell ref="J93:K93"/>
    <mergeCell ref="C80:O80"/>
    <mergeCell ref="C81:O81"/>
    <mergeCell ref="B1:O1"/>
    <mergeCell ref="B2:O2"/>
    <mergeCell ref="B3:O3"/>
    <mergeCell ref="B7:O7"/>
    <mergeCell ref="C6:O6"/>
    <mergeCell ref="C4:O4"/>
    <mergeCell ref="C5:O5"/>
    <mergeCell ref="M59:O59"/>
    <mergeCell ref="J59:L59"/>
    <mergeCell ref="G42:H42"/>
    <mergeCell ref="G51:H51"/>
    <mergeCell ref="J51:K51"/>
    <mergeCell ref="G53:H53"/>
    <mergeCell ref="J53:K53"/>
    <mergeCell ref="C37:D37"/>
    <mergeCell ref="C13:D13"/>
    <mergeCell ref="C8:O8"/>
    <mergeCell ref="M35:O35"/>
    <mergeCell ref="C33:O33"/>
    <mergeCell ref="M11:O11"/>
    <mergeCell ref="G11:I11"/>
    <mergeCell ref="J11:L11"/>
    <mergeCell ref="G35:I35"/>
    <mergeCell ref="J35:L35"/>
    <mergeCell ref="C157:D157"/>
    <mergeCell ref="C153:O153"/>
    <mergeCell ref="C152:O152"/>
    <mergeCell ref="C154:O154"/>
    <mergeCell ref="G155:I155"/>
    <mergeCell ref="M131:O131"/>
    <mergeCell ref="C133:D133"/>
    <mergeCell ref="C129:O129"/>
    <mergeCell ref="G147:H147"/>
    <mergeCell ref="J147:K147"/>
    <mergeCell ref="G59:I59"/>
    <mergeCell ref="C105:O105"/>
    <mergeCell ref="C86:D86"/>
    <mergeCell ref="M108:O108"/>
    <mergeCell ref="C106:O106"/>
    <mergeCell ref="C110:D110"/>
    <mergeCell ref="C82:O82"/>
    <mergeCell ref="C83:O83"/>
    <mergeCell ref="G84:I84"/>
    <mergeCell ref="J84:L84"/>
    <mergeCell ref="M84:O84"/>
    <mergeCell ref="G96:H96"/>
    <mergeCell ref="J96:K96"/>
    <mergeCell ref="G101:H101"/>
    <mergeCell ref="G93:H93"/>
    <mergeCell ref="C107:O107"/>
    <mergeCell ref="C61:D61"/>
    <mergeCell ref="C58:O58"/>
    <mergeCell ref="C57:O57"/>
    <mergeCell ref="C56:O56"/>
    <mergeCell ref="C9:O9"/>
    <mergeCell ref="C32:O32"/>
    <mergeCell ref="C34:O34"/>
    <mergeCell ref="C10:O10"/>
  </mergeCells>
  <printOptions/>
  <pageMargins left="0.75" right="0.36" top="1" bottom="1" header="0.5" footer="0.5"/>
  <pageSetup fitToHeight="6" horizontalDpi="355" verticalDpi="355" orientation="landscape" scale="45" r:id="rId1"/>
  <rowBreaks count="1" manualBreakCount="1"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workbookViewId="0" topLeftCell="A1">
      <selection activeCell="A1" sqref="A1:E1"/>
    </sheetView>
  </sheetViews>
  <sheetFormatPr defaultColWidth="9.140625" defaultRowHeight="12.75"/>
  <cols>
    <col min="1" max="1" width="2.7109375" style="0" customWidth="1"/>
    <col min="2" max="2" width="32.28125" style="0" bestFit="1" customWidth="1"/>
    <col min="3" max="3" width="31.28125" style="0" bestFit="1" customWidth="1"/>
    <col min="4" max="4" width="13.00390625" style="0" customWidth="1"/>
    <col min="5" max="5" width="16.28125" style="0" customWidth="1"/>
  </cols>
  <sheetData>
    <row r="1" spans="1:5" ht="12.75">
      <c r="A1" s="443" t="str">
        <f>+'Revenue Input'!A1</f>
        <v>North Bay Hydro Distribution Ltd.</v>
      </c>
      <c r="B1" s="443"/>
      <c r="C1" s="443"/>
      <c r="D1" s="443"/>
      <c r="E1" s="443"/>
    </row>
    <row r="2" spans="1:5" ht="12.75">
      <c r="A2" s="443" t="str">
        <f>+'Revenue Input'!A2</f>
        <v>License Number ED-2003-0024, File Number EB-2009-0270</v>
      </c>
      <c r="B2" s="443"/>
      <c r="C2" s="443"/>
      <c r="D2" s="443"/>
      <c r="E2" s="443"/>
    </row>
    <row r="3" spans="1:5" ht="12.75">
      <c r="A3" s="443">
        <f>+'Revenue Input'!A3</f>
        <v>0</v>
      </c>
      <c r="B3" s="443"/>
      <c r="C3" s="443"/>
      <c r="D3" s="443"/>
      <c r="E3" s="443"/>
    </row>
    <row r="4" spans="1:5" ht="8.25" customHeight="1">
      <c r="A4" s="450"/>
      <c r="B4" s="450"/>
      <c r="C4" s="450"/>
      <c r="D4" s="450"/>
      <c r="E4" s="450"/>
    </row>
    <row r="5" spans="1:5" ht="19.5" customHeight="1">
      <c r="A5" s="430" t="s">
        <v>91</v>
      </c>
      <c r="B5" s="430"/>
      <c r="C5" s="430"/>
      <c r="D5" s="430"/>
      <c r="E5" s="430"/>
    </row>
    <row r="6" spans="1:5" ht="19.5" customHeight="1">
      <c r="A6" s="517" t="s">
        <v>90</v>
      </c>
      <c r="B6" s="517"/>
      <c r="C6" s="517"/>
      <c r="D6" s="517"/>
      <c r="E6" s="517"/>
    </row>
    <row r="7" spans="1:5" ht="19.5" customHeight="1">
      <c r="A7" s="517" t="s">
        <v>269</v>
      </c>
      <c r="B7" s="517"/>
      <c r="C7" s="517"/>
      <c r="D7" s="517"/>
      <c r="E7" s="517"/>
    </row>
    <row r="8" spans="1:5" ht="19.5" customHeight="1">
      <c r="A8" s="517"/>
      <c r="B8" s="517"/>
      <c r="C8" s="517"/>
      <c r="D8" s="517"/>
      <c r="E8" s="517"/>
    </row>
    <row r="9" spans="1:6" ht="11.25" customHeight="1" thickBot="1">
      <c r="A9" s="16"/>
      <c r="B9" s="46"/>
      <c r="C9" s="16"/>
      <c r="D9" s="16"/>
      <c r="E9" s="47"/>
      <c r="F9" s="16"/>
    </row>
    <row r="10" spans="1:6" ht="26.25" thickBot="1">
      <c r="A10" s="41"/>
      <c r="B10" s="273" t="s">
        <v>0</v>
      </c>
      <c r="C10" s="273" t="s">
        <v>86</v>
      </c>
      <c r="D10" s="273" t="s">
        <v>87</v>
      </c>
      <c r="E10" s="273" t="s">
        <v>186</v>
      </c>
      <c r="F10" s="16"/>
    </row>
    <row r="11" spans="1:6" ht="15.75">
      <c r="A11" s="25"/>
      <c r="B11" s="518" t="str">
        <f>'Distribution Rate Schedule'!A11</f>
        <v>Residential</v>
      </c>
      <c r="C11" s="519"/>
      <c r="D11" s="519"/>
      <c r="E11" s="520"/>
      <c r="F11" s="26"/>
    </row>
    <row r="12" spans="1:6" ht="15">
      <c r="A12" s="25"/>
      <c r="B12" s="274"/>
      <c r="C12" s="44" t="s">
        <v>72</v>
      </c>
      <c r="D12" s="42" t="s">
        <v>88</v>
      </c>
      <c r="E12" s="275">
        <f>+'Distribution Rate Schedule'!C35</f>
        <v>14.84</v>
      </c>
      <c r="F12" s="26"/>
    </row>
    <row r="13" spans="1:6" ht="15">
      <c r="A13" s="25"/>
      <c r="B13" s="274"/>
      <c r="C13" s="44" t="s">
        <v>89</v>
      </c>
      <c r="D13" s="42" t="s">
        <v>57</v>
      </c>
      <c r="E13" s="276">
        <f>+'Distribution Rate Schedule'!E11</f>
        <v>0.0133</v>
      </c>
      <c r="F13" s="26"/>
    </row>
    <row r="14" spans="1:6" ht="15">
      <c r="A14" s="25"/>
      <c r="B14" s="274"/>
      <c r="C14" s="44" t="s">
        <v>165</v>
      </c>
      <c r="D14" s="42" t="s">
        <v>57</v>
      </c>
      <c r="E14" s="276">
        <f>'LRAM and SSM Rate Rider'!L9</f>
        <v>0.0004</v>
      </c>
      <c r="F14" s="26"/>
    </row>
    <row r="15" spans="1:6" ht="15">
      <c r="A15" s="25"/>
      <c r="B15" s="274"/>
      <c r="C15" s="44" t="s">
        <v>271</v>
      </c>
      <c r="D15" s="42" t="s">
        <v>57</v>
      </c>
      <c r="E15" s="276">
        <f>'Distribution Rate Schedule'!E23</f>
        <v>0</v>
      </c>
      <c r="F15" s="26"/>
    </row>
    <row r="16" spans="1:6" ht="15">
      <c r="A16" s="25"/>
      <c r="B16" s="274"/>
      <c r="C16" s="44" t="s">
        <v>171</v>
      </c>
      <c r="D16" s="42" t="s">
        <v>88</v>
      </c>
      <c r="E16" s="276">
        <f>'2010 Rate Rider'!D7</f>
        <v>1.47</v>
      </c>
      <c r="F16" s="26"/>
    </row>
    <row r="17" spans="1:6" ht="15">
      <c r="A17" s="25"/>
      <c r="B17" s="274"/>
      <c r="C17" s="44" t="s">
        <v>272</v>
      </c>
      <c r="D17" s="42" t="s">
        <v>57</v>
      </c>
      <c r="E17" s="276">
        <f>'Other Electricity Rates'!C44</f>
        <v>0.0052790266705327995</v>
      </c>
      <c r="F17" s="26"/>
    </row>
    <row r="18" spans="1:6" ht="15">
      <c r="A18" s="25"/>
      <c r="B18" s="274"/>
      <c r="C18" s="44" t="s">
        <v>273</v>
      </c>
      <c r="D18" s="42" t="s">
        <v>57</v>
      </c>
      <c r="E18" s="276">
        <f>'Other Electricity Rates'!C34</f>
        <v>0.004826479689963714</v>
      </c>
      <c r="F18" s="26"/>
    </row>
    <row r="19" spans="1:6" ht="15.75" thickBot="1">
      <c r="A19" s="25"/>
      <c r="B19" s="277"/>
      <c r="C19" s="278" t="s">
        <v>154</v>
      </c>
      <c r="D19" s="279" t="s">
        <v>57</v>
      </c>
      <c r="E19" s="280">
        <f>+'2010 Rate Rider'!B7</f>
        <v>0.00041856528811017485</v>
      </c>
      <c r="F19" s="26"/>
    </row>
    <row r="20" spans="1:6" ht="6.75" customHeight="1" thickBot="1">
      <c r="A20" s="25"/>
      <c r="B20" s="43"/>
      <c r="C20" s="44"/>
      <c r="D20" s="42"/>
      <c r="E20" s="45"/>
      <c r="F20" s="26"/>
    </row>
    <row r="21" spans="1:5" ht="15.75" customHeight="1">
      <c r="A21" s="24"/>
      <c r="B21" s="518" t="str">
        <f>'Distribution Rate Schedule'!A12</f>
        <v>GS &lt; 50 kW</v>
      </c>
      <c r="C21" s="519"/>
      <c r="D21" s="519"/>
      <c r="E21" s="520"/>
    </row>
    <row r="22" spans="1:5" ht="15">
      <c r="A22" s="24"/>
      <c r="B22" s="274"/>
      <c r="C22" s="44" t="s">
        <v>72</v>
      </c>
      <c r="D22" s="42" t="s">
        <v>88</v>
      </c>
      <c r="E22" s="275">
        <f>+'Distribution Rate Schedule'!C36</f>
        <v>25.7</v>
      </c>
    </row>
    <row r="23" spans="1:5" ht="15">
      <c r="A23" s="24"/>
      <c r="B23" s="274"/>
      <c r="C23" s="44" t="s">
        <v>89</v>
      </c>
      <c r="D23" s="42" t="s">
        <v>57</v>
      </c>
      <c r="E23" s="276">
        <f>'Distribution Rate Schedule'!E12</f>
        <v>0.0165</v>
      </c>
    </row>
    <row r="24" spans="1:6" ht="15">
      <c r="A24" s="25"/>
      <c r="B24" s="274"/>
      <c r="C24" s="44" t="s">
        <v>165</v>
      </c>
      <c r="D24" s="42" t="s">
        <v>57</v>
      </c>
      <c r="E24" s="276">
        <f>+'LRAM and SSM Rate Rider'!L10</f>
        <v>0.0002</v>
      </c>
      <c r="F24" s="26"/>
    </row>
    <row r="25" spans="1:5" ht="15">
      <c r="A25" s="24"/>
      <c r="B25" s="274"/>
      <c r="C25" s="44" t="s">
        <v>171</v>
      </c>
      <c r="D25" s="42" t="s">
        <v>88</v>
      </c>
      <c r="E25" s="276">
        <f>'2010 Rate Rider'!D8</f>
        <v>1.47</v>
      </c>
    </row>
    <row r="26" spans="1:5" ht="15">
      <c r="A26" s="24"/>
      <c r="B26" s="274"/>
      <c r="C26" s="44" t="s">
        <v>271</v>
      </c>
      <c r="D26" s="42" t="s">
        <v>57</v>
      </c>
      <c r="E26" s="276">
        <f>'Distribution Rate Schedule'!E24</f>
        <v>0</v>
      </c>
    </row>
    <row r="27" spans="1:6" ht="15">
      <c r="A27" s="25"/>
      <c r="B27" s="274"/>
      <c r="C27" s="44" t="s">
        <v>272</v>
      </c>
      <c r="D27" s="42" t="s">
        <v>57</v>
      </c>
      <c r="E27" s="276">
        <f>'Other Electricity Rates'!C45</f>
        <v>0.00487294769587643</v>
      </c>
      <c r="F27" s="26"/>
    </row>
    <row r="28" spans="1:6" ht="15">
      <c r="A28" s="25"/>
      <c r="B28" s="274"/>
      <c r="C28" s="44" t="s">
        <v>273</v>
      </c>
      <c r="D28" s="42" t="s">
        <v>57</v>
      </c>
      <c r="E28" s="276">
        <f>'Other Electricity Rates'!C35</f>
        <v>0.0043130244037973605</v>
      </c>
      <c r="F28" s="26"/>
    </row>
    <row r="29" spans="1:5" ht="15.75" thickBot="1">
      <c r="A29" s="24"/>
      <c r="B29" s="277"/>
      <c r="C29" s="278" t="s">
        <v>154</v>
      </c>
      <c r="D29" s="279" t="s">
        <v>57</v>
      </c>
      <c r="E29" s="280">
        <f>+'2010 Rate Rider'!B8</f>
        <v>0.0003952060955391778</v>
      </c>
    </row>
    <row r="30" spans="1:5" ht="6.75" customHeight="1" thickBot="1">
      <c r="A30" s="24"/>
      <c r="B30" s="43"/>
      <c r="C30" s="44"/>
      <c r="D30" s="42"/>
      <c r="E30" s="45"/>
    </row>
    <row r="31" spans="1:5" ht="15.75" customHeight="1">
      <c r="A31" s="24"/>
      <c r="B31" s="518" t="str">
        <f>'Distribution Rate Schedule'!A13</f>
        <v>GS &gt;50</v>
      </c>
      <c r="C31" s="519"/>
      <c r="D31" s="519"/>
      <c r="E31" s="520"/>
    </row>
    <row r="32" spans="1:5" ht="15">
      <c r="A32" s="24"/>
      <c r="B32" s="274"/>
      <c r="C32" s="44" t="s">
        <v>72</v>
      </c>
      <c r="D32" s="42" t="s">
        <v>88</v>
      </c>
      <c r="E32" s="275">
        <f>+'Distribution Rate Schedule'!C37</f>
        <v>329.78</v>
      </c>
    </row>
    <row r="33" spans="1:5" ht="15">
      <c r="A33" s="24"/>
      <c r="B33" s="274"/>
      <c r="C33" s="44" t="s">
        <v>89</v>
      </c>
      <c r="D33" s="42" t="s">
        <v>24</v>
      </c>
      <c r="E33" s="276">
        <f>'Distribution Rate Schedule'!D13</f>
        <v>2.3014</v>
      </c>
    </row>
    <row r="34" spans="1:6" ht="15">
      <c r="A34" s="25"/>
      <c r="B34" s="274"/>
      <c r="C34" s="44" t="s">
        <v>165</v>
      </c>
      <c r="D34" s="42" t="s">
        <v>24</v>
      </c>
      <c r="E34" s="276">
        <f>+'LRAM and SSM Rate Rider'!L11</f>
        <v>0.0679</v>
      </c>
      <c r="F34" s="26"/>
    </row>
    <row r="35" spans="1:5" ht="15">
      <c r="A35" s="24"/>
      <c r="B35" s="274"/>
      <c r="C35" s="44" t="s">
        <v>171</v>
      </c>
      <c r="D35" s="42" t="s">
        <v>88</v>
      </c>
      <c r="E35" s="276">
        <f>'2010 Rate Rider'!D9</f>
        <v>1.47</v>
      </c>
    </row>
    <row r="36" spans="1:5" ht="15">
      <c r="A36" s="24"/>
      <c r="B36" s="274"/>
      <c r="C36" s="44" t="s">
        <v>271</v>
      </c>
      <c r="D36" s="42" t="s">
        <v>24</v>
      </c>
      <c r="E36" s="276">
        <f>'Distribution Rate Schedule'!D25</f>
        <v>0.0139</v>
      </c>
    </row>
    <row r="37" spans="1:6" ht="15">
      <c r="A37" s="25"/>
      <c r="B37" s="274"/>
      <c r="C37" s="44" t="s">
        <v>272</v>
      </c>
      <c r="D37" s="42" t="s">
        <v>24</v>
      </c>
      <c r="E37" s="276">
        <f>'Other Electricity Rates'!C46</f>
        <v>1.960650809384615</v>
      </c>
      <c r="F37" s="26"/>
    </row>
    <row r="38" spans="1:6" ht="15">
      <c r="A38" s="25"/>
      <c r="B38" s="274"/>
      <c r="C38" s="44" t="s">
        <v>273</v>
      </c>
      <c r="D38" s="42" t="s">
        <v>24</v>
      </c>
      <c r="E38" s="276">
        <f>'Other Electricity Rates'!C36</f>
        <v>1.708368428132688</v>
      </c>
      <c r="F38" s="26"/>
    </row>
    <row r="39" spans="1:5" ht="15.75" thickBot="1">
      <c r="A39" s="24"/>
      <c r="B39" s="277"/>
      <c r="C39" s="278" t="s">
        <v>154</v>
      </c>
      <c r="D39" s="279" t="s">
        <v>24</v>
      </c>
      <c r="E39" s="280">
        <f>+'2010 Rate Rider'!C9</f>
        <v>0.4513205267704249</v>
      </c>
    </row>
    <row r="40" spans="1:5" ht="6.75" customHeight="1" thickBot="1">
      <c r="A40" s="24"/>
      <c r="B40" s="43"/>
      <c r="C40" s="44"/>
      <c r="D40" s="42"/>
      <c r="E40" s="45"/>
    </row>
    <row r="41" spans="1:5" ht="15.75" customHeight="1">
      <c r="A41" s="24"/>
      <c r="B41" s="518" t="str">
        <f>'Distribution Rate Schedule'!A14</f>
        <v>General Service &gt; 3000 to 4999 kW</v>
      </c>
      <c r="C41" s="519"/>
      <c r="D41" s="519"/>
      <c r="E41" s="520"/>
    </row>
    <row r="42" spans="1:5" ht="15">
      <c r="A42" s="24"/>
      <c r="B42" s="274"/>
      <c r="C42" s="44" t="s">
        <v>72</v>
      </c>
      <c r="D42" s="42" t="s">
        <v>88</v>
      </c>
      <c r="E42" s="275">
        <f>'Distribution Rate Schedule'!C14</f>
        <v>4721.33</v>
      </c>
    </row>
    <row r="43" spans="1:5" ht="15">
      <c r="A43" s="24"/>
      <c r="B43" s="274"/>
      <c r="C43" s="44" t="s">
        <v>89</v>
      </c>
      <c r="D43" s="42" t="s">
        <v>24</v>
      </c>
      <c r="E43" s="276">
        <f>'Distribution Rate Schedule'!D14</f>
        <v>0.8599</v>
      </c>
    </row>
    <row r="44" spans="1:6" ht="15">
      <c r="A44" s="25"/>
      <c r="B44" s="274"/>
      <c r="C44" s="44" t="s">
        <v>165</v>
      </c>
      <c r="D44" s="42" t="s">
        <v>24</v>
      </c>
      <c r="E44" s="276">
        <f>'LRAM and SSM Rate Rider'!L12</f>
        <v>0.0163</v>
      </c>
      <c r="F44" s="26"/>
    </row>
    <row r="45" spans="1:5" ht="15">
      <c r="A45" s="24"/>
      <c r="B45" s="274"/>
      <c r="C45" s="44" t="s">
        <v>171</v>
      </c>
      <c r="D45" s="42" t="s">
        <v>88</v>
      </c>
      <c r="E45" s="276">
        <f>'2010 Rate Rider'!D10</f>
        <v>1.47</v>
      </c>
    </row>
    <row r="46" spans="1:5" ht="15">
      <c r="A46" s="24"/>
      <c r="B46" s="274"/>
      <c r="C46" s="44" t="s">
        <v>271</v>
      </c>
      <c r="D46" s="42" t="s">
        <v>24</v>
      </c>
      <c r="E46" s="276">
        <f>'Distribution Rate Schedule'!D26</f>
        <v>0.0154</v>
      </c>
    </row>
    <row r="47" spans="1:6" ht="15">
      <c r="A47" s="25"/>
      <c r="B47" s="274"/>
      <c r="C47" s="44" t="s">
        <v>272</v>
      </c>
      <c r="D47" s="42" t="s">
        <v>24</v>
      </c>
      <c r="E47" s="276">
        <f>'Other Electricity Rates'!C47</f>
        <v>2.0798349884462595</v>
      </c>
      <c r="F47" s="26"/>
    </row>
    <row r="48" spans="1:6" ht="15">
      <c r="A48" s="25"/>
      <c r="B48" s="274"/>
      <c r="C48" s="44" t="s">
        <v>273</v>
      </c>
      <c r="D48" s="42" t="s">
        <v>24</v>
      </c>
      <c r="E48" s="276">
        <f>'Other Electricity Rates'!C37</f>
        <v>1.8880777782909115</v>
      </c>
      <c r="F48" s="26"/>
    </row>
    <row r="49" spans="1:5" ht="15.75" thickBot="1">
      <c r="A49" s="24"/>
      <c r="B49" s="277"/>
      <c r="C49" s="278" t="s">
        <v>154</v>
      </c>
      <c r="D49" s="279" t="s">
        <v>24</v>
      </c>
      <c r="E49" s="280">
        <f>'2010 Rate Rider'!C10</f>
        <v>0.6820947364191872</v>
      </c>
    </row>
    <row r="50" spans="1:5" ht="6.75" customHeight="1" thickBot="1">
      <c r="A50" s="24"/>
      <c r="B50" s="43"/>
      <c r="C50" s="44"/>
      <c r="D50" s="42"/>
      <c r="E50" s="45"/>
    </row>
    <row r="51" spans="1:5" ht="15.75">
      <c r="A51" s="24"/>
      <c r="B51" s="518" t="str">
        <f>'Distribution Rate Schedule'!A16</f>
        <v>Sentinel Lights</v>
      </c>
      <c r="C51" s="519"/>
      <c r="D51" s="519"/>
      <c r="E51" s="520"/>
    </row>
    <row r="52" spans="1:5" ht="15">
      <c r="A52" s="24"/>
      <c r="B52" s="274"/>
      <c r="C52" s="44" t="s">
        <v>72</v>
      </c>
      <c r="D52" s="42" t="s">
        <v>88</v>
      </c>
      <c r="E52" s="275">
        <f>+'Distribution Rate Schedule'!B40</f>
        <v>3.3721</v>
      </c>
    </row>
    <row r="53" spans="1:5" ht="15">
      <c r="A53" s="24"/>
      <c r="B53" s="274"/>
      <c r="C53" s="44" t="s">
        <v>89</v>
      </c>
      <c r="D53" s="42" t="s">
        <v>24</v>
      </c>
      <c r="E53" s="276">
        <f>'Distribution Rate Schedule'!D16</f>
        <v>11.7544</v>
      </c>
    </row>
    <row r="54" spans="1:6" ht="15">
      <c r="A54" s="25"/>
      <c r="B54" s="274"/>
      <c r="C54" s="44" t="s">
        <v>165</v>
      </c>
      <c r="D54" s="42" t="s">
        <v>24</v>
      </c>
      <c r="E54" s="276">
        <f>+'LRAM and SSM Rate Rider'!L14</f>
        <v>0</v>
      </c>
      <c r="F54" s="26"/>
    </row>
    <row r="55" spans="1:6" ht="15">
      <c r="A55" s="25"/>
      <c r="B55" s="274"/>
      <c r="C55" s="44" t="s">
        <v>271</v>
      </c>
      <c r="D55" s="42" t="s">
        <v>24</v>
      </c>
      <c r="E55" s="276">
        <f>'Distribution Rate Schedule'!D28</f>
        <v>0.011</v>
      </c>
      <c r="F55" s="26"/>
    </row>
    <row r="56" spans="1:6" ht="15">
      <c r="A56" s="25"/>
      <c r="B56" s="274"/>
      <c r="C56" s="44" t="s">
        <v>272</v>
      </c>
      <c r="D56" s="42" t="s">
        <v>24</v>
      </c>
      <c r="E56" s="276">
        <f>'Other Electricity Rates'!C49</f>
        <v>1.4861475274986473</v>
      </c>
      <c r="F56" s="26"/>
    </row>
    <row r="57" spans="1:6" ht="15">
      <c r="A57" s="25"/>
      <c r="B57" s="274"/>
      <c r="C57" s="44" t="s">
        <v>273</v>
      </c>
      <c r="D57" s="42" t="s">
        <v>24</v>
      </c>
      <c r="E57" s="276">
        <f>'Other Electricity Rates'!C39</f>
        <v>1.3483335814728417</v>
      </c>
      <c r="F57" s="26"/>
    </row>
    <row r="58" spans="1:5" ht="15.75" thickBot="1">
      <c r="A58" s="24"/>
      <c r="B58" s="277"/>
      <c r="C58" s="278" t="s">
        <v>154</v>
      </c>
      <c r="D58" s="279" t="s">
        <v>24</v>
      </c>
      <c r="E58" s="280">
        <f>+'2010 Rate Rider'!C12</f>
        <v>-0.37489810264835477</v>
      </c>
    </row>
    <row r="59" spans="1:5" ht="6.75" customHeight="1" thickBot="1">
      <c r="A59" s="24"/>
      <c r="B59" s="43"/>
      <c r="C59" s="44"/>
      <c r="D59" s="42"/>
      <c r="E59" s="45"/>
    </row>
    <row r="60" spans="1:5" ht="15.75">
      <c r="A60" s="24"/>
      <c r="B60" s="518" t="str">
        <f>'Distribution Rate Schedule'!A17</f>
        <v>Street Lighting</v>
      </c>
      <c r="C60" s="519"/>
      <c r="D60" s="519"/>
      <c r="E60" s="520"/>
    </row>
    <row r="61" spans="1:5" ht="15">
      <c r="A61" s="24"/>
      <c r="B61" s="274"/>
      <c r="C61" s="44" t="s">
        <v>72</v>
      </c>
      <c r="D61" s="42" t="s">
        <v>88</v>
      </c>
      <c r="E61" s="275">
        <f>+'Distribution Rate Schedule'!B41</f>
        <v>2.6927</v>
      </c>
    </row>
    <row r="62" spans="1:5" ht="15">
      <c r="A62" s="24"/>
      <c r="B62" s="274"/>
      <c r="C62" s="44" t="s">
        <v>89</v>
      </c>
      <c r="D62" s="42" t="s">
        <v>24</v>
      </c>
      <c r="E62" s="276">
        <f>'Distribution Rate Schedule'!D17</f>
        <v>14.4244</v>
      </c>
    </row>
    <row r="63" spans="1:6" ht="15">
      <c r="A63" s="25"/>
      <c r="B63" s="274"/>
      <c r="C63" s="44" t="s">
        <v>165</v>
      </c>
      <c r="D63" s="42" t="s">
        <v>24</v>
      </c>
      <c r="E63" s="276">
        <f>+'LRAM and SSM Rate Rider'!L15</f>
        <v>0</v>
      </c>
      <c r="F63" s="26"/>
    </row>
    <row r="64" spans="1:6" ht="15">
      <c r="A64" s="25"/>
      <c r="B64" s="274"/>
      <c r="C64" s="44" t="s">
        <v>271</v>
      </c>
      <c r="D64" s="42" t="s">
        <v>24</v>
      </c>
      <c r="E64" s="276">
        <f>'Distribution Rate Schedule'!D29</f>
        <v>0.0108</v>
      </c>
      <c r="F64" s="26"/>
    </row>
    <row r="65" spans="1:6" ht="15">
      <c r="A65" s="25"/>
      <c r="B65" s="274"/>
      <c r="C65" s="44" t="s">
        <v>272</v>
      </c>
      <c r="D65" s="42" t="s">
        <v>24</v>
      </c>
      <c r="E65" s="276">
        <f>'Other Electricity Rates'!C50</f>
        <v>1.4786350664675043</v>
      </c>
      <c r="F65" s="26"/>
    </row>
    <row r="66" spans="1:6" ht="15">
      <c r="A66" s="25"/>
      <c r="B66" s="274"/>
      <c r="C66" s="44" t="s">
        <v>273</v>
      </c>
      <c r="D66" s="42" t="s">
        <v>24</v>
      </c>
      <c r="E66" s="276">
        <f>'Other Electricity Rates'!C40</f>
        <v>1.3206069960198588</v>
      </c>
      <c r="F66" s="26"/>
    </row>
    <row r="67" spans="1:5" ht="15.75" thickBot="1">
      <c r="A67" s="24"/>
      <c r="B67" s="277"/>
      <c r="C67" s="278" t="s">
        <v>154</v>
      </c>
      <c r="D67" s="279" t="s">
        <v>24</v>
      </c>
      <c r="E67" s="280">
        <f>+'2010 Rate Rider'!C13</f>
        <v>-0.8623783840926715</v>
      </c>
    </row>
    <row r="68" spans="1:5" ht="6.75" customHeight="1" thickBot="1">
      <c r="A68" s="24"/>
      <c r="B68" s="43"/>
      <c r="C68" s="44"/>
      <c r="D68" s="42"/>
      <c r="E68" s="45"/>
    </row>
    <row r="69" spans="1:5" ht="15.75">
      <c r="A69" s="24"/>
      <c r="B69" s="518" t="str">
        <f>'Distribution Rate Schedule'!A18</f>
        <v>USL</v>
      </c>
      <c r="C69" s="519"/>
      <c r="D69" s="519"/>
      <c r="E69" s="520"/>
    </row>
    <row r="70" spans="1:5" ht="15">
      <c r="A70" s="24"/>
      <c r="B70" s="274"/>
      <c r="C70" s="44" t="s">
        <v>72</v>
      </c>
      <c r="D70" s="42" t="s">
        <v>88</v>
      </c>
      <c r="E70" s="275">
        <f>+'Distribution Rate Schedule'!B42</f>
        <v>25.6994</v>
      </c>
    </row>
    <row r="71" spans="1:5" ht="15">
      <c r="A71" s="24"/>
      <c r="B71" s="274"/>
      <c r="C71" s="44" t="s">
        <v>89</v>
      </c>
      <c r="D71" s="42" t="s">
        <v>57</v>
      </c>
      <c r="E71" s="276">
        <f>'Distribution Rate Schedule'!E18</f>
        <v>0.0221</v>
      </c>
    </row>
    <row r="72" spans="1:5" ht="15">
      <c r="A72" s="24"/>
      <c r="B72" s="274"/>
      <c r="C72" s="44" t="s">
        <v>165</v>
      </c>
      <c r="D72" s="42" t="s">
        <v>57</v>
      </c>
      <c r="E72" s="276">
        <f>+'LRAM and SSM Rate Rider'!L16</f>
        <v>0.0024</v>
      </c>
    </row>
    <row r="73" spans="1:5" ht="15">
      <c r="A73" s="24"/>
      <c r="B73" s="274"/>
      <c r="C73" s="44" t="s">
        <v>271</v>
      </c>
      <c r="D73" s="42" t="s">
        <v>57</v>
      </c>
      <c r="E73" s="276">
        <f>'Distribution Rate Schedule'!E30</f>
        <v>0</v>
      </c>
    </row>
    <row r="74" spans="1:6" ht="15">
      <c r="A74" s="25"/>
      <c r="B74" s="274"/>
      <c r="C74" s="44" t="s">
        <v>272</v>
      </c>
      <c r="D74" s="42" t="s">
        <v>57</v>
      </c>
      <c r="E74" s="276">
        <f>'Other Electricity Rates'!C51</f>
        <v>0.00487294769587643</v>
      </c>
      <c r="F74" s="26"/>
    </row>
    <row r="75" spans="1:6" ht="15">
      <c r="A75" s="25"/>
      <c r="B75" s="274"/>
      <c r="C75" s="44" t="s">
        <v>273</v>
      </c>
      <c r="D75" s="42" t="s">
        <v>57</v>
      </c>
      <c r="E75" s="276">
        <f>'Other Electricity Rates'!C41</f>
        <v>0.0043130244037973605</v>
      </c>
      <c r="F75" s="26"/>
    </row>
    <row r="76" spans="1:5" ht="15.75" thickBot="1">
      <c r="A76" s="24"/>
      <c r="B76" s="277"/>
      <c r="C76" s="278" t="s">
        <v>154</v>
      </c>
      <c r="D76" s="279" t="s">
        <v>57</v>
      </c>
      <c r="E76" s="280">
        <f>+'2010 Rate Rider'!B14</f>
        <v>0.00025989833656024674</v>
      </c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</sheetData>
  <mergeCells count="15">
    <mergeCell ref="B51:E51"/>
    <mergeCell ref="B60:E60"/>
    <mergeCell ref="B69:E69"/>
    <mergeCell ref="B11:E11"/>
    <mergeCell ref="B21:E21"/>
    <mergeCell ref="B31:E31"/>
    <mergeCell ref="B41:E41"/>
    <mergeCell ref="A5:E5"/>
    <mergeCell ref="A6:E6"/>
    <mergeCell ref="A7:E7"/>
    <mergeCell ref="A8:E8"/>
    <mergeCell ref="A1:E1"/>
    <mergeCell ref="A2:E2"/>
    <mergeCell ref="A3:E3"/>
    <mergeCell ref="A4:E4"/>
  </mergeCells>
  <printOptions/>
  <pageMargins left="0.75" right="0.75" top="0.47" bottom="0.55" header="0.2" footer="0.35"/>
  <pageSetup fitToHeight="1" fitToWidth="1" horizontalDpi="355" verticalDpi="355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A1">
      <selection activeCell="A1" sqref="A1:D1"/>
    </sheetView>
  </sheetViews>
  <sheetFormatPr defaultColWidth="9.140625" defaultRowHeight="12.75"/>
  <cols>
    <col min="1" max="1" width="1.57421875" style="0" customWidth="1"/>
    <col min="2" max="2" width="74.7109375" style="0" customWidth="1"/>
    <col min="3" max="3" width="14.8515625" style="0" customWidth="1"/>
    <col min="4" max="4" width="9.57421875" style="0" bestFit="1" customWidth="1"/>
    <col min="5" max="16384" width="9.7109375" style="0" customWidth="1"/>
  </cols>
  <sheetData>
    <row r="1" spans="1:4" ht="12.75">
      <c r="A1" s="443" t="str">
        <f>+'Revenue Input'!A1</f>
        <v>North Bay Hydro Distribution Ltd.</v>
      </c>
      <c r="B1" s="443"/>
      <c r="C1" s="443"/>
      <c r="D1" s="443"/>
    </row>
    <row r="2" spans="1:4" ht="12.75">
      <c r="A2" s="443" t="str">
        <f>+'Revenue Input'!A2</f>
        <v>License Number ED-2003-0024, File Number EB-2009-0270</v>
      </c>
      <c r="B2" s="443"/>
      <c r="C2" s="443"/>
      <c r="D2" s="443"/>
    </row>
    <row r="3" spans="1:4" ht="12.75">
      <c r="A3" s="443">
        <f>+'Revenue Input'!A3</f>
        <v>0</v>
      </c>
      <c r="B3" s="443"/>
      <c r="C3" s="443"/>
      <c r="D3" s="443"/>
    </row>
    <row r="4" spans="1:4" ht="12.75">
      <c r="A4" s="523"/>
      <c r="B4" s="523"/>
      <c r="C4" s="523"/>
      <c r="D4" s="523"/>
    </row>
    <row r="5" spans="1:4" ht="19.5" customHeight="1">
      <c r="A5" s="476" t="s">
        <v>128</v>
      </c>
      <c r="B5" s="476"/>
      <c r="C5" s="476"/>
      <c r="D5" s="476"/>
    </row>
    <row r="6" spans="1:4" ht="19.5" customHeight="1">
      <c r="A6" s="517" t="s">
        <v>90</v>
      </c>
      <c r="B6" s="517"/>
      <c r="C6" s="517"/>
      <c r="D6" s="517"/>
    </row>
    <row r="7" spans="1:4" ht="19.5" customHeight="1">
      <c r="A7" s="517" t="s">
        <v>269</v>
      </c>
      <c r="B7" s="517"/>
      <c r="C7" s="517"/>
      <c r="D7" s="517"/>
    </row>
    <row r="8" spans="1:4" ht="19.5" customHeight="1">
      <c r="A8" s="524"/>
      <c r="B8" s="524"/>
      <c r="C8" s="524"/>
      <c r="D8" s="524"/>
    </row>
    <row r="9" spans="1:4" ht="30.75" customHeight="1">
      <c r="A9" s="31"/>
      <c r="B9" s="281" t="s">
        <v>93</v>
      </c>
      <c r="C9" s="281" t="s">
        <v>94</v>
      </c>
      <c r="D9" s="281" t="s">
        <v>186</v>
      </c>
    </row>
    <row r="10" spans="1:4" ht="44.25" customHeight="1">
      <c r="A10" s="32"/>
      <c r="B10" s="283" t="s">
        <v>95</v>
      </c>
      <c r="C10" s="286" t="s">
        <v>125</v>
      </c>
      <c r="D10" s="287">
        <v>15</v>
      </c>
    </row>
    <row r="11" spans="1:4" ht="44.25" customHeight="1">
      <c r="A11" s="32"/>
      <c r="B11" s="283" t="s">
        <v>96</v>
      </c>
      <c r="C11" s="286" t="s">
        <v>125</v>
      </c>
      <c r="D11" s="287">
        <v>15</v>
      </c>
    </row>
    <row r="12" spans="1:4" ht="44.25" customHeight="1">
      <c r="A12" s="32"/>
      <c r="B12" s="283" t="s">
        <v>97</v>
      </c>
      <c r="C12" s="286" t="s">
        <v>125</v>
      </c>
      <c r="D12" s="287">
        <v>15</v>
      </c>
    </row>
    <row r="13" spans="1:4" ht="44.25" customHeight="1">
      <c r="A13" s="32"/>
      <c r="B13" s="283" t="s">
        <v>98</v>
      </c>
      <c r="C13" s="286" t="s">
        <v>125</v>
      </c>
      <c r="D13" s="287">
        <v>15</v>
      </c>
    </row>
    <row r="14" spans="1:4" ht="44.25" customHeight="1">
      <c r="A14" s="32"/>
      <c r="B14" s="283" t="s">
        <v>99</v>
      </c>
      <c r="C14" s="286" t="s">
        <v>125</v>
      </c>
      <c r="D14" s="287">
        <v>15</v>
      </c>
    </row>
    <row r="15" spans="1:4" ht="44.25" customHeight="1">
      <c r="A15" s="32"/>
      <c r="B15" s="283" t="s">
        <v>100</v>
      </c>
      <c r="C15" s="286" t="s">
        <v>125</v>
      </c>
      <c r="D15" s="287">
        <v>15</v>
      </c>
    </row>
    <row r="16" spans="1:4" ht="44.25" customHeight="1">
      <c r="A16" s="32"/>
      <c r="B16" s="283" t="s">
        <v>101</v>
      </c>
      <c r="C16" s="286" t="s">
        <v>125</v>
      </c>
      <c r="D16" s="287">
        <v>15</v>
      </c>
    </row>
    <row r="17" spans="1:4" ht="44.25" customHeight="1">
      <c r="A17" s="32"/>
      <c r="B17" s="283" t="s">
        <v>102</v>
      </c>
      <c r="C17" s="286" t="s">
        <v>125</v>
      </c>
      <c r="D17" s="287">
        <v>15</v>
      </c>
    </row>
    <row r="18" spans="1:4" ht="44.25" customHeight="1">
      <c r="A18" s="32"/>
      <c r="B18" s="283" t="s">
        <v>103</v>
      </c>
      <c r="C18" s="286" t="s">
        <v>125</v>
      </c>
      <c r="D18" s="287">
        <v>15</v>
      </c>
    </row>
    <row r="19" spans="1:4" ht="44.25" customHeight="1">
      <c r="A19" s="32"/>
      <c r="B19" s="283" t="s">
        <v>104</v>
      </c>
      <c r="C19" s="286" t="s">
        <v>125</v>
      </c>
      <c r="D19" s="287">
        <v>15</v>
      </c>
    </row>
    <row r="20" spans="1:4" ht="44.25" customHeight="1">
      <c r="A20" s="32"/>
      <c r="B20" s="283" t="s">
        <v>105</v>
      </c>
      <c r="C20" s="286" t="s">
        <v>125</v>
      </c>
      <c r="D20" s="414">
        <v>15</v>
      </c>
    </row>
    <row r="21" spans="1:4" ht="44.25" customHeight="1">
      <c r="A21" s="32"/>
      <c r="B21" s="283" t="s">
        <v>106</v>
      </c>
      <c r="C21" s="286" t="s">
        <v>125</v>
      </c>
      <c r="D21" s="287">
        <v>15</v>
      </c>
    </row>
    <row r="22" spans="1:4" ht="44.25" customHeight="1">
      <c r="A22" s="32"/>
      <c r="B22" s="283" t="s">
        <v>107</v>
      </c>
      <c r="C22" s="286" t="s">
        <v>125</v>
      </c>
      <c r="D22" s="414">
        <v>15</v>
      </c>
    </row>
    <row r="23" spans="1:4" ht="44.25" customHeight="1">
      <c r="A23" s="32"/>
      <c r="B23" s="283" t="s">
        <v>108</v>
      </c>
      <c r="C23" s="286" t="s">
        <v>125</v>
      </c>
      <c r="D23" s="414">
        <v>30</v>
      </c>
    </row>
    <row r="24" spans="1:4" ht="44.25" customHeight="1">
      <c r="A24" s="32"/>
      <c r="B24" s="283" t="s">
        <v>109</v>
      </c>
      <c r="C24" s="286" t="s">
        <v>125</v>
      </c>
      <c r="D24" s="414">
        <v>30</v>
      </c>
    </row>
    <row r="25" spans="1:4" ht="44.25" customHeight="1">
      <c r="A25" s="32"/>
      <c r="B25" s="283" t="s">
        <v>110</v>
      </c>
      <c r="C25" s="286" t="s">
        <v>125</v>
      </c>
      <c r="D25" s="414">
        <v>30</v>
      </c>
    </row>
    <row r="26" spans="1:4" ht="44.25" customHeight="1">
      <c r="A26" s="32"/>
      <c r="B26" s="283" t="s">
        <v>111</v>
      </c>
      <c r="C26" s="286" t="s">
        <v>125</v>
      </c>
      <c r="D26" s="414">
        <v>165</v>
      </c>
    </row>
    <row r="27" spans="1:4" ht="44.25" customHeight="1">
      <c r="A27" s="32"/>
      <c r="B27" s="283" t="s">
        <v>112</v>
      </c>
      <c r="C27" s="286" t="s">
        <v>125</v>
      </c>
      <c r="D27" s="414">
        <v>65</v>
      </c>
    </row>
    <row r="28" spans="1:4" ht="44.25" customHeight="1">
      <c r="A28" s="32"/>
      <c r="B28" s="283" t="s">
        <v>113</v>
      </c>
      <c r="C28" s="286" t="s">
        <v>125</v>
      </c>
      <c r="D28" s="287">
        <v>65</v>
      </c>
    </row>
    <row r="29" spans="1:4" ht="44.25" customHeight="1">
      <c r="A29" s="32"/>
      <c r="B29" s="283" t="s">
        <v>114</v>
      </c>
      <c r="C29" s="286" t="s">
        <v>125</v>
      </c>
      <c r="D29" s="287">
        <v>185</v>
      </c>
    </row>
    <row r="30" spans="1:4" ht="44.25" customHeight="1">
      <c r="A30" s="32"/>
      <c r="B30" s="283" t="s">
        <v>115</v>
      </c>
      <c r="C30" s="286" t="s">
        <v>125</v>
      </c>
      <c r="D30" s="287">
        <v>185</v>
      </c>
    </row>
    <row r="31" spans="1:4" ht="44.25" customHeight="1">
      <c r="A31" s="32"/>
      <c r="B31" s="283" t="s">
        <v>116</v>
      </c>
      <c r="C31" s="286" t="s">
        <v>125</v>
      </c>
      <c r="D31" s="287">
        <v>185</v>
      </c>
    </row>
    <row r="32" spans="1:4" ht="44.25" customHeight="1">
      <c r="A32" s="32"/>
      <c r="B32" s="283" t="s">
        <v>117</v>
      </c>
      <c r="C32" s="286" t="s">
        <v>125</v>
      </c>
      <c r="D32" s="287">
        <v>415</v>
      </c>
    </row>
    <row r="33" spans="1:4" ht="44.25" customHeight="1">
      <c r="A33" s="32"/>
      <c r="B33" s="283" t="s">
        <v>118</v>
      </c>
      <c r="C33" s="286" t="s">
        <v>125</v>
      </c>
      <c r="D33" s="287">
        <v>30</v>
      </c>
    </row>
    <row r="34" spans="1:4" ht="44.25" customHeight="1">
      <c r="A34" s="32"/>
      <c r="B34" s="283" t="s">
        <v>119</v>
      </c>
      <c r="C34" s="286" t="s">
        <v>125</v>
      </c>
      <c r="D34" s="414">
        <v>30</v>
      </c>
    </row>
    <row r="35" spans="1:4" ht="44.25" customHeight="1">
      <c r="A35" s="32"/>
      <c r="B35" s="283" t="s">
        <v>120</v>
      </c>
      <c r="C35" s="286" t="s">
        <v>125</v>
      </c>
      <c r="D35" s="287">
        <v>165</v>
      </c>
    </row>
    <row r="36" spans="1:4" ht="44.25" customHeight="1">
      <c r="A36" s="32"/>
      <c r="B36" s="283" t="s">
        <v>121</v>
      </c>
      <c r="C36" s="286" t="s">
        <v>125</v>
      </c>
      <c r="D36" s="287">
        <v>500</v>
      </c>
    </row>
    <row r="37" spans="1:4" ht="44.25" customHeight="1">
      <c r="A37" s="32"/>
      <c r="B37" s="283" t="s">
        <v>122</v>
      </c>
      <c r="C37" s="286" t="s">
        <v>125</v>
      </c>
      <c r="D37" s="287">
        <v>300</v>
      </c>
    </row>
    <row r="38" spans="1:4" ht="44.25" customHeight="1">
      <c r="A38" s="32"/>
      <c r="B38" s="283" t="s">
        <v>123</v>
      </c>
      <c r="C38" s="286" t="s">
        <v>125</v>
      </c>
      <c r="D38" s="287">
        <v>1000</v>
      </c>
    </row>
    <row r="39" spans="1:4" ht="44.25" customHeight="1">
      <c r="A39" s="32"/>
      <c r="B39" s="283" t="s">
        <v>124</v>
      </c>
      <c r="C39" s="286" t="s">
        <v>125</v>
      </c>
      <c r="D39" s="414">
        <v>22.35</v>
      </c>
    </row>
    <row r="40" spans="1:4" ht="28.5" customHeight="1">
      <c r="A40" s="38"/>
      <c r="B40" s="284" t="s">
        <v>126</v>
      </c>
      <c r="C40" s="285" t="s">
        <v>175</v>
      </c>
      <c r="D40" s="282">
        <v>150</v>
      </c>
    </row>
    <row r="41" spans="1:4" s="8" customFormat="1" ht="12" customHeight="1" thickBot="1">
      <c r="A41" s="38"/>
      <c r="B41" s="288"/>
      <c r="C41" s="289"/>
      <c r="D41" s="290"/>
    </row>
    <row r="42" spans="1:17" s="8" customFormat="1" ht="16.5" thickBot="1">
      <c r="A42"/>
      <c r="B42" s="521" t="s">
        <v>127</v>
      </c>
      <c r="C42" s="522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</row>
    <row r="43" spans="2:3" ht="15.75">
      <c r="B43" s="420" t="s">
        <v>58</v>
      </c>
      <c r="C43" s="421">
        <v>1.0068702646615655</v>
      </c>
    </row>
    <row r="44" spans="2:3" ht="15.75">
      <c r="B44" s="415" t="s">
        <v>59</v>
      </c>
      <c r="C44" s="416">
        <v>1.04086686971161</v>
      </c>
    </row>
    <row r="45" spans="2:3" ht="15.75">
      <c r="B45" s="415" t="s">
        <v>60</v>
      </c>
      <c r="C45" s="416">
        <v>1.01</v>
      </c>
    </row>
    <row r="46" spans="2:3" ht="15.75">
      <c r="B46" s="415" t="s">
        <v>61</v>
      </c>
      <c r="C46" s="417">
        <f>+C44*0.99</f>
        <v>1.0304582010144938</v>
      </c>
    </row>
    <row r="47" spans="2:3" ht="15.75">
      <c r="B47" s="415" t="s">
        <v>62</v>
      </c>
      <c r="C47" s="417">
        <v>1</v>
      </c>
    </row>
    <row r="48" spans="2:3" ht="15.75">
      <c r="B48" s="415" t="s">
        <v>63</v>
      </c>
      <c r="C48" s="417">
        <f>+C44*C43</f>
        <v>1.0480179005839838</v>
      </c>
    </row>
    <row r="49" spans="2:3" ht="15.75">
      <c r="B49" s="415" t="s">
        <v>64</v>
      </c>
      <c r="C49" s="417">
        <f>+C45*C43</f>
        <v>1.0169389673081812</v>
      </c>
    </row>
    <row r="50" spans="2:3" ht="15.75">
      <c r="B50" s="415" t="s">
        <v>65</v>
      </c>
      <c r="C50" s="417">
        <f>+C48*0.99</f>
        <v>1.037537721578144</v>
      </c>
    </row>
    <row r="51" spans="2:3" ht="16.5" thickBot="1">
      <c r="B51" s="418" t="s">
        <v>66</v>
      </c>
      <c r="C51" s="419">
        <f>+C43</f>
        <v>1.0068702646615655</v>
      </c>
    </row>
  </sheetData>
  <mergeCells count="9">
    <mergeCell ref="B42:C42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75" right="0.75" top="1" bottom="1" header="0.5" footer="0.5"/>
  <pageSetup fitToHeight="2" fitToWidth="1" horizontalDpi="355" verticalDpi="355" orientation="portrait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:F1"/>
    </sheetView>
  </sheetViews>
  <sheetFormatPr defaultColWidth="9.140625" defaultRowHeight="12.75"/>
  <cols>
    <col min="1" max="1" width="31.28125" style="0" bestFit="1" customWidth="1"/>
    <col min="2" max="2" width="15.140625" style="0" customWidth="1"/>
    <col min="3" max="3" width="13.7109375" style="0" customWidth="1"/>
    <col min="4" max="4" width="14.00390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443" t="str">
        <f>+'Revenue Input'!A1</f>
        <v>North Bay Hydro Distribution Ltd.</v>
      </c>
      <c r="B1" s="443"/>
      <c r="C1" s="443"/>
      <c r="D1" s="443"/>
      <c r="E1" s="443"/>
      <c r="F1" s="443"/>
    </row>
    <row r="2" spans="1:6" ht="12.75">
      <c r="A2" s="443" t="str">
        <f>+'Revenue Input'!A2</f>
        <v>License Number ED-2003-0024, File Number EB-2009-0270</v>
      </c>
      <c r="B2" s="443"/>
      <c r="C2" s="443"/>
      <c r="D2" s="443"/>
      <c r="E2" s="443"/>
      <c r="F2" s="443"/>
    </row>
    <row r="3" spans="1:6" ht="12.75">
      <c r="A3" s="443">
        <f>+'Revenue Input'!A3</f>
        <v>0</v>
      </c>
      <c r="B3" s="443"/>
      <c r="C3" s="443"/>
      <c r="D3" s="443"/>
      <c r="E3" s="443"/>
      <c r="F3" s="443"/>
    </row>
    <row r="4" spans="1:6" ht="12.75">
      <c r="A4" s="450"/>
      <c r="B4" s="450"/>
      <c r="C4" s="450"/>
      <c r="D4" s="450"/>
      <c r="E4" s="450"/>
      <c r="F4" s="450"/>
    </row>
    <row r="5" spans="1:6" ht="20.25">
      <c r="A5" s="478" t="s">
        <v>226</v>
      </c>
      <c r="B5" s="478"/>
      <c r="C5" s="478"/>
      <c r="D5" s="478"/>
      <c r="E5" s="478"/>
      <c r="F5" s="478"/>
    </row>
    <row r="6" spans="1:6" ht="12.75">
      <c r="A6" s="525"/>
      <c r="B6" s="525"/>
      <c r="C6" s="525"/>
      <c r="D6" s="525"/>
      <c r="E6" s="525"/>
      <c r="F6" s="525"/>
    </row>
    <row r="7" spans="1:12" ht="38.25">
      <c r="A7" s="88" t="s">
        <v>0</v>
      </c>
      <c r="B7" s="93" t="s">
        <v>12</v>
      </c>
      <c r="C7" s="93" t="s">
        <v>13</v>
      </c>
      <c r="D7" s="93" t="s">
        <v>32</v>
      </c>
      <c r="E7" s="93" t="s">
        <v>30</v>
      </c>
      <c r="F7" s="88" t="s">
        <v>34</v>
      </c>
      <c r="G7" s="11"/>
      <c r="H7" s="11"/>
      <c r="I7" s="11"/>
      <c r="J7" s="11"/>
      <c r="K7" s="11"/>
      <c r="L7" s="11"/>
    </row>
    <row r="8" spans="1:12" ht="19.5" customHeight="1">
      <c r="A8" s="330" t="str">
        <f>'Other Electricity Rates'!A9</f>
        <v>Residential</v>
      </c>
      <c r="B8" s="112">
        <f>+'Distribution Rate Schedule'!C35*'Forecast Data For 2010'!G7*12</f>
        <v>3753170.895920331</v>
      </c>
      <c r="C8" s="112">
        <f>+'Distribution Rate Schedule'!E35*'Forecast Data For 2010'!G8</f>
        <v>2848741.666422217</v>
      </c>
      <c r="D8" s="357"/>
      <c r="E8" s="112">
        <f>+B8+C8+D8</f>
        <v>6601912.562342549</v>
      </c>
      <c r="F8" s="112">
        <f>+'Rates By Rate Class'!K8-'Rates By Rate Class'!H8</f>
        <v>6602490.683699341</v>
      </c>
      <c r="G8" s="12"/>
      <c r="H8" s="12"/>
      <c r="I8" s="13"/>
      <c r="J8" s="14"/>
      <c r="K8" s="14"/>
      <c r="L8" s="14"/>
    </row>
    <row r="9" spans="1:12" ht="19.5" customHeight="1">
      <c r="A9" s="330" t="str">
        <f>'Other Electricity Rates'!A10</f>
        <v>GS &lt; 50 kW</v>
      </c>
      <c r="B9" s="112">
        <f>+'Distribution Rate Schedule'!C36*'Forecast Data For 2010'!G9*12</f>
        <v>815906.758653099</v>
      </c>
      <c r="C9" s="112">
        <f>+'Distribution Rate Schedule'!E36*'Forecast Data For 2010'!G10</f>
        <v>1397999.6327043322</v>
      </c>
      <c r="D9" s="357"/>
      <c r="E9" s="112">
        <f aca="true" t="shared" si="0" ref="E9:E15">+B9+C9+D9</f>
        <v>2213906.391357431</v>
      </c>
      <c r="F9" s="112">
        <f>+'Rates By Rate Class'!K9-'Rates By Rate Class'!H9</f>
        <v>2213627.53871547</v>
      </c>
      <c r="G9" s="12"/>
      <c r="H9" s="12"/>
      <c r="I9" s="13"/>
      <c r="J9" s="14"/>
      <c r="K9" s="14"/>
      <c r="L9" s="14"/>
    </row>
    <row r="10" spans="1:12" ht="19.5" customHeight="1">
      <c r="A10" s="330" t="str">
        <f>'Other Electricity Rates'!A11</f>
        <v>GS &gt;50</v>
      </c>
      <c r="B10" s="112">
        <f>+'Distribution Rate Schedule'!C37*'Forecast Data For 2010'!G11*12</f>
        <v>1135157.9389891229</v>
      </c>
      <c r="C10" s="112">
        <f>+'Distribution Rate Schedule'!D37*'Forecast Data For 2010'!G12</f>
        <v>1474386.822555877</v>
      </c>
      <c r="D10" s="357">
        <f>'Transformer Allowance'!C12</f>
        <v>-58776.98522839338</v>
      </c>
      <c r="E10" s="112">
        <f>+B10+C10+D10</f>
        <v>2550767.7763166064</v>
      </c>
      <c r="F10" s="112">
        <f>+'Rates By Rate Class'!K10-'Rates By Rate Class'!H10</f>
        <v>2550787.5509344754</v>
      </c>
      <c r="G10" s="12"/>
      <c r="H10" s="12"/>
      <c r="I10" s="12"/>
      <c r="J10" s="14"/>
      <c r="K10" s="14"/>
      <c r="L10" s="14"/>
    </row>
    <row r="11" spans="1:12" ht="19.5" customHeight="1">
      <c r="A11" s="330" t="str">
        <f>'Other Electricity Rates'!A12</f>
        <v>General Service &gt; 3000 to 4999 kW</v>
      </c>
      <c r="B11" s="112">
        <f>+'Distribution Rate Schedule'!C38*'Forecast Data For 2010'!G14*12</f>
        <v>105073.87917695472</v>
      </c>
      <c r="C11" s="112">
        <f>+'Distribution Rate Schedule'!D38*'Forecast Data For 2010'!G15</f>
        <v>67431.6747159788</v>
      </c>
      <c r="D11" s="357">
        <f>'Transformer Allowance'!C13</f>
        <v>-46223.01477160663</v>
      </c>
      <c r="E11" s="112">
        <f>+B11+C11+D11</f>
        <v>126282.5391213269</v>
      </c>
      <c r="F11" s="112">
        <f>+'Rates By Rate Class'!K11-'Rates By Rate Class'!H11</f>
        <v>126285.2765328213</v>
      </c>
      <c r="G11" s="12"/>
      <c r="H11" s="12"/>
      <c r="I11" s="12"/>
      <c r="J11" s="14"/>
      <c r="K11" s="14"/>
      <c r="L11" s="14"/>
    </row>
    <row r="12" spans="1:12" ht="19.5" customHeight="1">
      <c r="A12" s="330"/>
      <c r="B12" s="112"/>
      <c r="C12" s="112"/>
      <c r="D12" s="357"/>
      <c r="E12" s="112"/>
      <c r="F12" s="112"/>
      <c r="G12" s="12"/>
      <c r="H12" s="12"/>
      <c r="I12" s="12"/>
      <c r="J12" s="14"/>
      <c r="K12" s="14"/>
      <c r="L12" s="14"/>
    </row>
    <row r="13" spans="1:12" ht="19.5" customHeight="1">
      <c r="A13" s="330" t="str">
        <f>'Other Electricity Rates'!A14</f>
        <v>Sentinel Lights</v>
      </c>
      <c r="B13" s="112">
        <f>+'Distribution Rate Schedule'!B40*'Forecast Data For 2010'!G20*12</f>
        <v>20692.707231065673</v>
      </c>
      <c r="C13" s="112">
        <f>+'Distribution Rate Schedule'!D40*'Forecast Data For 2010'!G21</f>
        <v>16599.36069638313</v>
      </c>
      <c r="D13" s="357"/>
      <c r="E13" s="112">
        <f t="shared" si="0"/>
        <v>37292.06792744881</v>
      </c>
      <c r="F13" s="112">
        <f>+'Rates By Rate Class'!K13-'Rates By Rate Class'!H13</f>
        <v>37292.26687380038</v>
      </c>
      <c r="G13" s="12"/>
      <c r="H13" s="12"/>
      <c r="I13" s="13"/>
      <c r="J13" s="14"/>
      <c r="K13" s="14"/>
      <c r="L13" s="14"/>
    </row>
    <row r="14" spans="1:12" ht="19.5" customHeight="1">
      <c r="A14" s="330" t="str">
        <f>'Other Electricity Rates'!A15</f>
        <v>Street Lighting</v>
      </c>
      <c r="B14" s="112">
        <f>+'Distribution Rate Schedule'!B41*'Forecast Data For 2010'!G23*12</f>
        <v>183587.57397142178</v>
      </c>
      <c r="C14" s="112">
        <f>+'Distribution Rate Schedule'!D41*'Forecast Data For 2010'!G24</f>
        <v>111180.4136997894</v>
      </c>
      <c r="D14" s="357"/>
      <c r="E14" s="112">
        <f t="shared" si="0"/>
        <v>294767.9876712112</v>
      </c>
      <c r="F14" s="112">
        <f>+'Rates By Rate Class'!K14-'Rates By Rate Class'!H14</f>
        <v>294769.484560285</v>
      </c>
      <c r="G14" s="12"/>
      <c r="H14" s="12"/>
      <c r="I14" s="13"/>
      <c r="J14" s="14"/>
      <c r="K14" s="14"/>
      <c r="L14" s="14"/>
    </row>
    <row r="15" spans="1:12" ht="19.5" customHeight="1">
      <c r="A15" s="330" t="str">
        <f>'Other Electricity Rates'!A16</f>
        <v>USL</v>
      </c>
      <c r="B15" s="112">
        <f>+'Distribution Rate Schedule'!B42*'Forecast Data For 2010'!G26*12</f>
        <v>6476.2488</v>
      </c>
      <c r="C15" s="112">
        <f>+'Distribution Rate Schedule'!E42*'Forecast Data For 2010'!G27</f>
        <v>7465.2056482193275</v>
      </c>
      <c r="D15" s="357"/>
      <c r="E15" s="112">
        <f t="shared" si="0"/>
        <v>13941.454448219327</v>
      </c>
      <c r="F15" s="112">
        <f>+'Rates By Rate Class'!K15-'Rates By Rate Class'!H15</f>
        <v>13949.7631300729</v>
      </c>
      <c r="G15" s="12"/>
      <c r="H15" s="12"/>
      <c r="I15" s="13"/>
      <c r="J15" s="14"/>
      <c r="K15" s="14"/>
      <c r="L15" s="14"/>
    </row>
    <row r="16" spans="1:12" ht="19.5" customHeight="1">
      <c r="A16" s="330" t="str">
        <f>'Other Electricity Rates'!A17</f>
        <v>Back-up/Standby Power</v>
      </c>
      <c r="B16" s="112"/>
      <c r="C16" s="112"/>
      <c r="D16" s="357"/>
      <c r="E16" s="112"/>
      <c r="F16" s="112"/>
      <c r="G16" s="12"/>
      <c r="H16" s="12"/>
      <c r="I16" s="13"/>
      <c r="J16" s="14"/>
      <c r="K16" s="14"/>
      <c r="L16" s="14"/>
    </row>
    <row r="17" spans="1:12" ht="31.5" customHeight="1" thickBot="1">
      <c r="A17" s="58" t="s">
        <v>33</v>
      </c>
      <c r="B17" s="294">
        <f>SUM(B8:B16)</f>
        <v>6020066.002741994</v>
      </c>
      <c r="C17" s="294">
        <f>SUM(C8:C16)</f>
        <v>5923804.776442797</v>
      </c>
      <c r="D17" s="358">
        <f>SUM(D8:D16)</f>
        <v>-105000</v>
      </c>
      <c r="E17" s="294">
        <f>SUM(E8:E16)</f>
        <v>11838870.77918479</v>
      </c>
      <c r="F17" s="294">
        <f>SUM(F8:F16)</f>
        <v>11839202.564446265</v>
      </c>
      <c r="G17" s="15"/>
      <c r="H17" s="15"/>
      <c r="I17" s="15"/>
      <c r="J17" s="15"/>
      <c r="K17" s="15"/>
      <c r="L17" s="15"/>
    </row>
    <row r="18" spans="6:12" ht="13.5" thickTop="1">
      <c r="F18" s="9"/>
      <c r="G18" s="16"/>
      <c r="H18" s="16"/>
      <c r="I18" s="16"/>
      <c r="J18" s="16"/>
      <c r="K18" s="16"/>
      <c r="L18" s="16"/>
    </row>
    <row r="19" spans="5:7" ht="12.75">
      <c r="E19" s="526" t="s">
        <v>172</v>
      </c>
      <c r="F19" s="526"/>
      <c r="G19" s="8"/>
    </row>
    <row r="20" spans="3:6" ht="12.75">
      <c r="C20" s="9"/>
      <c r="E20" s="291"/>
      <c r="F20" s="292"/>
    </row>
    <row r="21" spans="3:6" ht="13.5" thickBot="1">
      <c r="C21" s="384"/>
      <c r="E21" s="293">
        <f>+F17-E17</f>
        <v>331.78526147454977</v>
      </c>
      <c r="F21" s="292"/>
    </row>
    <row r="22" ht="12.75">
      <c r="C22" s="385"/>
    </row>
    <row r="23" ht="12.75">
      <c r="C23" s="385"/>
    </row>
    <row r="24" ht="12.75">
      <c r="E24" s="9"/>
    </row>
    <row r="26" ht="12.75">
      <c r="E26" s="9"/>
    </row>
  </sheetData>
  <mergeCells count="7">
    <mergeCell ref="A6:F6"/>
    <mergeCell ref="E19:F19"/>
    <mergeCell ref="A5:F5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1" sqref="A1:I1"/>
    </sheetView>
  </sheetViews>
  <sheetFormatPr defaultColWidth="9.140625" defaultRowHeight="12.75"/>
  <cols>
    <col min="1" max="1" width="41.8515625" style="0" bestFit="1" customWidth="1"/>
    <col min="2" max="2" width="16.00390625" style="0" bestFit="1" customWidth="1"/>
    <col min="3" max="4" width="12.7109375" style="0" customWidth="1"/>
    <col min="5" max="5" width="13.140625" style="0" customWidth="1"/>
    <col min="6" max="6" width="12.28125" style="0" customWidth="1"/>
    <col min="7" max="8" width="14.421875" style="0" bestFit="1" customWidth="1"/>
    <col min="9" max="9" width="20.421875" style="0" bestFit="1" customWidth="1"/>
  </cols>
  <sheetData>
    <row r="1" spans="1:9" ht="12.75">
      <c r="A1" s="443" t="str">
        <f>+'Revenue Input'!A1</f>
        <v>North Bay Hydro Distribution Ltd.</v>
      </c>
      <c r="B1" s="443"/>
      <c r="C1" s="443"/>
      <c r="D1" s="443"/>
      <c r="E1" s="443"/>
      <c r="F1" s="443"/>
      <c r="G1" s="443"/>
      <c r="H1" s="443"/>
      <c r="I1" s="443"/>
    </row>
    <row r="2" spans="1:9" ht="12.75">
      <c r="A2" s="443" t="str">
        <f>+'Revenue Input'!A2</f>
        <v>License Number ED-2003-0024, File Number EB-2009-0270</v>
      </c>
      <c r="B2" s="443"/>
      <c r="C2" s="443"/>
      <c r="D2" s="443"/>
      <c r="E2" s="443"/>
      <c r="F2" s="443"/>
      <c r="G2" s="443"/>
      <c r="H2" s="443"/>
      <c r="I2" s="443"/>
    </row>
    <row r="3" spans="1:9" ht="12.75">
      <c r="A3" s="443">
        <f>+'Revenue Input'!A3</f>
        <v>0</v>
      </c>
      <c r="B3" s="443"/>
      <c r="C3" s="443"/>
      <c r="D3" s="443"/>
      <c r="E3" s="443"/>
      <c r="F3" s="443"/>
      <c r="G3" s="443"/>
      <c r="H3" s="443"/>
      <c r="I3" s="443"/>
    </row>
    <row r="4" spans="1:9" ht="7.5" customHeight="1">
      <c r="A4" s="450"/>
      <c r="B4" s="450"/>
      <c r="C4" s="450"/>
      <c r="D4" s="450"/>
      <c r="E4" s="450"/>
      <c r="F4" s="450"/>
      <c r="G4" s="450"/>
      <c r="H4" s="450"/>
      <c r="I4" s="450"/>
    </row>
    <row r="5" spans="1:9" ht="15.75">
      <c r="A5" s="445" t="s">
        <v>192</v>
      </c>
      <c r="B5" s="445"/>
      <c r="C5" s="445"/>
      <c r="D5" s="445"/>
      <c r="E5" s="445"/>
      <c r="F5" s="445"/>
      <c r="G5" s="445"/>
      <c r="H5" s="445"/>
      <c r="I5" s="445"/>
    </row>
    <row r="6" spans="1:9" ht="8.25" customHeight="1">
      <c r="A6" s="445"/>
      <c r="B6" s="445"/>
      <c r="C6" s="445"/>
      <c r="D6" s="445"/>
      <c r="E6" s="445"/>
      <c r="F6" s="445"/>
      <c r="G6" s="445"/>
      <c r="H6" s="445"/>
      <c r="I6" s="445"/>
    </row>
    <row r="7" spans="1:9" ht="38.25">
      <c r="A7" s="88" t="s">
        <v>0</v>
      </c>
      <c r="B7" s="93" t="s">
        <v>8</v>
      </c>
      <c r="C7" s="93" t="s">
        <v>9</v>
      </c>
      <c r="D7" s="93" t="s">
        <v>10</v>
      </c>
      <c r="E7" s="93" t="s">
        <v>11</v>
      </c>
      <c r="F7" s="93" t="s">
        <v>28</v>
      </c>
      <c r="G7" s="93" t="s">
        <v>12</v>
      </c>
      <c r="H7" s="93" t="s">
        <v>13</v>
      </c>
      <c r="I7" s="93" t="s">
        <v>130</v>
      </c>
    </row>
    <row r="8" spans="1:9" ht="19.5" customHeight="1">
      <c r="A8" s="331" t="str">
        <f>'Dist. Rev. Reconciliation'!A8</f>
        <v>Residential</v>
      </c>
      <c r="B8" s="295">
        <f>+'Forecast Data For 2010'!$G$8</f>
        <v>214191102.73851258</v>
      </c>
      <c r="C8" s="295"/>
      <c r="D8" s="295"/>
      <c r="E8" s="295">
        <f>+'Forecast Data For 2010'!$G$7*12</f>
        <v>252909.09002158567</v>
      </c>
      <c r="F8" s="295"/>
      <c r="G8" s="336">
        <f>+E8*'2009 Existing Rates'!$C$8</f>
        <v>3168950.8979704683</v>
      </c>
      <c r="H8" s="336">
        <f>+B8*('2009 Existing Rates'!$E$8-'2009 Existing Rates'!B35)</f>
        <v>2398940.3506713407</v>
      </c>
      <c r="I8" s="336">
        <f>+G8+H8</f>
        <v>5567891.248641809</v>
      </c>
    </row>
    <row r="9" spans="1:9" ht="19.5" customHeight="1">
      <c r="A9" s="331" t="str">
        <f>'Dist. Rev. Reconciliation'!A9</f>
        <v>GS &lt; 50 kW</v>
      </c>
      <c r="B9" s="295">
        <f>+'Forecast Data For 2010'!$G$10</f>
        <v>84727250.46692923</v>
      </c>
      <c r="C9" s="295"/>
      <c r="D9" s="295"/>
      <c r="E9" s="295">
        <f>+'Forecast Data For 2010'!$G$9*12</f>
        <v>31747.344694673113</v>
      </c>
      <c r="F9" s="295"/>
      <c r="G9" s="336">
        <f>+E9*'2009 Existing Rates'!$C$9</f>
        <v>688917.3798744065</v>
      </c>
      <c r="H9" s="336">
        <f>+B9*('2009 Existing Rates'!$E$9-'2009 Existing Rates'!B36)</f>
        <v>1177708.7814903161</v>
      </c>
      <c r="I9" s="336">
        <f aca="true" t="shared" si="0" ref="I9:I16">+G9+H9</f>
        <v>1866626.1613647225</v>
      </c>
    </row>
    <row r="10" spans="1:9" ht="19.5" customHeight="1">
      <c r="A10" s="331" t="str">
        <f>'Dist. Rev. Reconciliation'!A10</f>
        <v>GS &gt;50</v>
      </c>
      <c r="B10" s="295">
        <f>+'Forecast Data For 2010'!$G$13</f>
        <v>220909972.8728767</v>
      </c>
      <c r="C10" s="295">
        <f>+'Forecast Data For 2010'!$G$12</f>
        <v>636801.6337217108</v>
      </c>
      <c r="D10" s="295">
        <f>'Transformer Allowance'!B12</f>
        <v>97961.6420473223</v>
      </c>
      <c r="E10" s="295">
        <f>+'Forecast Data For 2010'!$G$11*12</f>
        <v>3442.167320605018</v>
      </c>
      <c r="F10" s="295"/>
      <c r="G10" s="336">
        <f>+E10*'2009 Existing Rates'!$C$10</f>
        <v>1071890.9036364027</v>
      </c>
      <c r="H10" s="336">
        <f>+C10*('2009 Existing Rates'!$D$10-'2009 Existing Rates'!D37)</f>
        <v>1387144.9987360027</v>
      </c>
      <c r="I10" s="336">
        <f t="shared" si="0"/>
        <v>2459035.9023724054</v>
      </c>
    </row>
    <row r="11" spans="1:9" ht="19.5" customHeight="1">
      <c r="A11" s="331" t="str">
        <f>'Dist. Rev. Reconciliation'!A11</f>
        <v>General Service &gt; 3000 to 4999 kW</v>
      </c>
      <c r="B11" s="295">
        <f>'Forecast Data For 2010'!G16</f>
        <v>40318944.44489014</v>
      </c>
      <c r="C11" s="295">
        <f>+'Forecast Data For 2010'!$G$15</f>
        <v>77038.35795267772</v>
      </c>
      <c r="D11" s="295">
        <f>'Transformer Allowance'!B13</f>
        <v>77038.35795267772</v>
      </c>
      <c r="E11" s="295">
        <f>+'Forecast Data For 2010'!$G$14*12</f>
        <v>22.255144032921805</v>
      </c>
      <c r="F11" s="295"/>
      <c r="G11" s="336">
        <f>+E11*'2009 Existing Rates'!$C$11</f>
        <v>53396.544526748956</v>
      </c>
      <c r="H11" s="336">
        <f>+C11*('2009 Existing Rates'!$D$11-'2009 Existing Rates'!D38)</f>
        <v>56399.78185715536</v>
      </c>
      <c r="I11" s="336">
        <f t="shared" si="0"/>
        <v>109796.32638390432</v>
      </c>
    </row>
    <row r="12" spans="1:9" ht="19.5" customHeight="1">
      <c r="A12" s="331">
        <f>'Dist. Rev. Reconciliation'!A12</f>
        <v>0</v>
      </c>
      <c r="B12" s="295">
        <f>+'Forecast Data For 2010'!$G$19</f>
        <v>0</v>
      </c>
      <c r="C12" s="295">
        <f>+'Forecast Data For 2010'!$G$18</f>
        <v>0</v>
      </c>
      <c r="D12" s="295">
        <f>'Transformer Allowance'!B14</f>
        <v>0</v>
      </c>
      <c r="E12" s="295">
        <f>+'Forecast Data For 2010'!$G$17*12</f>
        <v>0</v>
      </c>
      <c r="F12" s="295"/>
      <c r="G12" s="336">
        <f>+E12*'2009 Existing Rates'!$C$12</f>
        <v>0</v>
      </c>
      <c r="H12" s="336">
        <f>+C12*('2009 Existing Rates'!$D$12-'2009 Existing Rates'!D39)</f>
        <v>0</v>
      </c>
      <c r="I12" s="336">
        <f t="shared" si="0"/>
        <v>0</v>
      </c>
    </row>
    <row r="13" spans="1:9" ht="19.5" customHeight="1">
      <c r="A13" s="331" t="str">
        <f>'Dist. Rev. Reconciliation'!A13</f>
        <v>Sentinel Lights</v>
      </c>
      <c r="B13" s="295">
        <f>+'Forecast Data For 2010'!$G$22</f>
        <v>516492.54654111207</v>
      </c>
      <c r="C13" s="295">
        <f>+'Forecast Data For 2010'!$G$21</f>
        <v>1410.8624183098857</v>
      </c>
      <c r="D13" s="295"/>
      <c r="E13" s="295"/>
      <c r="F13" s="295">
        <f>+'Forecast Data For 2010'!$G$20*12</f>
        <v>6136.445310360212</v>
      </c>
      <c r="G13" s="336">
        <f>+F13*'2009 Existing Rates'!$B$13</f>
        <v>12150.161714513219</v>
      </c>
      <c r="H13" s="336">
        <f>+C13*('2009 Existing Rates'!$D$13-'2009 Existing Rates'!D40)</f>
        <v>9737.490238691169</v>
      </c>
      <c r="I13" s="336">
        <f t="shared" si="0"/>
        <v>21887.65195320439</v>
      </c>
    </row>
    <row r="14" spans="1:9" ht="19.5" customHeight="1">
      <c r="A14" s="331" t="str">
        <f>'Dist. Rev. Reconciliation'!A14</f>
        <v>Street Lighting</v>
      </c>
      <c r="B14" s="295">
        <f>+'Forecast Data For 2010'!$G$25</f>
        <v>2737123.215383171</v>
      </c>
      <c r="C14" s="295">
        <f>+'Forecast Data For 2010'!$G$24</f>
        <v>7702.034866145907</v>
      </c>
      <c r="D14" s="295"/>
      <c r="E14" s="295"/>
      <c r="F14" s="295">
        <f>+'Forecast Data For 2010'!$G$23*12</f>
        <v>68179.7355707735</v>
      </c>
      <c r="G14" s="336">
        <f>+F14*'2009 Existing Rates'!$B$14</f>
        <v>29999.08365114034</v>
      </c>
      <c r="H14" s="336">
        <f>+C14*('2009 Existing Rates'!$D$14-'2009 Existing Rates'!D41)</f>
        <v>18153.696179505903</v>
      </c>
      <c r="I14" s="336">
        <f t="shared" si="0"/>
        <v>48152.77983064624</v>
      </c>
    </row>
    <row r="15" spans="1:9" ht="19.5" customHeight="1">
      <c r="A15" s="331" t="str">
        <f>'Dist. Rev. Reconciliation'!A15</f>
        <v>USL</v>
      </c>
      <c r="B15" s="295">
        <f>+'Forecast Data For 2010'!$G$27</f>
        <v>337792.11077915505</v>
      </c>
      <c r="C15" s="295"/>
      <c r="D15" s="295"/>
      <c r="E15" s="295"/>
      <c r="F15" s="295">
        <f>+'Forecast Data For 2010'!$G$26*12</f>
        <v>252</v>
      </c>
      <c r="G15" s="336">
        <f>+F15*'2009 Existing Rates'!$C$15</f>
        <v>5481</v>
      </c>
      <c r="H15" s="336">
        <f>+B15*('2009 Existing Rates'!$E$15-'2009 Existing Rates'!B42)</f>
        <v>4695.310339830255</v>
      </c>
      <c r="I15" s="336">
        <f t="shared" si="0"/>
        <v>10176.310339830256</v>
      </c>
    </row>
    <row r="16" spans="1:9" ht="19.5" customHeight="1">
      <c r="A16" s="331" t="str">
        <f>'Dist. Rev. Reconciliation'!A16</f>
        <v>Back-up/Standby Power</v>
      </c>
      <c r="B16" s="295">
        <v>0</v>
      </c>
      <c r="C16" s="295">
        <f>+'Forecast Data For 2010'!$G$29</f>
        <v>0</v>
      </c>
      <c r="D16" s="295"/>
      <c r="E16" s="295"/>
      <c r="F16" s="295"/>
      <c r="G16" s="336">
        <v>0</v>
      </c>
      <c r="H16" s="336">
        <f>+C16*'2009 Existing Rates'!$D$16</f>
        <v>0</v>
      </c>
      <c r="I16" s="336">
        <f t="shared" si="0"/>
        <v>0</v>
      </c>
    </row>
    <row r="17" spans="1:9" ht="24.75" customHeight="1" thickBot="1">
      <c r="A17" s="58" t="s">
        <v>42</v>
      </c>
      <c r="B17" s="296">
        <f aca="true" t="shared" si="1" ref="B17:I17">SUM(B8:B16)</f>
        <v>563738678.395912</v>
      </c>
      <c r="C17" s="296">
        <f t="shared" si="1"/>
        <v>722952.8889588444</v>
      </c>
      <c r="D17" s="296">
        <f t="shared" si="1"/>
        <v>175000</v>
      </c>
      <c r="E17" s="296">
        <f t="shared" si="1"/>
        <v>288120.85718089674</v>
      </c>
      <c r="F17" s="296">
        <f t="shared" si="1"/>
        <v>74568.18088113371</v>
      </c>
      <c r="G17" s="297">
        <f t="shared" si="1"/>
        <v>5030785.97137368</v>
      </c>
      <c r="H17" s="297">
        <f t="shared" si="1"/>
        <v>5052780.409512841</v>
      </c>
      <c r="I17" s="297">
        <f t="shared" si="1"/>
        <v>10083566.380886521</v>
      </c>
    </row>
    <row r="18" spans="1:9" ht="9.75" customHeight="1" thickTop="1">
      <c r="A18" s="450"/>
      <c r="B18" s="450"/>
      <c r="C18" s="450"/>
      <c r="D18" s="450"/>
      <c r="E18" s="450"/>
      <c r="F18" s="450"/>
      <c r="G18" s="450"/>
      <c r="H18" s="450"/>
      <c r="I18" s="450"/>
    </row>
    <row r="19" spans="1:9" ht="18" customHeight="1">
      <c r="A19" s="527" t="s">
        <v>146</v>
      </c>
      <c r="B19" s="450"/>
      <c r="C19" s="450"/>
      <c r="D19" s="450"/>
      <c r="E19" s="450"/>
      <c r="F19" s="450"/>
      <c r="G19" s="450"/>
      <c r="H19" s="450"/>
      <c r="I19" s="8"/>
    </row>
    <row r="20" spans="1:9" ht="18" customHeight="1">
      <c r="A20" s="528" t="str">
        <f>A10</f>
        <v>GS &gt;50</v>
      </c>
      <c r="B20" s="450"/>
      <c r="C20" s="450"/>
      <c r="D20" s="450"/>
      <c r="E20" s="450"/>
      <c r="F20" s="450"/>
      <c r="G20" s="450"/>
      <c r="H20" s="450"/>
      <c r="I20" s="349">
        <f>'Transformer Allowance'!C12</f>
        <v>-58776.98522839338</v>
      </c>
    </row>
    <row r="21" spans="1:9" ht="18" customHeight="1">
      <c r="A21" s="528" t="str">
        <f>A11</f>
        <v>General Service &gt; 3000 to 4999 kW</v>
      </c>
      <c r="B21" s="450"/>
      <c r="C21" s="450"/>
      <c r="D21" s="450"/>
      <c r="E21" s="450"/>
      <c r="F21" s="450"/>
      <c r="G21" s="450"/>
      <c r="H21" s="450"/>
      <c r="I21" s="349">
        <f>'Transformer Allowance'!C13</f>
        <v>-46223.01477160663</v>
      </c>
    </row>
    <row r="22" spans="1:9" ht="18" customHeight="1">
      <c r="A22" s="528">
        <f>A12</f>
        <v>0</v>
      </c>
      <c r="B22" s="450"/>
      <c r="C22" s="450"/>
      <c r="D22" s="450"/>
      <c r="E22" s="450"/>
      <c r="F22" s="450"/>
      <c r="G22" s="450"/>
      <c r="H22" s="450"/>
      <c r="I22" s="349">
        <f>'Transformer Allowance'!C14</f>
        <v>0</v>
      </c>
    </row>
    <row r="23" spans="1:9" ht="7.5" customHeight="1">
      <c r="A23" s="450"/>
      <c r="B23" s="450"/>
      <c r="C23" s="450"/>
      <c r="D23" s="450"/>
      <c r="E23" s="450"/>
      <c r="F23" s="450"/>
      <c r="G23" s="450"/>
      <c r="H23" s="450"/>
      <c r="I23" s="349"/>
    </row>
    <row r="24" spans="1:9" ht="18" customHeight="1" thickBot="1">
      <c r="A24" s="464" t="s">
        <v>147</v>
      </c>
      <c r="B24" s="464"/>
      <c r="C24" s="464"/>
      <c r="D24" s="464"/>
      <c r="E24" s="464"/>
      <c r="F24" s="464"/>
      <c r="G24" s="464"/>
      <c r="H24" s="464"/>
      <c r="I24" s="350">
        <f>+I17+I20+I21+I22</f>
        <v>9978566.380886521</v>
      </c>
    </row>
    <row r="25" spans="1:9" ht="7.5" customHeight="1" thickTop="1">
      <c r="A25" s="450"/>
      <c r="B25" s="450"/>
      <c r="C25" s="450"/>
      <c r="D25" s="450"/>
      <c r="E25" s="450"/>
      <c r="F25" s="450"/>
      <c r="G25" s="450"/>
      <c r="H25" s="450"/>
      <c r="I25" s="351"/>
    </row>
    <row r="26" spans="1:9" ht="18" customHeight="1">
      <c r="A26" s="525" t="s">
        <v>144</v>
      </c>
      <c r="B26" s="525"/>
      <c r="C26" s="525"/>
      <c r="D26" s="525"/>
      <c r="E26" s="525"/>
      <c r="F26" s="525"/>
      <c r="G26" s="525"/>
      <c r="H26" s="525"/>
      <c r="I26" s="352">
        <f>+'Revenue Input'!B9</f>
        <v>825116.4414101248</v>
      </c>
    </row>
    <row r="27" spans="1:9" ht="18" customHeight="1" thickBot="1">
      <c r="A27" s="464" t="s">
        <v>145</v>
      </c>
      <c r="B27" s="464"/>
      <c r="C27" s="464"/>
      <c r="D27" s="464"/>
      <c r="E27" s="464"/>
      <c r="F27" s="464"/>
      <c r="G27" s="464"/>
      <c r="H27" s="464"/>
      <c r="I27" s="353">
        <f>+I24+I26</f>
        <v>10803682.822296645</v>
      </c>
    </row>
    <row r="28" spans="1:9" ht="7.5" customHeight="1">
      <c r="A28" s="450"/>
      <c r="B28" s="450"/>
      <c r="C28" s="450"/>
      <c r="D28" s="450"/>
      <c r="E28" s="450"/>
      <c r="F28" s="450"/>
      <c r="G28" s="450"/>
      <c r="H28" s="450"/>
      <c r="I28" s="351"/>
    </row>
    <row r="29" spans="1:9" ht="18" customHeight="1" thickBot="1">
      <c r="A29" s="464" t="s">
        <v>142</v>
      </c>
      <c r="B29" s="464"/>
      <c r="C29" s="464"/>
      <c r="D29" s="464"/>
      <c r="E29" s="464"/>
      <c r="F29" s="464"/>
      <c r="G29" s="464"/>
      <c r="H29" s="464"/>
      <c r="I29" s="353">
        <f>+'Revenue Input'!B8</f>
        <v>12642754.15585639</v>
      </c>
    </row>
    <row r="30" spans="1:9" ht="7.5" customHeight="1">
      <c r="A30" s="450"/>
      <c r="B30" s="450"/>
      <c r="C30" s="450"/>
      <c r="D30" s="450"/>
      <c r="E30" s="450"/>
      <c r="F30" s="450"/>
      <c r="G30" s="450"/>
      <c r="H30" s="450"/>
      <c r="I30" s="354"/>
    </row>
    <row r="31" spans="1:9" ht="18" customHeight="1" thickBot="1">
      <c r="A31" s="464" t="s">
        <v>143</v>
      </c>
      <c r="B31" s="464"/>
      <c r="C31" s="464"/>
      <c r="D31" s="464"/>
      <c r="E31" s="464"/>
      <c r="F31" s="464"/>
      <c r="G31" s="464"/>
      <c r="H31" s="464"/>
      <c r="I31" s="355">
        <f>+I29-I27</f>
        <v>1839071.333559744</v>
      </c>
    </row>
    <row r="32" ht="13.5" thickTop="1">
      <c r="I32" s="393">
        <v>0</v>
      </c>
    </row>
    <row r="33" spans="7:11" ht="12.75">
      <c r="G33" s="16"/>
      <c r="H33" s="16"/>
      <c r="I33" s="390"/>
      <c r="J33" s="16"/>
      <c r="K33" s="16"/>
    </row>
    <row r="34" spans="7:11" ht="12.75">
      <c r="G34" s="16"/>
      <c r="H34" s="16"/>
      <c r="I34" s="391"/>
      <c r="J34" s="16"/>
      <c r="K34" s="16"/>
    </row>
    <row r="35" ht="12.75">
      <c r="I35" s="392"/>
    </row>
  </sheetData>
  <mergeCells count="20">
    <mergeCell ref="A31:H31"/>
    <mergeCell ref="A27:H27"/>
    <mergeCell ref="A28:H28"/>
    <mergeCell ref="A29:H29"/>
    <mergeCell ref="A30:H30"/>
    <mergeCell ref="A23:H23"/>
    <mergeCell ref="A24:H24"/>
    <mergeCell ref="A25:H25"/>
    <mergeCell ref="A26:H26"/>
    <mergeCell ref="A18:I18"/>
    <mergeCell ref="A19:H19"/>
    <mergeCell ref="A20:H20"/>
    <mergeCell ref="A22:H22"/>
    <mergeCell ref="A21:H21"/>
    <mergeCell ref="A5:I5"/>
    <mergeCell ref="A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355" verticalDpi="355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1" sqref="A1:I1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3" width="17.57421875" style="0" bestFit="1" customWidth="1"/>
    <col min="4" max="4" width="15.7109375" style="0" customWidth="1"/>
    <col min="5" max="5" width="17.57421875" style="0" bestFit="1" customWidth="1"/>
    <col min="6" max="6" width="15.7109375" style="0" customWidth="1"/>
    <col min="7" max="7" width="17.57421875" style="0" bestFit="1" customWidth="1"/>
    <col min="8" max="8" width="15.7109375" style="0" customWidth="1"/>
    <col min="9" max="9" width="17.57421875" style="0" bestFit="1" customWidth="1"/>
  </cols>
  <sheetData>
    <row r="1" spans="1:9" ht="12.75">
      <c r="A1" s="449" t="str">
        <f>+'Revenue Input'!A1</f>
        <v>North Bay Hydro Distribution Ltd.</v>
      </c>
      <c r="B1" s="449"/>
      <c r="C1" s="449"/>
      <c r="D1" s="449"/>
      <c r="E1" s="449"/>
      <c r="F1" s="449"/>
      <c r="G1" s="449"/>
      <c r="H1" s="449"/>
      <c r="I1" s="449"/>
    </row>
    <row r="2" spans="1:9" ht="12.75">
      <c r="A2" s="449" t="str">
        <f>+'Revenue Input'!A2</f>
        <v>License Number ED-2003-0024, File Number EB-2009-0270</v>
      </c>
      <c r="B2" s="449"/>
      <c r="C2" s="449"/>
      <c r="D2" s="449"/>
      <c r="E2" s="449"/>
      <c r="F2" s="449"/>
      <c r="G2" s="449"/>
      <c r="H2" s="449"/>
      <c r="I2" s="449"/>
    </row>
    <row r="3" spans="1:9" ht="12.75">
      <c r="A3" s="449">
        <f>+'Revenue Input'!A3</f>
        <v>0</v>
      </c>
      <c r="B3" s="449"/>
      <c r="C3" s="449"/>
      <c r="D3" s="449"/>
      <c r="E3" s="449"/>
      <c r="F3" s="449"/>
      <c r="G3" s="449"/>
      <c r="H3" s="449"/>
      <c r="I3" s="449"/>
    </row>
    <row r="4" spans="1:9" ht="8.25" customHeight="1">
      <c r="A4" s="450"/>
      <c r="B4" s="450"/>
      <c r="C4" s="450"/>
      <c r="D4" s="450"/>
      <c r="E4" s="450"/>
      <c r="F4" s="450"/>
      <c r="G4" s="450"/>
      <c r="H4" s="450"/>
      <c r="I4" s="450"/>
    </row>
    <row r="5" spans="1:9" ht="17.25" customHeight="1">
      <c r="A5" s="8"/>
      <c r="B5" s="8"/>
      <c r="C5" s="8"/>
      <c r="D5" s="8"/>
      <c r="E5" s="8"/>
      <c r="F5" s="8"/>
      <c r="G5" s="8"/>
      <c r="H5" s="8"/>
      <c r="I5" s="8"/>
    </row>
    <row r="6" spans="1:3" ht="15" customHeight="1">
      <c r="A6" s="454" t="s">
        <v>39</v>
      </c>
      <c r="B6" s="454"/>
      <c r="C6" s="454"/>
    </row>
    <row r="7" ht="15" customHeight="1"/>
    <row r="8" spans="1:3" ht="15" customHeight="1">
      <c r="A8" s="455"/>
      <c r="B8" s="455"/>
      <c r="C8" s="455"/>
    </row>
    <row r="9" spans="1:3" ht="15.75">
      <c r="A9" s="452" t="s">
        <v>181</v>
      </c>
      <c r="B9" s="451" t="s">
        <v>206</v>
      </c>
      <c r="C9" s="451"/>
    </row>
    <row r="10" spans="1:3" ht="15.75">
      <c r="A10" s="453"/>
      <c r="B10" s="80" t="s">
        <v>35</v>
      </c>
      <c r="C10" s="81" t="s">
        <v>38</v>
      </c>
    </row>
    <row r="11" spans="1:3" ht="15.75">
      <c r="A11" s="82" t="s">
        <v>36</v>
      </c>
      <c r="B11" s="83"/>
      <c r="C11" s="84"/>
    </row>
    <row r="12" spans="1:9" ht="15.75">
      <c r="A12" s="85" t="str">
        <f>'Forecast Data For 2010'!A11</f>
        <v>GS &gt;50</v>
      </c>
      <c r="B12" s="326">
        <v>97961.6420473223</v>
      </c>
      <c r="C12" s="337">
        <f>+B12*$B$17</f>
        <v>-58776.98522839338</v>
      </c>
      <c r="E12" s="57"/>
      <c r="F12" s="57"/>
      <c r="G12" s="57"/>
      <c r="H12" s="8"/>
      <c r="I12" s="8"/>
    </row>
    <row r="13" spans="1:9" ht="15.75">
      <c r="A13" s="85" t="str">
        <f>'Forecast Data For 2010'!A14</f>
        <v>General Service &gt; 3000 to 4999 kW</v>
      </c>
      <c r="B13" s="326">
        <f>+'Forecast Data For 2010'!G15</f>
        <v>77038.35795267772</v>
      </c>
      <c r="C13" s="337">
        <f>+B13*$B$17</f>
        <v>-46223.01477160663</v>
      </c>
      <c r="E13" s="57"/>
      <c r="F13" s="57"/>
      <c r="G13" s="57"/>
      <c r="H13" s="8"/>
      <c r="I13" s="8"/>
    </row>
    <row r="14" spans="1:9" ht="15.75">
      <c r="A14" s="85">
        <f>'Forecast Data For 2010'!A17</f>
        <v>0</v>
      </c>
      <c r="B14" s="326">
        <v>0</v>
      </c>
      <c r="C14" s="337">
        <f>+B14*$B$17</f>
        <v>0</v>
      </c>
      <c r="E14" s="57"/>
      <c r="F14" s="57"/>
      <c r="G14" s="57"/>
      <c r="H14" s="8"/>
      <c r="I14" s="8"/>
    </row>
    <row r="15" spans="1:3" ht="15.75">
      <c r="A15" s="86" t="s">
        <v>37</v>
      </c>
      <c r="B15" s="327">
        <f>SUM(B12:B14)</f>
        <v>175000</v>
      </c>
      <c r="C15" s="337">
        <f>SUM(C12:C14)</f>
        <v>-105000</v>
      </c>
    </row>
    <row r="16" ht="13.5" thickBot="1"/>
    <row r="17" spans="1:2" ht="16.5" thickBot="1">
      <c r="A17" s="5" t="s">
        <v>182</v>
      </c>
      <c r="B17" s="338">
        <v>-0.6</v>
      </c>
    </row>
    <row r="18" ht="15">
      <c r="A18" s="4"/>
    </row>
    <row r="19" ht="12.75">
      <c r="A19" s="381"/>
    </row>
    <row r="20" spans="1:3" ht="12.75">
      <c r="A20" s="381"/>
      <c r="C20" s="382"/>
    </row>
    <row r="21" spans="1:3" ht="12.75">
      <c r="A21" s="381"/>
      <c r="C21" s="382"/>
    </row>
    <row r="22" spans="1:3" ht="12.75">
      <c r="A22" s="381"/>
      <c r="C22" s="382"/>
    </row>
    <row r="23" spans="1:3" ht="12.75">
      <c r="A23" s="381"/>
      <c r="C23" s="382"/>
    </row>
    <row r="24" spans="1:3" ht="12.75">
      <c r="A24" s="381"/>
      <c r="C24" s="382"/>
    </row>
    <row r="25" spans="1:3" ht="12.75">
      <c r="A25" s="381"/>
      <c r="C25" s="382"/>
    </row>
    <row r="26" ht="15">
      <c r="A26" s="4"/>
    </row>
    <row r="27" ht="15.75">
      <c r="A27" s="5"/>
    </row>
    <row r="28" ht="15">
      <c r="A28" s="4"/>
    </row>
    <row r="29" ht="15">
      <c r="A29" s="4"/>
    </row>
    <row r="30" ht="15">
      <c r="A30" s="4"/>
    </row>
    <row r="32" ht="15.75">
      <c r="A32" s="5"/>
    </row>
    <row r="33" ht="15">
      <c r="A33" s="4"/>
    </row>
    <row r="34" ht="15.75">
      <c r="A34" s="5"/>
    </row>
    <row r="35" ht="15">
      <c r="A35" s="4"/>
    </row>
    <row r="36" ht="15">
      <c r="A36" s="4"/>
    </row>
    <row r="37" ht="15">
      <c r="A37" s="4"/>
    </row>
  </sheetData>
  <mergeCells count="8">
    <mergeCell ref="B9:C9"/>
    <mergeCell ref="A9:A10"/>
    <mergeCell ref="A6:C6"/>
    <mergeCell ref="A8:C8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355" verticalDpi="355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A1" sqref="A1:H1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3" width="12.7109375" style="0" bestFit="1" customWidth="1"/>
    <col min="4" max="4" width="13.421875" style="0" bestFit="1" customWidth="1"/>
    <col min="5" max="5" width="13.421875" style="0" customWidth="1"/>
    <col min="6" max="6" width="13.421875" style="0" bestFit="1" customWidth="1"/>
    <col min="7" max="7" width="12.7109375" style="0" bestFit="1" customWidth="1"/>
    <col min="8" max="8" width="13.421875" style="1" bestFit="1" customWidth="1"/>
    <col min="9" max="9" width="13.8515625" style="1" customWidth="1"/>
    <col min="10" max="14" width="10.140625" style="1" customWidth="1"/>
  </cols>
  <sheetData>
    <row r="1" spans="1:8" ht="12.75">
      <c r="A1" s="449" t="str">
        <f>+'Revenue Input'!A1</f>
        <v>North Bay Hydro Distribution Ltd.</v>
      </c>
      <c r="B1" s="449"/>
      <c r="C1" s="449"/>
      <c r="D1" s="449"/>
      <c r="E1" s="449"/>
      <c r="F1" s="449"/>
      <c r="G1" s="449"/>
      <c r="H1" s="449"/>
    </row>
    <row r="2" spans="1:8" ht="12.75">
      <c r="A2" s="449" t="str">
        <f>+'Revenue Input'!A2</f>
        <v>License Number ED-2003-0024, File Number EB-2009-0270</v>
      </c>
      <c r="B2" s="449"/>
      <c r="C2" s="449"/>
      <c r="D2" s="449"/>
      <c r="E2" s="449"/>
      <c r="F2" s="449"/>
      <c r="G2" s="449"/>
      <c r="H2" s="449"/>
    </row>
    <row r="3" spans="1:8" ht="12.75">
      <c r="A3" s="449">
        <f>+'Revenue Input'!A3</f>
        <v>0</v>
      </c>
      <c r="B3" s="449"/>
      <c r="C3" s="449"/>
      <c r="D3" s="449"/>
      <c r="E3" s="449"/>
      <c r="F3" s="449"/>
      <c r="G3" s="449"/>
      <c r="H3" s="449"/>
    </row>
    <row r="4" spans="1:7" ht="27" customHeight="1">
      <c r="A4" s="458" t="s">
        <v>227</v>
      </c>
      <c r="B4" s="459"/>
      <c r="C4" s="459"/>
      <c r="D4" s="459"/>
      <c r="E4" s="459"/>
      <c r="F4" s="459"/>
      <c r="G4" s="460"/>
    </row>
    <row r="5" spans="1:7" ht="18.75" customHeight="1">
      <c r="A5" s="339" t="s">
        <v>31</v>
      </c>
      <c r="B5" s="339"/>
      <c r="C5" s="456"/>
      <c r="D5" s="456"/>
      <c r="E5" s="456"/>
      <c r="F5" s="456"/>
      <c r="G5" s="457"/>
    </row>
    <row r="6" spans="1:14" ht="39" thickBot="1">
      <c r="A6" s="78" t="s">
        <v>25</v>
      </c>
      <c r="B6" s="79" t="s">
        <v>178</v>
      </c>
      <c r="C6" s="78" t="s">
        <v>188</v>
      </c>
      <c r="D6" s="344" t="s">
        <v>187</v>
      </c>
      <c r="E6" s="344" t="s">
        <v>207</v>
      </c>
      <c r="F6" s="376" t="s">
        <v>208</v>
      </c>
      <c r="G6" s="344" t="s">
        <v>209</v>
      </c>
      <c r="I6" s="18"/>
      <c r="J6" s="18"/>
      <c r="K6" s="18"/>
      <c r="L6" s="18"/>
      <c r="M6" s="18"/>
      <c r="N6" s="18"/>
    </row>
    <row r="7" spans="1:14" ht="15" customHeight="1">
      <c r="A7" s="311" t="s">
        <v>240</v>
      </c>
      <c r="B7" s="68" t="s">
        <v>179</v>
      </c>
      <c r="C7" s="341">
        <v>20555</v>
      </c>
      <c r="D7" s="341">
        <v>20726</v>
      </c>
      <c r="E7" s="341">
        <v>20757</v>
      </c>
      <c r="F7" s="375">
        <v>20915.77152449409</v>
      </c>
      <c r="G7" s="67">
        <v>21075.757501798806</v>
      </c>
      <c r="I7" s="387"/>
      <c r="J7" s="18"/>
      <c r="K7" s="18"/>
      <c r="L7" s="18"/>
      <c r="M7" s="18"/>
      <c r="N7" s="18"/>
    </row>
    <row r="8" spans="1:14" ht="15" customHeight="1" thickBot="1">
      <c r="A8" s="73"/>
      <c r="B8" s="74" t="s">
        <v>17</v>
      </c>
      <c r="C8" s="342">
        <v>207199584.39</v>
      </c>
      <c r="D8" s="342">
        <v>213131700.82</v>
      </c>
      <c r="E8" s="342">
        <v>213813391.87</v>
      </c>
      <c r="F8" s="342">
        <v>213976634.65996635</v>
      </c>
      <c r="G8" s="75">
        <v>214191102.73851258</v>
      </c>
      <c r="I8" s="18"/>
      <c r="J8" s="18"/>
      <c r="K8" s="18"/>
      <c r="L8" s="18"/>
      <c r="M8" s="18"/>
      <c r="N8" s="18"/>
    </row>
    <row r="9" spans="1:14" ht="15" customHeight="1">
      <c r="A9" s="311" t="s">
        <v>241</v>
      </c>
      <c r="B9" s="68" t="s">
        <v>179</v>
      </c>
      <c r="C9" s="69">
        <v>2678</v>
      </c>
      <c r="D9" s="69">
        <v>2626</v>
      </c>
      <c r="E9" s="69">
        <v>2616</v>
      </c>
      <c r="F9" s="67">
        <v>2630.764364864086</v>
      </c>
      <c r="G9" s="67">
        <v>2645.612057889426</v>
      </c>
      <c r="I9" s="387"/>
      <c r="J9" s="18"/>
      <c r="K9" s="18"/>
      <c r="L9" s="18"/>
      <c r="M9" s="18"/>
      <c r="N9" s="18"/>
    </row>
    <row r="10" spans="1:14" ht="15" customHeight="1" thickBot="1">
      <c r="A10" s="73"/>
      <c r="B10" s="74" t="s">
        <v>17</v>
      </c>
      <c r="C10" s="75">
        <v>90175437.71</v>
      </c>
      <c r="D10" s="75">
        <v>89681002.13</v>
      </c>
      <c r="E10" s="75">
        <v>88723630.8</v>
      </c>
      <c r="F10" s="75">
        <v>87075463.03956766</v>
      </c>
      <c r="G10" s="75">
        <v>84727250.46692923</v>
      </c>
      <c r="I10" s="18"/>
      <c r="J10" s="18"/>
      <c r="K10" s="18"/>
      <c r="L10" s="18"/>
      <c r="M10" s="18"/>
      <c r="N10" s="18"/>
    </row>
    <row r="11" spans="1:14" ht="15" customHeight="1">
      <c r="A11" s="311" t="s">
        <v>242</v>
      </c>
      <c r="B11" s="68" t="s">
        <v>179</v>
      </c>
      <c r="C11" s="69">
        <v>258</v>
      </c>
      <c r="D11" s="69">
        <v>267</v>
      </c>
      <c r="E11" s="69">
        <v>273</v>
      </c>
      <c r="F11" s="69">
        <v>279.83800053560304</v>
      </c>
      <c r="G11" s="69">
        <v>286.84727671708487</v>
      </c>
      <c r="I11" s="18"/>
      <c r="J11" s="18"/>
      <c r="K11" s="18"/>
      <c r="L11" s="18"/>
      <c r="M11" s="18"/>
      <c r="N11" s="18"/>
    </row>
    <row r="12" spans="1:14" ht="15" customHeight="1">
      <c r="A12" s="71"/>
      <c r="B12" s="66" t="s">
        <v>18</v>
      </c>
      <c r="C12" s="67">
        <v>602160.47</v>
      </c>
      <c r="D12" s="67">
        <v>604779.68</v>
      </c>
      <c r="E12" s="67">
        <v>602776.32</v>
      </c>
      <c r="F12" s="67">
        <v>630320.0202037109</v>
      </c>
      <c r="G12" s="67">
        <v>636801.6337217108</v>
      </c>
      <c r="I12" s="18"/>
      <c r="J12" s="18"/>
      <c r="K12" s="18"/>
      <c r="L12" s="18"/>
      <c r="M12" s="18"/>
      <c r="N12" s="18"/>
    </row>
    <row r="13" spans="1:7" ht="15" customHeight="1" thickBot="1">
      <c r="A13" s="73"/>
      <c r="B13" s="74" t="s">
        <v>17</v>
      </c>
      <c r="C13" s="75">
        <v>207117427.59</v>
      </c>
      <c r="D13" s="75">
        <v>213456497</v>
      </c>
      <c r="E13" s="75">
        <v>215710011.33</v>
      </c>
      <c r="F13" s="75">
        <v>218661465.660253</v>
      </c>
      <c r="G13" s="75">
        <v>220909972.8728767</v>
      </c>
    </row>
    <row r="14" spans="1:14" ht="15" customHeight="1">
      <c r="A14" s="311" t="s">
        <v>248</v>
      </c>
      <c r="B14" s="68" t="s">
        <v>179</v>
      </c>
      <c r="C14" s="69">
        <v>2</v>
      </c>
      <c r="D14" s="69">
        <v>2</v>
      </c>
      <c r="E14" s="69">
        <v>2</v>
      </c>
      <c r="F14" s="69">
        <v>1.9259259259259258</v>
      </c>
      <c r="G14" s="69">
        <v>1.8545953360768173</v>
      </c>
      <c r="I14" s="18"/>
      <c r="J14" s="18"/>
      <c r="K14" s="18"/>
      <c r="L14" s="18"/>
      <c r="M14" s="18"/>
      <c r="N14" s="18"/>
    </row>
    <row r="15" spans="1:14" ht="15" customHeight="1">
      <c r="A15" s="71"/>
      <c r="B15" s="66" t="s">
        <v>18</v>
      </c>
      <c r="C15" s="67">
        <v>96179.77</v>
      </c>
      <c r="D15" s="67">
        <v>95579.78</v>
      </c>
      <c r="E15" s="67">
        <v>88903.8</v>
      </c>
      <c r="F15" s="67">
        <v>81015.26679516297</v>
      </c>
      <c r="G15" s="67">
        <v>77038.35795267772</v>
      </c>
      <c r="I15" s="18"/>
      <c r="J15" s="18"/>
      <c r="K15" s="18"/>
      <c r="L15" s="18"/>
      <c r="M15" s="18"/>
      <c r="N15" s="18"/>
    </row>
    <row r="16" spans="1:7" ht="15" customHeight="1" thickBot="1">
      <c r="A16" s="73"/>
      <c r="B16" s="74" t="s">
        <v>17</v>
      </c>
      <c r="C16" s="75">
        <v>51603011.81</v>
      </c>
      <c r="D16" s="75">
        <v>49926707.79</v>
      </c>
      <c r="E16" s="75">
        <v>44528103.78</v>
      </c>
      <c r="F16" s="75">
        <v>42400307.17046965</v>
      </c>
      <c r="G16" s="75">
        <v>40318944.44489014</v>
      </c>
    </row>
    <row r="17" spans="1:7" ht="15" customHeight="1">
      <c r="A17" s="311"/>
      <c r="B17" s="68" t="s">
        <v>179</v>
      </c>
      <c r="C17" s="69"/>
      <c r="D17" s="69"/>
      <c r="E17" s="69"/>
      <c r="F17" s="69"/>
      <c r="G17" s="70"/>
    </row>
    <row r="18" spans="1:7" ht="15" customHeight="1">
      <c r="A18" s="71"/>
      <c r="B18" s="66" t="s">
        <v>18</v>
      </c>
      <c r="C18" s="67"/>
      <c r="D18" s="67"/>
      <c r="E18" s="67"/>
      <c r="F18" s="67"/>
      <c r="G18" s="72"/>
    </row>
    <row r="19" spans="1:7" ht="15" customHeight="1" thickBot="1">
      <c r="A19" s="73"/>
      <c r="B19" s="74" t="s">
        <v>17</v>
      </c>
      <c r="C19" s="75"/>
      <c r="D19" s="75"/>
      <c r="E19" s="75"/>
      <c r="F19" s="75"/>
      <c r="G19" s="77"/>
    </row>
    <row r="20" spans="1:7" ht="15" customHeight="1">
      <c r="A20" s="311" t="s">
        <v>243</v>
      </c>
      <c r="B20" s="68" t="s">
        <v>180</v>
      </c>
      <c r="C20" s="69">
        <v>606</v>
      </c>
      <c r="D20" s="69">
        <v>577</v>
      </c>
      <c r="E20" s="69">
        <v>521</v>
      </c>
      <c r="F20" s="69">
        <v>516.162765567354</v>
      </c>
      <c r="G20" s="69">
        <v>511.37044253001767</v>
      </c>
    </row>
    <row r="21" spans="1:7" ht="15" customHeight="1">
      <c r="A21" s="71"/>
      <c r="B21" s="66" t="s">
        <v>18</v>
      </c>
      <c r="C21" s="67">
        <v>1594.68</v>
      </c>
      <c r="D21" s="67">
        <v>1542.98</v>
      </c>
      <c r="E21" s="67">
        <v>1530.54</v>
      </c>
      <c r="F21" s="67">
        <v>1479.0625007934593</v>
      </c>
      <c r="G21" s="67">
        <v>1410.8624183098857</v>
      </c>
    </row>
    <row r="22" spans="1:7" ht="15" customHeight="1" thickBot="1">
      <c r="A22" s="73"/>
      <c r="B22" s="74" t="s">
        <v>17</v>
      </c>
      <c r="C22" s="75">
        <v>577962.65</v>
      </c>
      <c r="D22" s="75">
        <v>568495.63</v>
      </c>
      <c r="E22" s="75">
        <v>567633.19</v>
      </c>
      <c r="F22" s="75">
        <v>541459.4276622718</v>
      </c>
      <c r="G22" s="75">
        <v>516492.54654111207</v>
      </c>
    </row>
    <row r="23" spans="1:7" ht="15" customHeight="1">
      <c r="A23" s="311" t="s">
        <v>244</v>
      </c>
      <c r="B23" s="68" t="s">
        <v>180</v>
      </c>
      <c r="C23" s="69">
        <v>5510</v>
      </c>
      <c r="D23" s="69">
        <v>5534</v>
      </c>
      <c r="E23" s="69">
        <v>5550</v>
      </c>
      <c r="F23" s="69">
        <v>5615.436554844399</v>
      </c>
      <c r="G23" s="69">
        <v>5681.644630897791</v>
      </c>
    </row>
    <row r="24" spans="1:7" ht="15" customHeight="1">
      <c r="A24" s="71"/>
      <c r="B24" s="66" t="s">
        <v>18</v>
      </c>
      <c r="C24" s="67">
        <v>9192</v>
      </c>
      <c r="D24" s="67">
        <v>9238.56</v>
      </c>
      <c r="E24" s="67">
        <v>9270.12</v>
      </c>
      <c r="F24" s="67">
        <v>9235.27514252537</v>
      </c>
      <c r="G24" s="67">
        <v>7702.034866145907</v>
      </c>
    </row>
    <row r="25" spans="1:7" ht="15" customHeight="1" thickBot="1">
      <c r="A25" s="73"/>
      <c r="B25" s="74" t="s">
        <v>17</v>
      </c>
      <c r="C25" s="75">
        <v>3278339.58</v>
      </c>
      <c r="D25" s="75">
        <v>3306185.5</v>
      </c>
      <c r="E25" s="75">
        <v>3327500.91</v>
      </c>
      <c r="F25" s="75">
        <v>3282000.9818660365</v>
      </c>
      <c r="G25" s="75">
        <v>2737123.215383171</v>
      </c>
    </row>
    <row r="26" spans="1:7" ht="15" customHeight="1">
      <c r="A26" s="311" t="s">
        <v>245</v>
      </c>
      <c r="B26" s="68" t="s">
        <v>179</v>
      </c>
      <c r="C26" s="69">
        <v>21</v>
      </c>
      <c r="D26" s="69">
        <v>21</v>
      </c>
      <c r="E26" s="69">
        <v>21</v>
      </c>
      <c r="F26" s="69">
        <v>21</v>
      </c>
      <c r="G26" s="69">
        <v>21</v>
      </c>
    </row>
    <row r="27" spans="1:7" ht="15" customHeight="1" thickBot="1">
      <c r="A27" s="73"/>
      <c r="B27" s="74" t="s">
        <v>17</v>
      </c>
      <c r="C27" s="67">
        <v>369735.38</v>
      </c>
      <c r="D27" s="67">
        <v>369614.76</v>
      </c>
      <c r="E27" s="67">
        <v>351268.21</v>
      </c>
      <c r="F27" s="67">
        <v>344464.26535348414</v>
      </c>
      <c r="G27" s="67">
        <v>337792.11077915505</v>
      </c>
    </row>
    <row r="28" spans="1:7" ht="15" customHeight="1">
      <c r="A28" s="311"/>
      <c r="B28" s="68" t="s">
        <v>179</v>
      </c>
      <c r="C28" s="333"/>
      <c r="D28" s="333"/>
      <c r="E28" s="333"/>
      <c r="F28" s="340"/>
      <c r="G28" s="332"/>
    </row>
    <row r="29" spans="1:7" ht="15" customHeight="1" thickBot="1">
      <c r="A29" s="73"/>
      <c r="B29" s="74" t="s">
        <v>18</v>
      </c>
      <c r="C29" s="75"/>
      <c r="D29" s="343"/>
      <c r="E29" s="343"/>
      <c r="F29" s="76"/>
      <c r="G29" s="77"/>
    </row>
    <row r="31" ht="12.75">
      <c r="G31" s="23"/>
    </row>
    <row r="32" ht="12.75">
      <c r="G32" s="23"/>
    </row>
    <row r="33" ht="12.75">
      <c r="G33" s="23"/>
    </row>
  </sheetData>
  <mergeCells count="5">
    <mergeCell ref="A1:H1"/>
    <mergeCell ref="A2:H2"/>
    <mergeCell ref="A3:H3"/>
    <mergeCell ref="C5:G5"/>
    <mergeCell ref="A4:G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:E1"/>
    </sheetView>
  </sheetViews>
  <sheetFormatPr defaultColWidth="9.1406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2.00390625" style="0" customWidth="1"/>
    <col min="5" max="5" width="14.421875" style="0" customWidth="1"/>
    <col min="6" max="16384" width="9.28125" style="0" customWidth="1"/>
  </cols>
  <sheetData>
    <row r="1" spans="1:5" ht="12.75">
      <c r="A1" s="449" t="str">
        <f>+'Revenue Input'!A1</f>
        <v>North Bay Hydro Distribution Ltd.</v>
      </c>
      <c r="B1" s="449"/>
      <c r="C1" s="449"/>
      <c r="D1" s="449"/>
      <c r="E1" s="449"/>
    </row>
    <row r="2" spans="1:5" ht="12.75">
      <c r="A2" s="449" t="str">
        <f>+'Revenue Input'!A2</f>
        <v>License Number ED-2003-0024, File Number EB-2009-0270</v>
      </c>
      <c r="B2" s="449"/>
      <c r="C2" s="449"/>
      <c r="D2" s="449"/>
      <c r="E2" s="449"/>
    </row>
    <row r="3" spans="1:5" ht="12.75">
      <c r="A3" s="449">
        <f>+'Revenue Input'!A3</f>
        <v>0</v>
      </c>
      <c r="B3" s="449"/>
      <c r="C3" s="449"/>
      <c r="D3" s="449"/>
      <c r="E3" s="449"/>
    </row>
    <row r="4" spans="1:5" ht="12.75">
      <c r="A4" s="464"/>
      <c r="B4" s="464"/>
      <c r="C4" s="464"/>
      <c r="D4" s="464"/>
      <c r="E4" s="464"/>
    </row>
    <row r="5" spans="1:5" s="8" customFormat="1" ht="48.75" customHeight="1">
      <c r="A5" s="470" t="s">
        <v>224</v>
      </c>
      <c r="B5" s="470"/>
      <c r="C5" s="470"/>
      <c r="D5" s="470"/>
      <c r="E5" s="470"/>
    </row>
    <row r="6" spans="1:5" s="8" customFormat="1" ht="13.5" thickBot="1">
      <c r="A6" s="472"/>
      <c r="B6" s="472"/>
      <c r="C6" s="472"/>
      <c r="D6" s="472"/>
      <c r="E6" s="472"/>
    </row>
    <row r="7" spans="1:5" ht="13.5" thickBot="1">
      <c r="A7" s="89" t="s">
        <v>0</v>
      </c>
      <c r="B7" s="90" t="s">
        <v>26</v>
      </c>
      <c r="C7" s="90" t="s">
        <v>27</v>
      </c>
      <c r="D7" s="90" t="s">
        <v>18</v>
      </c>
      <c r="E7" s="90" t="s">
        <v>17</v>
      </c>
    </row>
    <row r="8" spans="1:9" ht="12.75">
      <c r="A8" s="91" t="str">
        <f>'Forecast Data For 2010'!A7</f>
        <v>Residential</v>
      </c>
      <c r="B8" s="328"/>
      <c r="C8" s="329">
        <v>12.53</v>
      </c>
      <c r="D8" s="328"/>
      <c r="E8" s="328">
        <v>0.0112</v>
      </c>
      <c r="F8" s="57"/>
      <c r="G8" s="8"/>
      <c r="H8" s="8"/>
      <c r="I8" s="8"/>
    </row>
    <row r="9" spans="1:9" ht="12.75">
      <c r="A9" s="92" t="str">
        <f>'Forecast Data For 2010'!A9</f>
        <v>GS &lt; 50 kW</v>
      </c>
      <c r="B9" s="328"/>
      <c r="C9" s="329">
        <v>21.7</v>
      </c>
      <c r="D9" s="328"/>
      <c r="E9" s="328">
        <v>0.0139</v>
      </c>
      <c r="F9" s="8"/>
      <c r="G9" s="8"/>
      <c r="H9" s="8"/>
      <c r="I9" s="8"/>
    </row>
    <row r="10" spans="1:9" ht="12.75">
      <c r="A10" s="92" t="str">
        <f>'Forecast Data For 2010'!A11</f>
        <v>GS &gt;50</v>
      </c>
      <c r="B10" s="328"/>
      <c r="C10" s="329">
        <v>311.4</v>
      </c>
      <c r="D10" s="328">
        <v>2.1783</v>
      </c>
      <c r="E10" s="328"/>
      <c r="F10" s="8"/>
      <c r="G10" s="8"/>
      <c r="H10" s="8"/>
      <c r="I10" s="8"/>
    </row>
    <row r="11" spans="1:9" ht="12.75">
      <c r="A11" s="92" t="str">
        <f>'Forecast Data For 2010'!A14</f>
        <v>General Service &gt; 3000 to 4999 kW</v>
      </c>
      <c r="B11" s="328"/>
      <c r="C11" s="329">
        <v>2399.29</v>
      </c>
      <c r="D11" s="328">
        <v>0.7321</v>
      </c>
      <c r="E11" s="328"/>
      <c r="F11" s="8"/>
      <c r="G11" s="8"/>
      <c r="H11" s="8"/>
      <c r="I11" s="8"/>
    </row>
    <row r="12" spans="1:9" ht="12.75">
      <c r="A12" s="92">
        <f>'Forecast Data For 2010'!A17</f>
        <v>0</v>
      </c>
      <c r="B12" s="328"/>
      <c r="C12" s="329"/>
      <c r="D12" s="328"/>
      <c r="E12" s="328"/>
      <c r="F12" s="8"/>
      <c r="G12" s="8"/>
      <c r="H12" s="8"/>
      <c r="I12" s="8"/>
    </row>
    <row r="13" spans="1:9" ht="12.75">
      <c r="A13" s="92" t="str">
        <f>'Forecast Data For 2010'!A20</f>
        <v>Sentinel Lights</v>
      </c>
      <c r="B13" s="329">
        <v>1.98</v>
      </c>
      <c r="C13" s="329"/>
      <c r="D13" s="328">
        <v>6.9018</v>
      </c>
      <c r="E13" s="328"/>
      <c r="F13" s="8"/>
      <c r="G13" s="8"/>
      <c r="H13" s="8"/>
      <c r="I13" s="8"/>
    </row>
    <row r="14" spans="1:9" ht="12.75">
      <c r="A14" s="92" t="str">
        <f>'Forecast Data For 2010'!A23</f>
        <v>Street Lighting</v>
      </c>
      <c r="B14" s="329">
        <v>0.44</v>
      </c>
      <c r="C14" s="329"/>
      <c r="D14" s="328">
        <v>2.357</v>
      </c>
      <c r="E14" s="328"/>
      <c r="F14" s="8"/>
      <c r="G14" s="8"/>
      <c r="H14" s="8"/>
      <c r="I14" s="8"/>
    </row>
    <row r="15" spans="1:9" ht="12.75">
      <c r="A15" s="92" t="str">
        <f>'Forecast Data For 2010'!A26</f>
        <v>USL</v>
      </c>
      <c r="B15" s="329"/>
      <c r="C15" s="329">
        <v>21.75</v>
      </c>
      <c r="D15" s="328"/>
      <c r="E15" s="328">
        <v>0.0139</v>
      </c>
      <c r="F15" s="8"/>
      <c r="G15" s="8"/>
      <c r="H15" s="8"/>
      <c r="I15" s="8"/>
    </row>
    <row r="16" spans="1:9" ht="12.75">
      <c r="A16" s="92">
        <f>'Forecast Data For 2010'!A28</f>
        <v>0</v>
      </c>
      <c r="B16" s="328"/>
      <c r="C16" s="329"/>
      <c r="D16" s="328"/>
      <c r="E16" s="328"/>
      <c r="F16" s="8"/>
      <c r="G16" s="8"/>
      <c r="H16" s="8"/>
      <c r="I16" s="8"/>
    </row>
    <row r="17" spans="1:9" ht="12.75">
      <c r="A17" s="92" t="s">
        <v>7</v>
      </c>
      <c r="B17" s="328"/>
      <c r="C17" s="329"/>
      <c r="D17" s="328"/>
      <c r="E17" s="328"/>
      <c r="F17" s="8"/>
      <c r="G17" s="8"/>
      <c r="H17" s="8"/>
      <c r="I17" s="8"/>
    </row>
    <row r="18" spans="1:5" s="8" customFormat="1" ht="12.75">
      <c r="A18" s="450"/>
      <c r="B18" s="450"/>
      <c r="C18" s="450"/>
      <c r="D18" s="450"/>
      <c r="E18" s="450"/>
    </row>
    <row r="19" spans="1:5" s="8" customFormat="1" ht="18">
      <c r="A19" s="463" t="s">
        <v>220</v>
      </c>
      <c r="B19" s="463"/>
      <c r="C19" s="463"/>
      <c r="D19" s="463"/>
      <c r="E19" s="463"/>
    </row>
    <row r="20" spans="1:5" s="8" customFormat="1" ht="13.5" thickBot="1">
      <c r="A20" s="464"/>
      <c r="B20" s="464"/>
      <c r="C20" s="464"/>
      <c r="D20" s="464"/>
      <c r="E20" s="464"/>
    </row>
    <row r="21" spans="1:9" ht="51.75" customHeight="1" thickBot="1">
      <c r="A21" s="89" t="s">
        <v>0</v>
      </c>
      <c r="B21" s="465" t="s">
        <v>47</v>
      </c>
      <c r="C21" s="471"/>
      <c r="D21" s="465" t="s">
        <v>48</v>
      </c>
      <c r="E21" s="471"/>
      <c r="F21" s="8"/>
      <c r="G21" s="8"/>
      <c r="H21" s="8"/>
      <c r="I21" s="8"/>
    </row>
    <row r="22" spans="1:5" ht="12.75">
      <c r="A22" s="91" t="str">
        <f aca="true" t="shared" si="0" ref="A22:A30">A8</f>
        <v>Residential</v>
      </c>
      <c r="B22" s="469"/>
      <c r="C22" s="469"/>
      <c r="D22" s="469"/>
      <c r="E22" s="469"/>
    </row>
    <row r="23" spans="1:5" ht="12.75">
      <c r="A23" s="91" t="str">
        <f t="shared" si="0"/>
        <v>GS &lt; 50 kW</v>
      </c>
      <c r="B23" s="462"/>
      <c r="C23" s="462"/>
      <c r="D23" s="462"/>
      <c r="E23" s="462"/>
    </row>
    <row r="24" spans="1:5" ht="12.75">
      <c r="A24" s="91" t="str">
        <f t="shared" si="0"/>
        <v>GS &gt;50</v>
      </c>
      <c r="B24" s="468"/>
      <c r="C24" s="468"/>
      <c r="D24" s="462"/>
      <c r="E24" s="462"/>
    </row>
    <row r="25" spans="1:5" ht="12.75">
      <c r="A25" s="91" t="str">
        <f t="shared" si="0"/>
        <v>General Service &gt; 3000 to 4999 kW</v>
      </c>
      <c r="B25" s="462"/>
      <c r="C25" s="462"/>
      <c r="D25" s="462"/>
      <c r="E25" s="462"/>
    </row>
    <row r="26" spans="1:5" ht="12.75">
      <c r="A26" s="91">
        <f t="shared" si="0"/>
        <v>0</v>
      </c>
      <c r="B26" s="468"/>
      <c r="C26" s="468"/>
      <c r="D26" s="462"/>
      <c r="E26" s="462"/>
    </row>
    <row r="27" spans="1:5" ht="12.75">
      <c r="A27" s="91" t="str">
        <f t="shared" si="0"/>
        <v>Sentinel Lights</v>
      </c>
      <c r="B27" s="468"/>
      <c r="C27" s="468"/>
      <c r="D27" s="462"/>
      <c r="E27" s="462"/>
    </row>
    <row r="28" spans="1:5" ht="12.75">
      <c r="A28" s="91" t="str">
        <f t="shared" si="0"/>
        <v>Street Lighting</v>
      </c>
      <c r="B28" s="468"/>
      <c r="C28" s="468"/>
      <c r="D28" s="462"/>
      <c r="E28" s="462"/>
    </row>
    <row r="29" spans="1:5" ht="12.75">
      <c r="A29" s="91" t="str">
        <f t="shared" si="0"/>
        <v>USL</v>
      </c>
      <c r="B29" s="462"/>
      <c r="C29" s="462"/>
      <c r="D29" s="462"/>
      <c r="E29" s="462"/>
    </row>
    <row r="30" spans="1:5" ht="12.75">
      <c r="A30" s="91">
        <f t="shared" si="0"/>
        <v>0</v>
      </c>
      <c r="B30" s="468"/>
      <c r="C30" s="468"/>
      <c r="D30" s="468"/>
      <c r="E30" s="468"/>
    </row>
    <row r="31" spans="1:5" ht="12.75">
      <c r="A31" s="467"/>
      <c r="B31" s="467"/>
      <c r="C31" s="467"/>
      <c r="D31" s="467"/>
      <c r="E31" s="467"/>
    </row>
    <row r="32" spans="1:5" ht="18">
      <c r="A32" s="463" t="s">
        <v>221</v>
      </c>
      <c r="B32" s="463"/>
      <c r="C32" s="463"/>
      <c r="D32" s="463"/>
      <c r="E32" s="463"/>
    </row>
    <row r="33" spans="1:5" ht="13.5" thickBot="1">
      <c r="A33" s="464"/>
      <c r="B33" s="464"/>
      <c r="C33" s="464"/>
      <c r="D33" s="464"/>
      <c r="E33" s="464"/>
    </row>
    <row r="34" spans="1:5" ht="40.5" customHeight="1" thickBot="1">
      <c r="A34" s="89" t="s">
        <v>0</v>
      </c>
      <c r="B34" s="465" t="s">
        <v>176</v>
      </c>
      <c r="C34" s="466"/>
      <c r="D34" s="465" t="s">
        <v>177</v>
      </c>
      <c r="E34" s="466"/>
    </row>
    <row r="35" spans="1:5" ht="12.75">
      <c r="A35" s="92" t="str">
        <f aca="true" t="shared" si="1" ref="A35:A43">A22</f>
        <v>Residential</v>
      </c>
      <c r="B35" s="462"/>
      <c r="C35" s="462"/>
      <c r="D35" s="462"/>
      <c r="E35" s="462"/>
    </row>
    <row r="36" spans="1:5" ht="12.75">
      <c r="A36" s="92" t="str">
        <f t="shared" si="1"/>
        <v>GS &lt; 50 kW</v>
      </c>
      <c r="B36" s="462"/>
      <c r="C36" s="462"/>
      <c r="D36" s="462"/>
      <c r="E36" s="462"/>
    </row>
    <row r="37" spans="1:5" ht="12.75">
      <c r="A37" s="92" t="str">
        <f t="shared" si="1"/>
        <v>GS &gt;50</v>
      </c>
      <c r="B37" s="462"/>
      <c r="C37" s="462"/>
      <c r="D37" s="462"/>
      <c r="E37" s="462"/>
    </row>
    <row r="38" spans="1:5" ht="12.75">
      <c r="A38" s="92" t="str">
        <f t="shared" si="1"/>
        <v>General Service &gt; 3000 to 4999 kW</v>
      </c>
      <c r="B38" s="462"/>
      <c r="C38" s="462"/>
      <c r="D38" s="462"/>
      <c r="E38" s="462"/>
    </row>
    <row r="39" spans="1:5" ht="12.75">
      <c r="A39" s="92">
        <f t="shared" si="1"/>
        <v>0</v>
      </c>
      <c r="B39" s="462"/>
      <c r="C39" s="462"/>
      <c r="D39" s="462"/>
      <c r="E39" s="462"/>
    </row>
    <row r="40" spans="1:5" ht="12.75">
      <c r="A40" s="92" t="str">
        <f t="shared" si="1"/>
        <v>Sentinel Lights</v>
      </c>
      <c r="B40" s="462"/>
      <c r="C40" s="462"/>
      <c r="D40" s="462"/>
      <c r="E40" s="462"/>
    </row>
    <row r="41" spans="1:5" ht="12.75">
      <c r="A41" s="92" t="str">
        <f t="shared" si="1"/>
        <v>Street Lighting</v>
      </c>
      <c r="B41" s="462"/>
      <c r="C41" s="462"/>
      <c r="D41" s="462"/>
      <c r="E41" s="462"/>
    </row>
    <row r="42" spans="1:5" ht="12.75">
      <c r="A42" s="92" t="str">
        <f t="shared" si="1"/>
        <v>USL</v>
      </c>
      <c r="B42" s="462"/>
      <c r="C42" s="462"/>
      <c r="D42" s="462"/>
      <c r="E42" s="462"/>
    </row>
    <row r="43" spans="1:5" ht="12.75">
      <c r="A43" s="92">
        <f t="shared" si="1"/>
        <v>0</v>
      </c>
      <c r="B43" s="462"/>
      <c r="C43" s="462"/>
      <c r="D43" s="462"/>
      <c r="E43" s="462"/>
    </row>
    <row r="45" spans="1:5" ht="18">
      <c r="A45" s="463" t="s">
        <v>222</v>
      </c>
      <c r="B45" s="463"/>
      <c r="C45" s="463"/>
      <c r="D45" s="463"/>
      <c r="E45" s="463"/>
    </row>
    <row r="46" spans="1:5" ht="13.5" thickBot="1">
      <c r="A46" s="464"/>
      <c r="B46" s="464"/>
      <c r="C46" s="464"/>
      <c r="D46" s="464"/>
      <c r="E46" s="464"/>
    </row>
    <row r="47" spans="1:2" ht="13.5" thickBot="1">
      <c r="A47" s="316" t="s">
        <v>0</v>
      </c>
      <c r="B47" s="317" t="s">
        <v>198</v>
      </c>
    </row>
    <row r="48" spans="1:2" ht="12.75">
      <c r="A48" s="92" t="str">
        <f aca="true" t="shared" si="2" ref="A48:A56">A35</f>
        <v>Residential</v>
      </c>
      <c r="B48" s="318">
        <f>1.47+0.64</f>
        <v>2.11</v>
      </c>
    </row>
    <row r="49" spans="1:2" ht="12.75">
      <c r="A49" s="92" t="str">
        <f t="shared" si="2"/>
        <v>GS &lt; 50 kW</v>
      </c>
      <c r="B49" s="318">
        <f>1.47+0.64</f>
        <v>2.11</v>
      </c>
    </row>
    <row r="50" spans="1:2" ht="12.75">
      <c r="A50" s="92" t="str">
        <f t="shared" si="2"/>
        <v>GS &gt;50</v>
      </c>
      <c r="B50" s="318">
        <f>1.47+0.64</f>
        <v>2.11</v>
      </c>
    </row>
    <row r="51" spans="1:2" ht="12.75">
      <c r="A51" s="92" t="str">
        <f t="shared" si="2"/>
        <v>General Service &gt; 3000 to 4999 kW</v>
      </c>
      <c r="B51" s="318">
        <f>1.47+0.64</f>
        <v>2.11</v>
      </c>
    </row>
    <row r="52" spans="1:2" ht="12.75">
      <c r="A52" s="92">
        <f t="shared" si="2"/>
        <v>0</v>
      </c>
      <c r="B52" s="318"/>
    </row>
    <row r="53" spans="1:2" ht="12.75">
      <c r="A53" s="92" t="str">
        <f t="shared" si="2"/>
        <v>Sentinel Lights</v>
      </c>
      <c r="B53" s="318">
        <v>0.64</v>
      </c>
    </row>
    <row r="54" spans="1:2" ht="12.75">
      <c r="A54" s="92" t="str">
        <f t="shared" si="2"/>
        <v>Street Lighting</v>
      </c>
      <c r="B54" s="318">
        <v>0.64</v>
      </c>
    </row>
    <row r="55" spans="1:2" ht="12.75">
      <c r="A55" s="92" t="str">
        <f t="shared" si="2"/>
        <v>USL</v>
      </c>
      <c r="B55" s="318">
        <v>0.64</v>
      </c>
    </row>
    <row r="56" spans="1:2" ht="12.75">
      <c r="A56" s="92">
        <f t="shared" si="2"/>
        <v>0</v>
      </c>
      <c r="B56" s="318"/>
    </row>
    <row r="59" spans="1:5" s="8" customFormat="1" ht="18">
      <c r="A59" s="463" t="s">
        <v>223</v>
      </c>
      <c r="B59" s="463"/>
      <c r="C59" s="463"/>
      <c r="D59" s="463"/>
      <c r="E59" s="463"/>
    </row>
    <row r="60" spans="1:5" ht="13.5" thickBot="1">
      <c r="A60" s="464"/>
      <c r="B60" s="464"/>
      <c r="C60" s="464"/>
      <c r="D60" s="464"/>
      <c r="E60" s="464"/>
    </row>
    <row r="61" spans="1:5" ht="13.5" thickBot="1">
      <c r="A61" s="89" t="s">
        <v>0</v>
      </c>
      <c r="B61" s="465" t="s">
        <v>57</v>
      </c>
      <c r="C61" s="466"/>
      <c r="D61" s="465" t="s">
        <v>24</v>
      </c>
      <c r="E61" s="466"/>
    </row>
    <row r="62" spans="1:5" ht="12.75">
      <c r="A62" s="92" t="str">
        <f aca="true" t="shared" si="3" ref="A62:A70">A35</f>
        <v>Residential</v>
      </c>
      <c r="B62" s="461">
        <f aca="true" t="shared" si="4" ref="B62:B70">E8-B35</f>
        <v>0.0112</v>
      </c>
      <c r="C62" s="461"/>
      <c r="D62" s="461">
        <f aca="true" t="shared" si="5" ref="D62:D70">D8-D35</f>
        <v>0</v>
      </c>
      <c r="E62" s="461"/>
    </row>
    <row r="63" spans="1:5" ht="12.75">
      <c r="A63" s="92" t="str">
        <f t="shared" si="3"/>
        <v>GS &lt; 50 kW</v>
      </c>
      <c r="B63" s="461">
        <f t="shared" si="4"/>
        <v>0.0139</v>
      </c>
      <c r="C63" s="461"/>
      <c r="D63" s="461">
        <f t="shared" si="5"/>
        <v>0</v>
      </c>
      <c r="E63" s="461"/>
    </row>
    <row r="64" spans="1:5" ht="12.75">
      <c r="A64" s="92" t="str">
        <f t="shared" si="3"/>
        <v>GS &gt;50</v>
      </c>
      <c r="B64" s="461">
        <f t="shared" si="4"/>
        <v>0</v>
      </c>
      <c r="C64" s="461"/>
      <c r="D64" s="461">
        <f t="shared" si="5"/>
        <v>2.1783</v>
      </c>
      <c r="E64" s="461"/>
    </row>
    <row r="65" spans="1:5" ht="12.75">
      <c r="A65" s="92" t="str">
        <f t="shared" si="3"/>
        <v>General Service &gt; 3000 to 4999 kW</v>
      </c>
      <c r="B65" s="461">
        <f t="shared" si="4"/>
        <v>0</v>
      </c>
      <c r="C65" s="461"/>
      <c r="D65" s="461">
        <f t="shared" si="5"/>
        <v>0.7321</v>
      </c>
      <c r="E65" s="461"/>
    </row>
    <row r="66" spans="1:5" ht="12.75">
      <c r="A66" s="92">
        <f t="shared" si="3"/>
        <v>0</v>
      </c>
      <c r="B66" s="461">
        <f t="shared" si="4"/>
        <v>0</v>
      </c>
      <c r="C66" s="461"/>
      <c r="D66" s="461">
        <f t="shared" si="5"/>
        <v>0</v>
      </c>
      <c r="E66" s="461"/>
    </row>
    <row r="67" spans="1:5" ht="12.75">
      <c r="A67" s="92" t="str">
        <f t="shared" si="3"/>
        <v>Sentinel Lights</v>
      </c>
      <c r="B67" s="461">
        <f t="shared" si="4"/>
        <v>0</v>
      </c>
      <c r="C67" s="461"/>
      <c r="D67" s="461">
        <f t="shared" si="5"/>
        <v>6.9018</v>
      </c>
      <c r="E67" s="461"/>
    </row>
    <row r="68" spans="1:5" ht="12.75">
      <c r="A68" s="92" t="str">
        <f t="shared" si="3"/>
        <v>Street Lighting</v>
      </c>
      <c r="B68" s="461">
        <f t="shared" si="4"/>
        <v>0</v>
      </c>
      <c r="C68" s="461"/>
      <c r="D68" s="461">
        <f t="shared" si="5"/>
        <v>2.357</v>
      </c>
      <c r="E68" s="461"/>
    </row>
    <row r="69" spans="1:5" ht="12.75">
      <c r="A69" s="92" t="str">
        <f t="shared" si="3"/>
        <v>USL</v>
      </c>
      <c r="B69" s="461">
        <f t="shared" si="4"/>
        <v>0.0139</v>
      </c>
      <c r="C69" s="461"/>
      <c r="D69" s="461">
        <f t="shared" si="5"/>
        <v>0</v>
      </c>
      <c r="E69" s="461"/>
    </row>
    <row r="70" spans="1:5" ht="12.75">
      <c r="A70" s="92">
        <f t="shared" si="3"/>
        <v>0</v>
      </c>
      <c r="B70" s="461">
        <f t="shared" si="4"/>
        <v>0</v>
      </c>
      <c r="C70" s="461"/>
      <c r="D70" s="461">
        <f t="shared" si="5"/>
        <v>0</v>
      </c>
      <c r="E70" s="461"/>
    </row>
    <row r="71" spans="1:5" ht="12.75">
      <c r="A71" s="92" t="str">
        <f>A17</f>
        <v>Transformer Allowance</v>
      </c>
      <c r="B71" s="461">
        <f>E31-B58</f>
        <v>0</v>
      </c>
      <c r="C71" s="461"/>
      <c r="D71" s="461">
        <f>D17</f>
        <v>0</v>
      </c>
      <c r="E71" s="461"/>
    </row>
  </sheetData>
  <mergeCells count="78">
    <mergeCell ref="A45:E45"/>
    <mergeCell ref="A46:E46"/>
    <mergeCell ref="A5:E5"/>
    <mergeCell ref="A19:E19"/>
    <mergeCell ref="A32:E32"/>
    <mergeCell ref="B34:C34"/>
    <mergeCell ref="D34:E34"/>
    <mergeCell ref="D21:E21"/>
    <mergeCell ref="B21:C21"/>
    <mergeCell ref="A6:E6"/>
    <mergeCell ref="A18:E18"/>
    <mergeCell ref="A20:E20"/>
    <mergeCell ref="A1:E1"/>
    <mergeCell ref="A2:E2"/>
    <mergeCell ref="A3:E3"/>
    <mergeCell ref="A4:E4"/>
    <mergeCell ref="B22:C22"/>
    <mergeCell ref="B23:C23"/>
    <mergeCell ref="B24:C24"/>
    <mergeCell ref="B26:C26"/>
    <mergeCell ref="B25:C25"/>
    <mergeCell ref="B27:C27"/>
    <mergeCell ref="B28:C28"/>
    <mergeCell ref="B29:C29"/>
    <mergeCell ref="B30:C30"/>
    <mergeCell ref="D22:E22"/>
    <mergeCell ref="D23:E23"/>
    <mergeCell ref="D24:E24"/>
    <mergeCell ref="D26:E26"/>
    <mergeCell ref="D25:E25"/>
    <mergeCell ref="D35:E35"/>
    <mergeCell ref="D36:E36"/>
    <mergeCell ref="D37:E37"/>
    <mergeCell ref="D27:E27"/>
    <mergeCell ref="D28:E28"/>
    <mergeCell ref="D29:E29"/>
    <mergeCell ref="D30:E30"/>
    <mergeCell ref="B41:C41"/>
    <mergeCell ref="B42:C42"/>
    <mergeCell ref="D39:E39"/>
    <mergeCell ref="D40:E40"/>
    <mergeCell ref="D41:E41"/>
    <mergeCell ref="B43:C43"/>
    <mergeCell ref="A31:E31"/>
    <mergeCell ref="A33:E33"/>
    <mergeCell ref="D42:E42"/>
    <mergeCell ref="D43:E43"/>
    <mergeCell ref="B35:C35"/>
    <mergeCell ref="B36:C36"/>
    <mergeCell ref="B37:C37"/>
    <mergeCell ref="B39:C39"/>
    <mergeCell ref="B40:C40"/>
    <mergeCell ref="A59:E59"/>
    <mergeCell ref="A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6:C66"/>
    <mergeCell ref="D66:E66"/>
    <mergeCell ref="B67:C67"/>
    <mergeCell ref="D67:E67"/>
    <mergeCell ref="B68:C68"/>
    <mergeCell ref="D68:E68"/>
    <mergeCell ref="B71:C71"/>
    <mergeCell ref="D71:E71"/>
    <mergeCell ref="B38:C38"/>
    <mergeCell ref="D38:E38"/>
    <mergeCell ref="B65:C65"/>
    <mergeCell ref="D65:E65"/>
    <mergeCell ref="B69:C69"/>
    <mergeCell ref="D69:E69"/>
    <mergeCell ref="B70:C70"/>
    <mergeCell ref="D70:E70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33.140625" style="0" bestFit="1" customWidth="1"/>
    <col min="2" max="2" width="16.140625" style="0" customWidth="1"/>
    <col min="3" max="3" width="12.7109375" style="0" customWidth="1"/>
    <col min="4" max="4" width="13.28125" style="0" customWidth="1"/>
    <col min="5" max="6" width="13.00390625" style="0" customWidth="1"/>
    <col min="7" max="11" width="14.7109375" style="0" customWidth="1"/>
    <col min="12" max="12" width="17.57421875" style="0" customWidth="1"/>
    <col min="13" max="13" width="15.00390625" style="0" customWidth="1"/>
  </cols>
  <sheetData>
    <row r="1" spans="1:12" ht="12.75">
      <c r="A1" s="449" t="str">
        <f>+'Revenue Input'!A1</f>
        <v>North Bay Hydro Distribution Ltd.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12" ht="12.75">
      <c r="A2" s="449" t="str">
        <f>+'Revenue Input'!A2</f>
        <v>License Number ED-2003-0024, File Number EB-2009-0270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ht="12.75">
      <c r="A3" s="449">
        <f>+'Revenue Input'!A3</f>
        <v>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ht="12.75">
      <c r="A4" s="450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</row>
    <row r="5" spans="1:12" ht="18" customHeight="1">
      <c r="A5" s="463" t="s">
        <v>210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</row>
    <row r="6" spans="1:12" ht="18" customHeight="1">
      <c r="A6" s="463" t="s">
        <v>29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</row>
    <row r="7" spans="1:12" ht="18" customHeight="1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</row>
    <row r="8" spans="1:11" s="2" customFormat="1" ht="38.25">
      <c r="A8" s="93" t="s">
        <v>25</v>
      </c>
      <c r="B8" s="93" t="s">
        <v>8</v>
      </c>
      <c r="C8" s="93" t="s">
        <v>9</v>
      </c>
      <c r="D8" s="93" t="s">
        <v>11</v>
      </c>
      <c r="E8" s="93" t="s">
        <v>28</v>
      </c>
      <c r="F8" s="93" t="s">
        <v>12</v>
      </c>
      <c r="G8" s="93" t="s">
        <v>13</v>
      </c>
      <c r="H8" s="93" t="s">
        <v>200</v>
      </c>
      <c r="I8" s="93" t="s">
        <v>7</v>
      </c>
      <c r="J8" s="93" t="s">
        <v>201</v>
      </c>
      <c r="K8" s="93" t="s">
        <v>131</v>
      </c>
    </row>
    <row r="9" spans="1:11" ht="18" customHeight="1">
      <c r="A9" s="92" t="str">
        <f>'Cost Allocation Study'!A7</f>
        <v>Residential</v>
      </c>
      <c r="B9" s="99">
        <f>+'Forecast Data For 2010'!$G$8</f>
        <v>214191102.73851258</v>
      </c>
      <c r="C9" s="99"/>
      <c r="D9" s="99">
        <f>+'Forecast Data For 2010'!$G$7*12</f>
        <v>252909.09002158567</v>
      </c>
      <c r="E9" s="99"/>
      <c r="F9" s="99">
        <f>+D9*'2009 Existing Rates'!$C$8</f>
        <v>3168950.8979704683</v>
      </c>
      <c r="G9" s="99">
        <f>+B9*'2009 Existing Rates'!$B$62</f>
        <v>2398940.3506713407</v>
      </c>
      <c r="H9" s="99">
        <f aca="true" t="shared" si="0" ref="H9:H17">+F9+G9</f>
        <v>5567891.248641809</v>
      </c>
      <c r="I9" s="99"/>
      <c r="J9" s="99">
        <f>H9-I9</f>
        <v>5567891.248641809</v>
      </c>
      <c r="K9" s="100">
        <f>+J9/$J$18</f>
        <v>0.5579850888507236</v>
      </c>
    </row>
    <row r="10" spans="1:11" ht="18" customHeight="1">
      <c r="A10" s="92" t="str">
        <f>'Cost Allocation Study'!A8</f>
        <v>GS &lt; 50 kW</v>
      </c>
      <c r="B10" s="99">
        <f>+'Forecast Data For 2010'!$G$10</f>
        <v>84727250.46692923</v>
      </c>
      <c r="C10" s="99"/>
      <c r="D10" s="99">
        <f>+'Forecast Data For 2010'!$G$9*12</f>
        <v>31747.344694673113</v>
      </c>
      <c r="E10" s="99"/>
      <c r="F10" s="99">
        <f>+D10*'2009 Existing Rates'!$C$9</f>
        <v>688917.3798744065</v>
      </c>
      <c r="G10" s="99">
        <f>+B10*'2009 Existing Rates'!$B$63</f>
        <v>1177708.7814903161</v>
      </c>
      <c r="H10" s="99">
        <f t="shared" si="0"/>
        <v>1866626.1613647225</v>
      </c>
      <c r="I10" s="99"/>
      <c r="J10" s="99">
        <f aca="true" t="shared" si="1" ref="J10:J17">H10-I10</f>
        <v>1866626.1613647225</v>
      </c>
      <c r="K10" s="100">
        <f aca="true" t="shared" si="2" ref="K10:K17">+J10/$J$18</f>
        <v>0.1870635610482241</v>
      </c>
    </row>
    <row r="11" spans="1:11" ht="18" customHeight="1">
      <c r="A11" s="92" t="str">
        <f>'Cost Allocation Study'!A9</f>
        <v>GS &gt;50</v>
      </c>
      <c r="B11" s="99">
        <f>+'Forecast Data For 2010'!$G$13</f>
        <v>220909972.8728767</v>
      </c>
      <c r="C11" s="99">
        <f>+'Forecast Data For 2010'!$G$12</f>
        <v>636801.6337217108</v>
      </c>
      <c r="D11" s="99">
        <f>+'Forecast Data For 2010'!$G$11*12</f>
        <v>3442.167320605018</v>
      </c>
      <c r="E11" s="99"/>
      <c r="F11" s="99">
        <f>+D11*'2009 Existing Rates'!$C$10</f>
        <v>1071890.9036364027</v>
      </c>
      <c r="G11" s="99">
        <f>+C11*'2009 Existing Rates'!$D$64</f>
        <v>1387144.9987360027</v>
      </c>
      <c r="H11" s="99">
        <f t="shared" si="0"/>
        <v>2459035.9023724054</v>
      </c>
      <c r="I11" s="99">
        <f>-'Transformer Allowance'!C12</f>
        <v>58776.98522839338</v>
      </c>
      <c r="J11" s="99">
        <f t="shared" si="1"/>
        <v>2400258.917144012</v>
      </c>
      <c r="K11" s="100">
        <f t="shared" si="2"/>
        <v>0.24054145911597044</v>
      </c>
    </row>
    <row r="12" spans="1:11" ht="18" customHeight="1">
      <c r="A12" s="92" t="str">
        <f>'Cost Allocation Study'!A10</f>
        <v>General Service &gt; 3000 to 4999 kW</v>
      </c>
      <c r="B12" s="99">
        <f>'Forecast Data For 2010'!G16</f>
        <v>40318944.44489014</v>
      </c>
      <c r="C12" s="99">
        <f>'Forecast Data For 2010'!G15</f>
        <v>77038.35795267772</v>
      </c>
      <c r="D12" s="99">
        <f>'Forecast Data For 2010'!G14*12</f>
        <v>22.255144032921805</v>
      </c>
      <c r="E12" s="99"/>
      <c r="F12" s="99">
        <f>+D12*'2009 Existing Rates'!$C$11</f>
        <v>53396.544526748956</v>
      </c>
      <c r="G12" s="99">
        <f>+C12*'2009 Existing Rates'!$D$65</f>
        <v>56399.78185715536</v>
      </c>
      <c r="H12" s="99">
        <f t="shared" si="0"/>
        <v>109796.32638390432</v>
      </c>
      <c r="I12" s="99">
        <f>-'Transformer Allowance'!C13</f>
        <v>46223.01477160663</v>
      </c>
      <c r="J12" s="99">
        <f t="shared" si="1"/>
        <v>63573.31161229769</v>
      </c>
      <c r="K12" s="100">
        <f t="shared" si="2"/>
        <v>0.006370986491012317</v>
      </c>
    </row>
    <row r="13" spans="1:11" ht="18" customHeight="1">
      <c r="A13" s="92">
        <f>'Cost Allocation Study'!A11</f>
        <v>0</v>
      </c>
      <c r="B13" s="99">
        <f>+'Forecast Data For 2010'!$G$19</f>
        <v>0</v>
      </c>
      <c r="C13" s="99">
        <f>+'Forecast Data For 2010'!$G$18</f>
        <v>0</v>
      </c>
      <c r="D13" s="99">
        <f>+'Forecast Data For 2010'!$G$17*12</f>
        <v>0</v>
      </c>
      <c r="E13" s="99"/>
      <c r="F13" s="99">
        <f>+D13*'2009 Existing Rates'!$C$12</f>
        <v>0</v>
      </c>
      <c r="G13" s="99">
        <f>+C13*'2009 Existing Rates'!$D$66</f>
        <v>0</v>
      </c>
      <c r="H13" s="99">
        <f t="shared" si="0"/>
        <v>0</v>
      </c>
      <c r="I13" s="99">
        <f>-'Transformer Allowance'!C14</f>
        <v>0</v>
      </c>
      <c r="J13" s="99">
        <f t="shared" si="1"/>
        <v>0</v>
      </c>
      <c r="K13" s="100">
        <f t="shared" si="2"/>
        <v>0</v>
      </c>
    </row>
    <row r="14" spans="1:11" ht="18" customHeight="1">
      <c r="A14" s="92" t="str">
        <f>'Cost Allocation Study'!A12</f>
        <v>Sentinel Lights</v>
      </c>
      <c r="B14" s="99">
        <f>+'Forecast Data For 2010'!$G$22</f>
        <v>516492.54654111207</v>
      </c>
      <c r="C14" s="99">
        <f>+'Forecast Data For 2010'!$G$21</f>
        <v>1410.8624183098857</v>
      </c>
      <c r="D14" s="99"/>
      <c r="E14" s="99">
        <f>+'Forecast Data For 2010'!$G$20*12</f>
        <v>6136.445310360212</v>
      </c>
      <c r="F14" s="99">
        <f>+E14*'2009 Existing Rates'!$B$13</f>
        <v>12150.161714513219</v>
      </c>
      <c r="G14" s="99">
        <f>+C14*'2009 Existing Rates'!$D$67</f>
        <v>9737.490238691169</v>
      </c>
      <c r="H14" s="99">
        <f t="shared" si="0"/>
        <v>21887.65195320439</v>
      </c>
      <c r="I14" s="99"/>
      <c r="J14" s="99">
        <f t="shared" si="1"/>
        <v>21887.65195320439</v>
      </c>
      <c r="K14" s="100">
        <f t="shared" si="2"/>
        <v>0.002193466588059099</v>
      </c>
    </row>
    <row r="15" spans="1:11" ht="18" customHeight="1">
      <c r="A15" s="92" t="str">
        <f>'Cost Allocation Study'!A13</f>
        <v>Street Lighting</v>
      </c>
      <c r="B15" s="99">
        <f>+'Forecast Data For 2010'!$G$25</f>
        <v>2737123.215383171</v>
      </c>
      <c r="C15" s="99">
        <f>+'Forecast Data For 2010'!$G$24</f>
        <v>7702.034866145907</v>
      </c>
      <c r="D15" s="99"/>
      <c r="E15" s="99">
        <f>+'Forecast Data For 2010'!$G$23*12</f>
        <v>68179.7355707735</v>
      </c>
      <c r="F15" s="99">
        <f>+E15*'2009 Existing Rates'!$B$14</f>
        <v>29999.08365114034</v>
      </c>
      <c r="G15" s="99">
        <f>+C15*'2009 Existing Rates'!$D$68</f>
        <v>18153.696179505903</v>
      </c>
      <c r="H15" s="99">
        <f t="shared" si="0"/>
        <v>48152.77983064624</v>
      </c>
      <c r="I15" s="99"/>
      <c r="J15" s="99">
        <f t="shared" si="1"/>
        <v>48152.77983064624</v>
      </c>
      <c r="K15" s="100">
        <f t="shared" si="2"/>
        <v>0.004825621035390479</v>
      </c>
    </row>
    <row r="16" spans="1:11" ht="18" customHeight="1">
      <c r="A16" s="92" t="str">
        <f>'Cost Allocation Study'!A14</f>
        <v>USL</v>
      </c>
      <c r="B16" s="99">
        <f>+'Forecast Data For 2010'!$G$27</f>
        <v>337792.11077915505</v>
      </c>
      <c r="C16" s="99"/>
      <c r="D16" s="99">
        <f>'Forecast Data For 2010'!$G$26*12</f>
        <v>252</v>
      </c>
      <c r="E16" s="99"/>
      <c r="F16" s="99">
        <f>+D16*'2009 Existing Rates'!$C$15</f>
        <v>5481</v>
      </c>
      <c r="G16" s="99">
        <f>+B16*'2009 Existing Rates'!$B$69</f>
        <v>4695.310339830255</v>
      </c>
      <c r="H16" s="99">
        <f t="shared" si="0"/>
        <v>10176.310339830256</v>
      </c>
      <c r="I16" s="99"/>
      <c r="J16" s="99">
        <f t="shared" si="1"/>
        <v>10176.310339830256</v>
      </c>
      <c r="K16" s="100">
        <f t="shared" si="2"/>
        <v>0.0010198168706200626</v>
      </c>
    </row>
    <row r="17" spans="1:11" ht="18" customHeight="1">
      <c r="A17" s="92">
        <f>'Cost Allocation Study'!A15</f>
        <v>0</v>
      </c>
      <c r="B17" s="99">
        <v>0</v>
      </c>
      <c r="C17" s="99">
        <f>+'Forecast Data For 2010'!$G$29</f>
        <v>0</v>
      </c>
      <c r="D17" s="99">
        <f>'Forecast Data For 2010'!G28*12</f>
        <v>0</v>
      </c>
      <c r="E17" s="99"/>
      <c r="F17" s="99">
        <v>0</v>
      </c>
      <c r="G17" s="99">
        <f>+C17*'2009 Existing Rates'!$D$70</f>
        <v>0</v>
      </c>
      <c r="H17" s="99">
        <f t="shared" si="0"/>
        <v>0</v>
      </c>
      <c r="I17" s="99"/>
      <c r="J17" s="99">
        <f t="shared" si="1"/>
        <v>0</v>
      </c>
      <c r="K17" s="100">
        <f t="shared" si="2"/>
        <v>0</v>
      </c>
    </row>
    <row r="18" spans="1:11" ht="18" customHeight="1" thickBot="1">
      <c r="A18" s="8"/>
      <c r="B18" s="320">
        <f aca="true" t="shared" si="3" ref="B18:K18">SUM(B9:B17)</f>
        <v>563738678.395912</v>
      </c>
      <c r="C18" s="320">
        <f t="shared" si="3"/>
        <v>722952.8889588444</v>
      </c>
      <c r="D18" s="320">
        <f t="shared" si="3"/>
        <v>288372.85718089674</v>
      </c>
      <c r="E18" s="320">
        <f t="shared" si="3"/>
        <v>74316.18088113371</v>
      </c>
      <c r="F18" s="320">
        <f t="shared" si="3"/>
        <v>5030785.97137368</v>
      </c>
      <c r="G18" s="320">
        <f t="shared" si="3"/>
        <v>5052780.409512841</v>
      </c>
      <c r="H18" s="320">
        <f t="shared" si="3"/>
        <v>10083566.380886521</v>
      </c>
      <c r="I18" s="320">
        <f t="shared" si="3"/>
        <v>105000</v>
      </c>
      <c r="J18" s="320">
        <f t="shared" si="3"/>
        <v>9978566.380886521</v>
      </c>
      <c r="K18" s="101">
        <f t="shared" si="3"/>
        <v>1.0000000000000002</v>
      </c>
    </row>
    <row r="19" ht="13.5" thickTop="1">
      <c r="J19" s="1"/>
    </row>
    <row r="20" spans="6:12" ht="12.75">
      <c r="F20" s="531"/>
      <c r="G20" s="531"/>
      <c r="H20" s="532"/>
      <c r="K20" s="23"/>
      <c r="L20" s="23"/>
    </row>
    <row r="21" spans="6:12" ht="12.75">
      <c r="F21" s="531"/>
      <c r="G21" s="533"/>
      <c r="H21" s="532"/>
      <c r="K21" s="1"/>
      <c r="L21" s="1"/>
    </row>
    <row r="22" spans="6:12" ht="12.75">
      <c r="F22" s="534"/>
      <c r="G22" s="535"/>
      <c r="H22" s="532"/>
      <c r="K22" s="56"/>
      <c r="L22" s="56"/>
    </row>
    <row r="23" spans="6:8" ht="12.75">
      <c r="F23" s="536"/>
      <c r="G23" s="536"/>
      <c r="H23" s="537"/>
    </row>
    <row r="24" spans="6:8" ht="12.75">
      <c r="F24" s="26"/>
      <c r="G24" s="26"/>
      <c r="H24" s="532"/>
    </row>
    <row r="25" spans="6:8" ht="12.75">
      <c r="F25" s="26"/>
      <c r="G25" s="26"/>
      <c r="H25" s="532"/>
    </row>
    <row r="26" spans="6:9" ht="12.75">
      <c r="F26" s="536"/>
      <c r="G26" s="536"/>
      <c r="H26" s="537"/>
      <c r="I26" s="402"/>
    </row>
    <row r="27" spans="6:10" ht="12.75">
      <c r="F27" s="26"/>
      <c r="G27" s="26"/>
      <c r="H27" s="26"/>
      <c r="J27" s="1"/>
    </row>
    <row r="28" spans="6:10" ht="12.75">
      <c r="F28" s="26"/>
      <c r="G28" s="26"/>
      <c r="H28" s="532"/>
      <c r="J28" s="1"/>
    </row>
    <row r="29" spans="6:10" ht="12.75">
      <c r="F29" s="26"/>
      <c r="G29" s="26"/>
      <c r="H29" s="538"/>
      <c r="J29" s="1"/>
    </row>
    <row r="30" spans="6:10" ht="12.75">
      <c r="F30" s="26"/>
      <c r="G30" s="26"/>
      <c r="H30" s="26"/>
      <c r="J30" s="1"/>
    </row>
  </sheetData>
  <mergeCells count="7">
    <mergeCell ref="A7:L7"/>
    <mergeCell ref="A5:L5"/>
    <mergeCell ref="A6:L6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355" verticalDpi="355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3.140625" style="0" bestFit="1" customWidth="1"/>
    <col min="2" max="2" width="15.8515625" style="363" customWidth="1"/>
    <col min="3" max="3" width="16.140625" style="0" customWidth="1"/>
    <col min="4" max="4" width="20.421875" style="0" customWidth="1"/>
    <col min="5" max="5" width="17.57421875" style="0" customWidth="1"/>
    <col min="6" max="6" width="17.8515625" style="0" customWidth="1"/>
    <col min="7" max="8" width="15.7109375" style="0" customWidth="1"/>
    <col min="9" max="9" width="16.7109375" style="0" bestFit="1" customWidth="1"/>
    <col min="10" max="10" width="14.421875" style="0" customWidth="1"/>
    <col min="11" max="11" width="13.8515625" style="0" customWidth="1"/>
    <col min="12" max="12" width="15.00390625" style="0" customWidth="1"/>
    <col min="13" max="13" width="13.28125" style="0" customWidth="1"/>
  </cols>
  <sheetData>
    <row r="1" spans="1:13" ht="12.75">
      <c r="A1" s="442" t="str">
        <f>+'Revenue Input'!A1</f>
        <v>North Bay Hydro Distribution Ltd.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12.75">
      <c r="A2" s="442" t="str">
        <f>+'Revenue Input'!A2</f>
        <v>License Number ED-2003-0024, File Number EB-2009-0270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ht="12.75">
      <c r="A3" s="442">
        <f>+'Revenue Input'!A3</f>
        <v>0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4" spans="1:13" s="8" customFormat="1" ht="10.5" customHeight="1">
      <c r="A4" s="450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</row>
    <row r="5" spans="1:14" ht="36" customHeight="1">
      <c r="A5" s="475" t="s">
        <v>193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N5" s="315"/>
    </row>
    <row r="6" spans="1:13" ht="76.5">
      <c r="A6" s="88" t="s">
        <v>25</v>
      </c>
      <c r="B6" s="359" t="s">
        <v>129</v>
      </c>
      <c r="C6" s="93" t="s">
        <v>228</v>
      </c>
      <c r="D6" s="93" t="s">
        <v>229</v>
      </c>
      <c r="E6" s="93" t="s">
        <v>231</v>
      </c>
      <c r="F6" s="93" t="s">
        <v>232</v>
      </c>
      <c r="G6" s="93" t="s">
        <v>263</v>
      </c>
      <c r="H6" s="93" t="s">
        <v>233</v>
      </c>
      <c r="I6" s="93" t="s">
        <v>234</v>
      </c>
      <c r="J6" s="93" t="s">
        <v>235</v>
      </c>
      <c r="K6" s="93" t="s">
        <v>236</v>
      </c>
      <c r="L6" s="473" t="s">
        <v>246</v>
      </c>
      <c r="M6" s="474"/>
    </row>
    <row r="7" spans="1:13" ht="18" customHeight="1">
      <c r="A7" s="92" t="str">
        <f>'2009 Existing Rates'!A8</f>
        <v>Residential</v>
      </c>
      <c r="B7" s="360">
        <v>7221987.26666123</v>
      </c>
      <c r="C7" s="319">
        <f>'2010 Test Yr On Existing Rates'!K9*'Cost Allocation Study'!$C$16</f>
        <v>6594065.630100962</v>
      </c>
      <c r="D7" s="319">
        <v>534107.4114772339</v>
      </c>
      <c r="E7" s="364">
        <f>C7+D7</f>
        <v>7128173.041578196</v>
      </c>
      <c r="F7" s="365">
        <f>E7/B7</f>
        <v>0.9870099154679894</v>
      </c>
      <c r="G7" s="366">
        <v>0.9870099154679892</v>
      </c>
      <c r="H7" s="371">
        <f>F7</f>
        <v>0.9870099154679894</v>
      </c>
      <c r="I7" s="128">
        <f aca="true" t="shared" si="0" ref="I7:I14">B7*H7</f>
        <v>7128173.041578196</v>
      </c>
      <c r="J7" s="128">
        <f aca="true" t="shared" si="1" ref="J7:J14">D7</f>
        <v>534107.4114772339</v>
      </c>
      <c r="K7" s="364">
        <f aca="true" t="shared" si="2" ref="K7:K15">I7-J7</f>
        <v>6594065.630100962</v>
      </c>
      <c r="L7" s="377">
        <v>0.85</v>
      </c>
      <c r="M7" s="377">
        <v>1.15</v>
      </c>
    </row>
    <row r="8" spans="1:13" ht="18" customHeight="1">
      <c r="A8" s="92" t="str">
        <f>'2009 Existing Rates'!A9</f>
        <v>GS &lt; 50 kW</v>
      </c>
      <c r="B8" s="361">
        <v>2096668.4112853575</v>
      </c>
      <c r="C8" s="319">
        <f>'2010 Test Yr On Existing Rates'!K10*'Cost Allocation Study'!$C$16</f>
        <v>2210649.3940421147</v>
      </c>
      <c r="D8" s="319">
        <v>153677.44987151187</v>
      </c>
      <c r="E8" s="364">
        <f aca="true" t="shared" si="3" ref="E8:E15">C8+D8</f>
        <v>2364326.8439136264</v>
      </c>
      <c r="F8" s="365">
        <f aca="true" t="shared" si="4" ref="F8:F14">E8/B8</f>
        <v>1.1276589236464822</v>
      </c>
      <c r="G8" s="366">
        <v>1.1276589236464822</v>
      </c>
      <c r="H8" s="371">
        <f>G8</f>
        <v>1.1276589236464822</v>
      </c>
      <c r="I8" s="128">
        <f t="shared" si="0"/>
        <v>2364326.8439136264</v>
      </c>
      <c r="J8" s="128">
        <f t="shared" si="1"/>
        <v>153677.44987151187</v>
      </c>
      <c r="K8" s="364">
        <f t="shared" si="2"/>
        <v>2210649.3940421147</v>
      </c>
      <c r="L8" s="377">
        <v>0.8</v>
      </c>
      <c r="M8" s="377">
        <v>1.2</v>
      </c>
    </row>
    <row r="9" spans="1:13" ht="18" customHeight="1">
      <c r="A9" s="92" t="str">
        <f>'2009 Existing Rates'!A10</f>
        <v>GS &gt;50</v>
      </c>
      <c r="B9" s="361">
        <v>2208658.983955225</v>
      </c>
      <c r="C9" s="319">
        <f>'2010 Test Yr On Existing Rates'!K11*'Cost Allocation Study'!$C$16</f>
        <v>2842631.819136827</v>
      </c>
      <c r="D9" s="319">
        <v>103342.83956486176</v>
      </c>
      <c r="E9" s="364">
        <f t="shared" si="3"/>
        <v>2945974.6587016885</v>
      </c>
      <c r="F9" s="365">
        <f t="shared" si="4"/>
        <v>1.3338295681237728</v>
      </c>
      <c r="G9" s="366">
        <v>1.3338295681237728</v>
      </c>
      <c r="H9" s="371">
        <f>(E16-I7-I8-I10-I12-I13-I14)/B9</f>
        <v>1.1976789696417012</v>
      </c>
      <c r="I9" s="128">
        <f t="shared" si="0"/>
        <v>2645264.4161933805</v>
      </c>
      <c r="J9" s="128">
        <f t="shared" si="1"/>
        <v>103342.83956486176</v>
      </c>
      <c r="K9" s="364">
        <f t="shared" si="2"/>
        <v>2541921.5766285188</v>
      </c>
      <c r="L9" s="377">
        <v>0.8</v>
      </c>
      <c r="M9" s="377">
        <v>1.8</v>
      </c>
    </row>
    <row r="10" spans="1:13" ht="18" customHeight="1">
      <c r="A10" s="92" t="str">
        <f>'2009 Existing Rates'!A11</f>
        <v>General Service &gt; 3000 to 4999 kW</v>
      </c>
      <c r="B10" s="361">
        <v>227699.24427590182</v>
      </c>
      <c r="C10" s="319">
        <f>'2010 Test Yr On Existing Rates'!K12*'Cost Allocation Study'!$C$16</f>
        <v>75290.01023441483</v>
      </c>
      <c r="D10" s="319">
        <v>7249.667536169112</v>
      </c>
      <c r="E10" s="364">
        <f t="shared" si="3"/>
        <v>82539.67777058395</v>
      </c>
      <c r="F10" s="365">
        <f t="shared" si="4"/>
        <v>0.36249429827079754</v>
      </c>
      <c r="G10" s="366">
        <v>0.36249429827079754</v>
      </c>
      <c r="H10" s="371">
        <f>(G10+L10)/2</f>
        <v>0.5812471491353988</v>
      </c>
      <c r="I10" s="128">
        <f t="shared" si="0"/>
        <v>132349.5365956527</v>
      </c>
      <c r="J10" s="128">
        <f t="shared" si="1"/>
        <v>7249.667536169112</v>
      </c>
      <c r="K10" s="364">
        <f t="shared" si="2"/>
        <v>125099.86905948358</v>
      </c>
      <c r="L10" s="377">
        <v>0.8</v>
      </c>
      <c r="M10" s="377">
        <v>1.8</v>
      </c>
    </row>
    <row r="11" spans="1:13" ht="18" customHeight="1">
      <c r="A11" s="92">
        <f>'2009 Existing Rates'!A12</f>
        <v>0</v>
      </c>
      <c r="B11" s="361"/>
      <c r="C11" s="319">
        <f>'2010 Test Yr On Existing Rates'!K13*'Cost Allocation Study'!$C$16</f>
        <v>0</v>
      </c>
      <c r="D11" s="319">
        <f>B11-C11</f>
        <v>0</v>
      </c>
      <c r="E11" s="364">
        <f t="shared" si="3"/>
        <v>0</v>
      </c>
      <c r="F11" s="365"/>
      <c r="G11" s="366"/>
      <c r="H11" s="371"/>
      <c r="I11" s="128">
        <f t="shared" si="0"/>
        <v>0</v>
      </c>
      <c r="J11" s="128">
        <f t="shared" si="1"/>
        <v>0</v>
      </c>
      <c r="K11" s="364">
        <f t="shared" si="2"/>
        <v>0</v>
      </c>
      <c r="L11" s="377">
        <f>J11-K11</f>
        <v>0</v>
      </c>
      <c r="M11" s="377">
        <f>K11-L11</f>
        <v>0</v>
      </c>
    </row>
    <row r="12" spans="1:13" ht="18" customHeight="1">
      <c r="A12" s="92" t="str">
        <f>'2009 Existing Rates'!A13</f>
        <v>Sentinel Lights</v>
      </c>
      <c r="B12" s="361">
        <v>73455.55307635487</v>
      </c>
      <c r="C12" s="319">
        <f>'2010 Test Yr On Existing Rates'!K14*'Cost Allocation Study'!$C$16</f>
        <v>25921.59347642498</v>
      </c>
      <c r="D12" s="319">
        <v>2786.953384315504</v>
      </c>
      <c r="E12" s="364">
        <f t="shared" si="3"/>
        <v>28708.546860740484</v>
      </c>
      <c r="F12" s="365">
        <f t="shared" si="4"/>
        <v>0.3908288163169747</v>
      </c>
      <c r="G12" s="366">
        <v>0.39082881631697475</v>
      </c>
      <c r="H12" s="371">
        <f>(G12+L12)/2</f>
        <v>0.5454144081584873</v>
      </c>
      <c r="I12" s="128">
        <f>B12*H12</f>
        <v>40063.71700709444</v>
      </c>
      <c r="J12" s="128">
        <f t="shared" si="1"/>
        <v>2786.953384315504</v>
      </c>
      <c r="K12" s="364">
        <f t="shared" si="2"/>
        <v>37276.76362277893</v>
      </c>
      <c r="L12" s="377">
        <v>0.7</v>
      </c>
      <c r="M12" s="377">
        <v>1.2</v>
      </c>
    </row>
    <row r="13" spans="1:13" ht="18" customHeight="1">
      <c r="A13" s="92" t="str">
        <f>'2009 Existing Rates'!A14</f>
        <v>Street Lighting</v>
      </c>
      <c r="B13" s="361">
        <v>793059.4317653158</v>
      </c>
      <c r="C13" s="319">
        <f>'2010 Test Yr On Existing Rates'!K15*'Cost Allocation Study'!$C$16</f>
        <v>57027.44114345576</v>
      </c>
      <c r="D13" s="319">
        <v>22795.86101408339</v>
      </c>
      <c r="E13" s="364">
        <f t="shared" si="3"/>
        <v>79823.30215753915</v>
      </c>
      <c r="F13" s="365">
        <f t="shared" si="4"/>
        <v>0.1006523583987343</v>
      </c>
      <c r="G13" s="366">
        <v>0.1006523583987343</v>
      </c>
      <c r="H13" s="371">
        <f>(G13+L13)/2</f>
        <v>0.40032617919936714</v>
      </c>
      <c r="I13" s="128">
        <f t="shared" si="0"/>
        <v>317482.4521966301</v>
      </c>
      <c r="J13" s="128">
        <f t="shared" si="1"/>
        <v>22795.86101408339</v>
      </c>
      <c r="K13" s="364">
        <f t="shared" si="2"/>
        <v>294686.59118254675</v>
      </c>
      <c r="L13" s="377">
        <v>0.7</v>
      </c>
      <c r="M13" s="377">
        <v>1.2</v>
      </c>
    </row>
    <row r="14" spans="1:13" ht="18" customHeight="1">
      <c r="A14" s="92" t="str">
        <f>'2009 Existing Rates'!A15</f>
        <v>USL</v>
      </c>
      <c r="B14" s="361">
        <v>21225.2648370053</v>
      </c>
      <c r="C14" s="319">
        <f>'2010 Test Yr On Existing Rates'!K16*'Cost Allocation Study'!$C$16</f>
        <v>12051.826312068219</v>
      </c>
      <c r="D14" s="319">
        <v>1156.2585619492966</v>
      </c>
      <c r="E14" s="364">
        <f t="shared" si="3"/>
        <v>13208.084874017515</v>
      </c>
      <c r="F14" s="365">
        <f t="shared" si="4"/>
        <v>0.6222812754255866</v>
      </c>
      <c r="G14" s="366">
        <v>0.6222812754255866</v>
      </c>
      <c r="H14" s="371">
        <f>(G14+L14)/2</f>
        <v>0.7111406377127933</v>
      </c>
      <c r="I14" s="128">
        <f t="shared" si="0"/>
        <v>15094.148371810878</v>
      </c>
      <c r="J14" s="128">
        <f t="shared" si="1"/>
        <v>1156.2585619492966</v>
      </c>
      <c r="K14" s="364">
        <f t="shared" si="2"/>
        <v>13937.889809861581</v>
      </c>
      <c r="L14" s="377">
        <v>0.8</v>
      </c>
      <c r="M14" s="377">
        <v>1.2</v>
      </c>
    </row>
    <row r="15" spans="1:11" ht="18" customHeight="1">
      <c r="A15" s="92">
        <f>'2009 Existing Rates'!A16</f>
        <v>0</v>
      </c>
      <c r="B15" s="361"/>
      <c r="C15" s="319">
        <f>'2010 Test Yr On Existing Rates'!K17*'Cost Allocation Study'!$C$16</f>
        <v>0</v>
      </c>
      <c r="D15" s="319">
        <f>B15-C15</f>
        <v>0</v>
      </c>
      <c r="E15" s="364">
        <f t="shared" si="3"/>
        <v>0</v>
      </c>
      <c r="F15" s="365"/>
      <c r="G15" s="366"/>
      <c r="H15" s="370"/>
      <c r="I15" s="128"/>
      <c r="J15" s="128">
        <f>+F15-I15</f>
        <v>0</v>
      </c>
      <c r="K15" s="364">
        <f t="shared" si="2"/>
        <v>0</v>
      </c>
    </row>
    <row r="16" spans="1:11" ht="18" customHeight="1" thickBot="1">
      <c r="A16" s="94" t="s">
        <v>2</v>
      </c>
      <c r="B16" s="362">
        <f>SUM(B7:B15)</f>
        <v>12642754.15585639</v>
      </c>
      <c r="C16" s="95">
        <f>'Revenue Input'!B10</f>
        <v>11817637.714446265</v>
      </c>
      <c r="D16" s="95">
        <f>SUM(D7:D15)</f>
        <v>825116.4414101247</v>
      </c>
      <c r="E16" s="95">
        <f>SUM(E7:E15)</f>
        <v>12642754.155856391</v>
      </c>
      <c r="F16" s="365">
        <f>E16/B16</f>
        <v>1.0000000000000002</v>
      </c>
      <c r="G16" s="367">
        <v>1</v>
      </c>
      <c r="H16" s="96"/>
      <c r="I16" s="95">
        <f>SUM(I7:I15)</f>
        <v>12642754.15585639</v>
      </c>
      <c r="J16" s="95">
        <f>SUM(J7:J15)</f>
        <v>825116.4414101247</v>
      </c>
      <c r="K16" s="95">
        <f>SUM(K7:K15)</f>
        <v>11817637.714446269</v>
      </c>
    </row>
    <row r="17" ht="13.5" customHeight="1"/>
    <row r="18" spans="2:11" ht="12.75">
      <c r="B18" s="363">
        <f>'Revenue Input'!B8</f>
        <v>12642754.15585639</v>
      </c>
      <c r="K18" s="363">
        <f>'Revenue Input'!B10</f>
        <v>11817637.714446265</v>
      </c>
    </row>
    <row r="19" ht="12.75">
      <c r="H19" s="380"/>
    </row>
    <row r="20" spans="2:12" ht="12.75">
      <c r="B20" s="369">
        <f>B16-B18</f>
        <v>0</v>
      </c>
      <c r="C20" t="s">
        <v>230</v>
      </c>
      <c r="H20" s="380"/>
      <c r="K20" s="369">
        <f>K16-K18</f>
        <v>0</v>
      </c>
      <c r="L20" t="s">
        <v>237</v>
      </c>
    </row>
    <row r="21" ht="12.75">
      <c r="H21" s="380"/>
    </row>
  </sheetData>
  <mergeCells count="6">
    <mergeCell ref="L6:M6"/>
    <mergeCell ref="A5:K5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355" verticalDpi="355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G33" sqref="F33:G33"/>
    </sheetView>
  </sheetViews>
  <sheetFormatPr defaultColWidth="9.140625" defaultRowHeight="12.75"/>
  <cols>
    <col min="1" max="1" width="32.7109375" style="0" bestFit="1" customWidth="1"/>
    <col min="2" max="2" width="18.57421875" style="368" bestFit="1" customWidth="1"/>
    <col min="3" max="3" width="14.8515625" style="0" bestFit="1" customWidth="1"/>
    <col min="4" max="4" width="14.00390625" style="0" customWidth="1"/>
    <col min="5" max="5" width="19.28125" style="0" customWidth="1"/>
    <col min="6" max="6" width="15.140625" style="0" customWidth="1"/>
    <col min="7" max="7" width="15.00390625" style="0" customWidth="1"/>
    <col min="8" max="8" width="13.140625" style="0" bestFit="1" customWidth="1"/>
    <col min="9" max="9" width="14.140625" style="0" bestFit="1" customWidth="1"/>
    <col min="10" max="10" width="11.421875" style="0" bestFit="1" customWidth="1"/>
    <col min="11" max="11" width="14.140625" style="0" bestFit="1" customWidth="1"/>
  </cols>
  <sheetData>
    <row r="1" spans="1:11" ht="12.75">
      <c r="A1" s="443" t="str">
        <f>+'Revenue Input'!A1</f>
        <v>North Bay Hydro Distribution Ltd.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2.75">
      <c r="A2" s="443" t="str">
        <f>+'Revenue Input'!A2</f>
        <v>License Number ED-2003-0024, File Number EB-2009-0270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2.75">
      <c r="A3" s="443">
        <f>+'Revenue Input'!A3</f>
        <v>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12.75">
      <c r="A4" s="450"/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1" ht="15.75">
      <c r="A5" s="445" t="s">
        <v>211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</row>
    <row r="6" spans="1:11" ht="12.75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</row>
    <row r="7" spans="1:11" ht="38.25">
      <c r="A7" s="93" t="s">
        <v>0</v>
      </c>
      <c r="B7" s="359" t="s">
        <v>151</v>
      </c>
      <c r="C7" s="93" t="s">
        <v>132</v>
      </c>
      <c r="D7" s="93" t="s">
        <v>3</v>
      </c>
      <c r="E7" s="93" t="s">
        <v>4</v>
      </c>
      <c r="F7" s="93" t="s">
        <v>5</v>
      </c>
      <c r="G7" s="93" t="s">
        <v>6</v>
      </c>
      <c r="H7" s="93" t="s">
        <v>7</v>
      </c>
      <c r="I7" s="93" t="s">
        <v>152</v>
      </c>
      <c r="J7" s="93" t="s">
        <v>43</v>
      </c>
      <c r="K7" s="93" t="s">
        <v>42</v>
      </c>
    </row>
    <row r="8" spans="1:11" ht="18" customHeight="1">
      <c r="A8" s="110" t="str">
        <f>'Cost Allocation Study'!A7</f>
        <v>Residential</v>
      </c>
      <c r="B8" s="128">
        <f>'Cost Allocation Study'!K7</f>
        <v>6594065.630100962</v>
      </c>
      <c r="C8" s="97">
        <f aca="true" t="shared" si="0" ref="C8:C16">+B8/$B$17</f>
        <v>0.5579850888507234</v>
      </c>
      <c r="D8" s="118">
        <f>E26</f>
        <v>14.839306059600153</v>
      </c>
      <c r="E8" s="111">
        <f>+G8/'Forecast Data For 2010'!G8</f>
        <v>0.013264184187352089</v>
      </c>
      <c r="F8" s="112">
        <f>+D8*'Forecast Data For 2010'!G7*12</f>
        <v>3752995.3920852765</v>
      </c>
      <c r="G8" s="112">
        <f>+B8-F8</f>
        <v>2841070.238015685</v>
      </c>
      <c r="H8" s="113"/>
      <c r="I8" s="334">
        <f>+F8+G8+H8</f>
        <v>6594065.630100962</v>
      </c>
      <c r="J8" s="334">
        <f>+'Allocation Low Voltage Costs'!F8</f>
        <v>8425.053598378881</v>
      </c>
      <c r="K8" s="334">
        <f>+I8+J8</f>
        <v>6602490.683699341</v>
      </c>
    </row>
    <row r="9" spans="1:11" ht="18" customHeight="1">
      <c r="A9" s="110" t="str">
        <f>'Cost Allocation Study'!A8</f>
        <v>GS &lt; 50 kW</v>
      </c>
      <c r="B9" s="128">
        <f>'Cost Allocation Study'!K8</f>
        <v>2210649.3940421147</v>
      </c>
      <c r="C9" s="97">
        <f t="shared" si="0"/>
        <v>0.18706356104822405</v>
      </c>
      <c r="D9" s="118">
        <f>E27</f>
        <v>25.699356862994673</v>
      </c>
      <c r="E9" s="111">
        <f>+G9/'Forecast Data For 2010'!G10</f>
        <v>0.01646180001823161</v>
      </c>
      <c r="F9" s="112">
        <f>+D9*'Forecast Data For 2010'!G9*12</f>
        <v>815886.3407609051</v>
      </c>
      <c r="G9" s="112">
        <f aca="true" t="shared" si="1" ref="G9:G16">+B9-F9</f>
        <v>1394763.0532812097</v>
      </c>
      <c r="H9" s="113"/>
      <c r="I9" s="334">
        <f aca="true" t="shared" si="2" ref="I9:I16">+F9+G9+H9</f>
        <v>2210649.3940421147</v>
      </c>
      <c r="J9" s="334">
        <f>+'Allocation Low Voltage Costs'!F9</f>
        <v>2978.1446733555763</v>
      </c>
      <c r="K9" s="334">
        <f aca="true" t="shared" si="3" ref="K9:K15">+I9+J9</f>
        <v>2213627.53871547</v>
      </c>
    </row>
    <row r="10" spans="1:11" ht="18" customHeight="1">
      <c r="A10" s="110" t="str">
        <f>'Cost Allocation Study'!A9</f>
        <v>GS &gt;50</v>
      </c>
      <c r="B10" s="128">
        <f>'Cost Allocation Study'!K9</f>
        <v>2541921.5766285188</v>
      </c>
      <c r="C10" s="97">
        <f t="shared" si="0"/>
        <v>0.2150955747713598</v>
      </c>
      <c r="D10" s="118">
        <f>E28</f>
        <v>329.77874732946094</v>
      </c>
      <c r="E10" s="111">
        <f>(+G10+H10)/'Forecast Data For 2010'!G12</f>
        <v>2.3014151615852185</v>
      </c>
      <c r="F10" s="112">
        <f>+D10*'Forecast Data For 2010'!G11*12</f>
        <v>1135153.62708753</v>
      </c>
      <c r="G10" s="112">
        <f t="shared" si="1"/>
        <v>1406767.9495409888</v>
      </c>
      <c r="H10" s="112">
        <f>-'Transformer Allowance'!C12</f>
        <v>58776.98522839338</v>
      </c>
      <c r="I10" s="334">
        <f t="shared" si="2"/>
        <v>2600698.561856912</v>
      </c>
      <c r="J10" s="334">
        <f>+'Allocation Low Voltage Costs'!F10</f>
        <v>8865.974305956817</v>
      </c>
      <c r="K10" s="334">
        <f t="shared" si="3"/>
        <v>2609564.5361628686</v>
      </c>
    </row>
    <row r="11" spans="1:11" ht="18" customHeight="1">
      <c r="A11" s="110" t="str">
        <f>'Cost Allocation Study'!A10</f>
        <v>General Service &gt; 3000 to 4999 kW</v>
      </c>
      <c r="B11" s="128">
        <f>'Cost Allocation Study'!K10</f>
        <v>125099.86905948358</v>
      </c>
      <c r="C11" s="97">
        <f t="shared" si="0"/>
        <v>0.01058586090404154</v>
      </c>
      <c r="D11" s="118">
        <f>E29</f>
        <v>4721.334428292813</v>
      </c>
      <c r="E11" s="111">
        <f>(+G11+H11)/'Forecast Data For 2010'!G15</f>
        <v>0.8599470168164253</v>
      </c>
      <c r="F11" s="112">
        <f>D11*'Forecast Data For 2010'!G14*12</f>
        <v>105073.97772924908</v>
      </c>
      <c r="G11" s="112">
        <f t="shared" si="1"/>
        <v>20025.891330234503</v>
      </c>
      <c r="H11" s="112">
        <f>-'Transformer Allowance'!C13</f>
        <v>46223.01477160663</v>
      </c>
      <c r="I11" s="334">
        <f t="shared" si="2"/>
        <v>171322.8838310902</v>
      </c>
      <c r="J11" s="334">
        <f>+'Allocation Low Voltage Costs'!F11</f>
        <v>1185.407473337718</v>
      </c>
      <c r="K11" s="334">
        <f t="shared" si="3"/>
        <v>172508.29130442793</v>
      </c>
    </row>
    <row r="12" spans="1:11" ht="18" customHeight="1">
      <c r="A12" s="110">
        <f>'Cost Allocation Study'!A11</f>
        <v>0</v>
      </c>
      <c r="B12" s="128"/>
      <c r="C12" s="97"/>
      <c r="D12" s="118"/>
      <c r="E12" s="111"/>
      <c r="F12" s="112"/>
      <c r="G12" s="112"/>
      <c r="H12" s="112"/>
      <c r="I12" s="334"/>
      <c r="J12" s="334"/>
      <c r="K12" s="334"/>
    </row>
    <row r="13" spans="1:11" ht="18" customHeight="1">
      <c r="A13" s="110" t="str">
        <f>'Cost Allocation Study'!A12</f>
        <v>Sentinel Lights</v>
      </c>
      <c r="B13" s="128">
        <f>'Cost Allocation Study'!K12</f>
        <v>37276.76362277893</v>
      </c>
      <c r="C13" s="97">
        <f t="shared" si="0"/>
        <v>0.003154332915216261</v>
      </c>
      <c r="D13" s="118">
        <f>E31</f>
        <v>3.3721292777728347</v>
      </c>
      <c r="E13" s="111">
        <f>(+G13+H13)/'Forecast Data For 2010'!G21</f>
        <v>11.754425176430582</v>
      </c>
      <c r="F13" s="112">
        <f>D13*'Forecast Data For 2010'!G20*12</f>
        <v>20692.88689251748</v>
      </c>
      <c r="G13" s="112">
        <f t="shared" si="1"/>
        <v>16583.876730261454</v>
      </c>
      <c r="H13" s="113"/>
      <c r="I13" s="334">
        <f t="shared" si="2"/>
        <v>37276.76362277893</v>
      </c>
      <c r="J13" s="334">
        <f>+'Allocation Low Voltage Costs'!F13</f>
        <v>15.503251021446783</v>
      </c>
      <c r="K13" s="334">
        <f t="shared" si="3"/>
        <v>37292.26687380038</v>
      </c>
    </row>
    <row r="14" spans="1:11" ht="18" customHeight="1">
      <c r="A14" s="110" t="str">
        <f>'Cost Allocation Study'!A13</f>
        <v>Street Lighting</v>
      </c>
      <c r="B14" s="128">
        <f>'Cost Allocation Study'!K13</f>
        <v>294686.59118254675</v>
      </c>
      <c r="C14" s="97">
        <f t="shared" si="0"/>
        <v>0.024936167303750745</v>
      </c>
      <c r="D14" s="118">
        <f>E32</f>
        <v>2.6927230489359775</v>
      </c>
      <c r="E14" s="111">
        <f>+G14/'Forecast Data For 2010'!G24</f>
        <v>14.424427787141132</v>
      </c>
      <c r="F14" s="112">
        <f>+D14*'Forecast Data For 2010'!G23*12</f>
        <v>183589.1454417819</v>
      </c>
      <c r="G14" s="112">
        <f t="shared" si="1"/>
        <v>111097.44574076484</v>
      </c>
      <c r="H14" s="113"/>
      <c r="I14" s="334">
        <f t="shared" si="2"/>
        <v>294686.59118254675</v>
      </c>
      <c r="J14" s="334">
        <f>+'Allocation Low Voltage Costs'!F14</f>
        <v>82.89337773824039</v>
      </c>
      <c r="K14" s="334">
        <f t="shared" si="3"/>
        <v>294769.484560285</v>
      </c>
    </row>
    <row r="15" spans="1:11" ht="18" customHeight="1">
      <c r="A15" s="110" t="str">
        <f>'Cost Allocation Study'!A14</f>
        <v>USL</v>
      </c>
      <c r="B15" s="128">
        <f>'Cost Allocation Study'!K14</f>
        <v>13937.889809861581</v>
      </c>
      <c r="C15" s="97">
        <f t="shared" si="0"/>
        <v>0.0011794142066839167</v>
      </c>
      <c r="D15" s="118">
        <f>D9</f>
        <v>25.699356862994673</v>
      </c>
      <c r="E15" s="111">
        <f>+G15/'Forecast Data For 2010'!G27</f>
        <v>0.022089479423233995</v>
      </c>
      <c r="F15" s="112">
        <f>+D15*'Forecast Data For 2010'!G26*12</f>
        <v>6476.237929474657</v>
      </c>
      <c r="G15" s="112">
        <f t="shared" si="1"/>
        <v>7461.651880386924</v>
      </c>
      <c r="H15" s="113"/>
      <c r="I15" s="334">
        <f t="shared" si="2"/>
        <v>13937.889809861581</v>
      </c>
      <c r="J15" s="334">
        <f>+'Allocation Low Voltage Costs'!F15</f>
        <v>11.873320211318992</v>
      </c>
      <c r="K15" s="334">
        <f t="shared" si="3"/>
        <v>13949.7631300729</v>
      </c>
    </row>
    <row r="16" spans="1:11" ht="18" customHeight="1">
      <c r="A16" s="110">
        <f>'Cost Allocation Study'!A15</f>
        <v>0</v>
      </c>
      <c r="B16" s="128">
        <f>'Cost Allocation Study'!K15</f>
        <v>0</v>
      </c>
      <c r="C16" s="97">
        <f t="shared" si="0"/>
        <v>0</v>
      </c>
      <c r="D16" s="118"/>
      <c r="E16" s="111"/>
      <c r="F16" s="112">
        <f>+D16*'Forecast Data For 2010'!G28*12</f>
        <v>0</v>
      </c>
      <c r="G16" s="112">
        <f t="shared" si="1"/>
        <v>0</v>
      </c>
      <c r="H16" s="113"/>
      <c r="I16" s="334">
        <f t="shared" si="2"/>
        <v>0</v>
      </c>
      <c r="J16" s="334">
        <f>+'Allocation Low Voltage Costs'!F16</f>
        <v>0</v>
      </c>
      <c r="K16" s="334">
        <f>+I16+J16</f>
        <v>0</v>
      </c>
    </row>
    <row r="17" spans="1:11" ht="18" customHeight="1" thickBot="1">
      <c r="A17" s="102" t="s">
        <v>2</v>
      </c>
      <c r="B17" s="372">
        <f>SUM(B8:B16)</f>
        <v>11817637.714446269</v>
      </c>
      <c r="C17" s="107">
        <f>SUM(C8:C16)</f>
        <v>0.9999999999999997</v>
      </c>
      <c r="D17" s="108"/>
      <c r="E17" s="109"/>
      <c r="F17" s="106">
        <f aca="true" t="shared" si="4" ref="F17:K17">SUM(F8:F16)</f>
        <v>6019867.607926734</v>
      </c>
      <c r="G17" s="106">
        <f t="shared" si="4"/>
        <v>5797770.106519531</v>
      </c>
      <c r="H17" s="106">
        <f t="shared" si="4"/>
        <v>105000</v>
      </c>
      <c r="I17" s="106">
        <f t="shared" si="4"/>
        <v>11922637.714446267</v>
      </c>
      <c r="J17" s="106">
        <f t="shared" si="4"/>
        <v>21564.85</v>
      </c>
      <c r="K17" s="106">
        <f t="shared" si="4"/>
        <v>11944202.564446265</v>
      </c>
    </row>
    <row r="18" spans="4:9" ht="18" customHeight="1" thickBot="1" thickTop="1">
      <c r="D18" s="104" t="s">
        <v>141</v>
      </c>
      <c r="E18" s="104"/>
      <c r="F18" s="105">
        <f>+F17/I17</f>
        <v>0.5049107212771096</v>
      </c>
      <c r="G18" s="105">
        <f>+G17/I17</f>
        <v>0.4862825026960741</v>
      </c>
      <c r="H18" s="105">
        <f>+H17/I17</f>
        <v>0.008806776026816194</v>
      </c>
      <c r="I18" s="105">
        <f>F18+G18+H18</f>
        <v>0.9999999999999999</v>
      </c>
    </row>
    <row r="19" spans="4:10" ht="18" customHeight="1">
      <c r="D19" s="16"/>
      <c r="E19" s="16"/>
      <c r="F19" s="356"/>
      <c r="G19" s="356"/>
      <c r="H19" s="356"/>
      <c r="I19" s="356"/>
      <c r="J19" s="8"/>
    </row>
    <row r="21" spans="4:9" ht="12.75">
      <c r="D21" s="57"/>
      <c r="E21" s="57"/>
      <c r="F21" s="17"/>
      <c r="G21" s="17"/>
      <c r="H21" s="17"/>
      <c r="I21" s="17"/>
    </row>
    <row r="24" spans="1:8" ht="18">
      <c r="A24" s="444" t="s">
        <v>194</v>
      </c>
      <c r="B24" s="444"/>
      <c r="C24" s="444"/>
      <c r="D24" s="444"/>
      <c r="E24" s="444"/>
      <c r="F24" s="444"/>
      <c r="G24" s="444"/>
      <c r="H24" s="444"/>
    </row>
    <row r="25" spans="1:7" ht="102">
      <c r="A25" s="93" t="s">
        <v>0</v>
      </c>
      <c r="B25" s="359" t="s">
        <v>195</v>
      </c>
      <c r="C25" s="93" t="s">
        <v>196</v>
      </c>
      <c r="D25" s="93" t="s">
        <v>42</v>
      </c>
      <c r="E25" s="93" t="s">
        <v>197</v>
      </c>
      <c r="F25" s="93" t="s">
        <v>225</v>
      </c>
      <c r="G25" s="93" t="s">
        <v>153</v>
      </c>
    </row>
    <row r="26" spans="1:7" ht="18" customHeight="1">
      <c r="A26" s="110" t="str">
        <f>A8</f>
        <v>Residential</v>
      </c>
      <c r="B26" s="100">
        <f>('2010 Test Yr On Existing Rates'!G9-'2010 Test Yr On Existing Rates'!I9)/'2010 Test Yr On Existing Rates'!J9</f>
        <v>0.430852587369863</v>
      </c>
      <c r="C26" s="100">
        <f>1-B26</f>
        <v>0.569147412630137</v>
      </c>
      <c r="D26" s="100">
        <f>SUM(B26:C26)</f>
        <v>1</v>
      </c>
      <c r="E26" s="114">
        <f>+B8*C26/'Forecast Data For 2010'!G7/12</f>
        <v>14.839306059600153</v>
      </c>
      <c r="F26" s="114">
        <f>'2009 Existing Rates'!C8</f>
        <v>12.53</v>
      </c>
      <c r="G26" s="114">
        <v>17.349050585294428</v>
      </c>
    </row>
    <row r="27" spans="1:7" ht="18" customHeight="1">
      <c r="A27" s="110" t="str">
        <f aca="true" t="shared" si="5" ref="A27:A34">A9</f>
        <v>GS &lt; 50 kW</v>
      </c>
      <c r="B27" s="100">
        <f>('2010 Test Yr On Existing Rates'!G10-'2010 Test Yr On Existing Rates'!I10)/'2010 Test Yr On Existing Rates'!J10</f>
        <v>0.6309291093559264</v>
      </c>
      <c r="C27" s="100">
        <f>1-B27</f>
        <v>0.3690708906440736</v>
      </c>
      <c r="D27" s="100">
        <f aca="true" t="shared" si="6" ref="D27:D33">SUM(B27:C27)</f>
        <v>1</v>
      </c>
      <c r="E27" s="114">
        <f>+B9*C27/'Forecast Data For 2010'!G9/12</f>
        <v>25.699356862994673</v>
      </c>
      <c r="F27" s="114">
        <f>'2009 Existing Rates'!C9</f>
        <v>21.7</v>
      </c>
      <c r="G27" s="114">
        <v>26.15320812300062</v>
      </c>
    </row>
    <row r="28" spans="1:7" ht="18" customHeight="1">
      <c r="A28" s="110" t="str">
        <f t="shared" si="5"/>
        <v>GS &gt;50</v>
      </c>
      <c r="B28" s="100">
        <f>('2010 Test Yr On Existing Rates'!G11-'2010 Test Yr On Existing Rates'!I11)/'2010 Test Yr On Existing Rates'!J11</f>
        <v>0.553426967407412</v>
      </c>
      <c r="C28" s="100">
        <f>1-B28</f>
        <v>0.44657303259258796</v>
      </c>
      <c r="D28" s="100">
        <f t="shared" si="6"/>
        <v>1</v>
      </c>
      <c r="E28" s="114">
        <f>+B10*C28/'Forecast Data For 2010'!G11/12</f>
        <v>329.77874732946094</v>
      </c>
      <c r="F28" s="114">
        <f>'2009 Existing Rates'!C10</f>
        <v>311.4</v>
      </c>
      <c r="G28" s="114">
        <v>76.09973643589343</v>
      </c>
    </row>
    <row r="29" spans="1:7" ht="18" customHeight="1">
      <c r="A29" s="110" t="str">
        <f t="shared" si="5"/>
        <v>General Service &gt; 3000 to 4999 kW</v>
      </c>
      <c r="B29" s="100">
        <f>('2010 Test Yr On Existing Rates'!G12-'2010 Test Yr On Existing Rates'!I12)/'2010 Test Yr On Existing Rates'!J12</f>
        <v>0.16007923494078488</v>
      </c>
      <c r="C29" s="100">
        <f>1-B29</f>
        <v>0.8399207650592151</v>
      </c>
      <c r="D29" s="100">
        <f t="shared" si="6"/>
        <v>1</v>
      </c>
      <c r="E29" s="114">
        <f>B11*C29/'Forecast Data For 2010'!G14/12</f>
        <v>4721.334428292813</v>
      </c>
      <c r="F29" s="114">
        <f>'2009 Existing Rates'!C11</f>
        <v>2399.29</v>
      </c>
      <c r="G29" s="114">
        <v>215.80647467437052</v>
      </c>
    </row>
    <row r="30" spans="1:7" ht="18" customHeight="1">
      <c r="A30" s="110">
        <f t="shared" si="5"/>
        <v>0</v>
      </c>
      <c r="B30" s="100"/>
      <c r="C30" s="100"/>
      <c r="D30" s="100"/>
      <c r="E30" s="114"/>
      <c r="F30" s="114"/>
      <c r="G30" s="114"/>
    </row>
    <row r="31" spans="1:7" ht="18" customHeight="1">
      <c r="A31" s="110" t="str">
        <f t="shared" si="5"/>
        <v>Sentinel Lights</v>
      </c>
      <c r="B31" s="100">
        <f>('2010 Test Yr On Existing Rates'!G14-'2010 Test Yr On Existing Rates'!I14)/'2010 Test Yr On Existing Rates'!J14</f>
        <v>0.4448851004899858</v>
      </c>
      <c r="C31" s="100">
        <f>1-B31</f>
        <v>0.5551148995100141</v>
      </c>
      <c r="D31" s="100">
        <f t="shared" si="6"/>
        <v>1</v>
      </c>
      <c r="E31" s="114">
        <f>B13*C31/'Forecast Data For 2010'!G20/12</f>
        <v>3.3721292777728347</v>
      </c>
      <c r="F31" s="114">
        <f>'2009 Existing Rates'!B13</f>
        <v>1.98</v>
      </c>
      <c r="G31" s="114">
        <v>11.813456100888295</v>
      </c>
    </row>
    <row r="32" spans="1:7" ht="18" customHeight="1">
      <c r="A32" s="110" t="str">
        <f t="shared" si="5"/>
        <v>Street Lighting</v>
      </c>
      <c r="B32" s="100">
        <f>('2010 Test Yr On Existing Rates'!G15-'2010 Test Yr On Existing Rates'!I15)/'2010 Test Yr On Existing Rates'!J15</f>
        <v>0.3770020389965567</v>
      </c>
      <c r="C32" s="100">
        <f>'2010 Test Yr On Existing Rates'!F15/'2010 Test Yr On Existing Rates'!H15</f>
        <v>0.6229979610034433</v>
      </c>
      <c r="D32" s="100">
        <f t="shared" si="6"/>
        <v>1</v>
      </c>
      <c r="E32" s="114">
        <f>+B14*C32/'Forecast Data For 2010'!G23/12</f>
        <v>2.6927230489359775</v>
      </c>
      <c r="F32" s="114">
        <f>'2009 Existing Rates'!B14</f>
        <v>0.44</v>
      </c>
      <c r="G32" s="114">
        <v>11.612026939416554</v>
      </c>
    </row>
    <row r="33" spans="1:7" ht="18" customHeight="1">
      <c r="A33" s="110" t="str">
        <f t="shared" si="5"/>
        <v>USL</v>
      </c>
      <c r="B33" s="100">
        <f>('2010 Test Yr On Existing Rates'!G16-'2010 Test Yr On Existing Rates'!I16)/'2010 Test Yr On Existing Rates'!J16</f>
        <v>0.46139614290778147</v>
      </c>
      <c r="C33" s="100">
        <f>'2010 Test Yr On Existing Rates'!F16/'2010 Test Yr On Existing Rates'!H16</f>
        <v>0.5386038570922185</v>
      </c>
      <c r="D33" s="100">
        <f t="shared" si="6"/>
        <v>1</v>
      </c>
      <c r="E33" s="114">
        <f>+B15*C33/'Forecast Data For 2010'!G26/12</f>
        <v>29.789687346499107</v>
      </c>
      <c r="F33" s="114">
        <f>'2009 Existing Rates'!C15</f>
        <v>21.75</v>
      </c>
      <c r="G33" s="114">
        <v>12.222996575277774</v>
      </c>
    </row>
    <row r="34" spans="1:7" ht="18" customHeight="1">
      <c r="A34" s="110">
        <f t="shared" si="5"/>
        <v>0</v>
      </c>
      <c r="B34" s="373"/>
      <c r="C34" s="100"/>
      <c r="D34" s="100"/>
      <c r="E34" s="114"/>
      <c r="F34" s="114"/>
      <c r="G34" s="114"/>
    </row>
    <row r="35" spans="1:7" ht="18" customHeight="1" thickBot="1">
      <c r="A35" s="116" t="s">
        <v>2</v>
      </c>
      <c r="B35" s="374"/>
      <c r="C35" s="117"/>
      <c r="D35" s="117"/>
      <c r="E35" s="117"/>
      <c r="F35" s="117"/>
      <c r="G35" s="117"/>
    </row>
    <row r="36" ht="13.5" thickTop="1">
      <c r="F36" s="1"/>
    </row>
    <row r="37" spans="3:6" ht="12.75">
      <c r="C37" s="10"/>
      <c r="F37" s="65"/>
    </row>
    <row r="38" ht="12.75">
      <c r="F38" s="65"/>
    </row>
    <row r="39" spans="3:6" ht="12.75">
      <c r="C39" s="3"/>
      <c r="F39" s="65"/>
    </row>
    <row r="40" spans="3:6" ht="12.75">
      <c r="C40" s="3"/>
      <c r="F40" s="65"/>
    </row>
    <row r="41" spans="3:6" ht="10.5" customHeight="1">
      <c r="C41" s="3"/>
      <c r="F41" s="65"/>
    </row>
    <row r="42" spans="3:6" ht="12.75">
      <c r="C42" s="1"/>
      <c r="F42" s="65"/>
    </row>
    <row r="43" spans="3:6" ht="12.75">
      <c r="C43" s="1"/>
      <c r="F43" s="65"/>
    </row>
    <row r="44" spans="3:6" ht="12.75">
      <c r="C44" s="1"/>
      <c r="F44" s="62"/>
    </row>
    <row r="45" spans="3:6" ht="12.75">
      <c r="C45" s="1"/>
      <c r="F45" s="62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</sheetData>
  <mergeCells count="7">
    <mergeCell ref="A1:K1"/>
    <mergeCell ref="A2:K2"/>
    <mergeCell ref="A3:K3"/>
    <mergeCell ref="A24:H24"/>
    <mergeCell ref="A4:K4"/>
    <mergeCell ref="A5:K5"/>
    <mergeCell ref="A6:K6"/>
  </mergeCells>
  <printOptions/>
  <pageMargins left="0.75" right="0.75" top="1" bottom="1" header="0.5" footer="0.5"/>
  <pageSetup fitToHeight="1" fitToWidth="1" horizontalDpi="355" verticalDpi="355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" sqref="A1:F1"/>
    </sheetView>
  </sheetViews>
  <sheetFormatPr defaultColWidth="9.140625" defaultRowHeight="12.75"/>
  <cols>
    <col min="1" max="1" width="32.7109375" style="0" bestFit="1" customWidth="1"/>
    <col min="2" max="2" width="16.00390625" style="0" customWidth="1"/>
    <col min="3" max="3" width="24.7109375" style="0" customWidth="1"/>
    <col min="4" max="4" width="14.28125" style="0" customWidth="1"/>
    <col min="5" max="5" width="13.7109375" style="0" customWidth="1"/>
    <col min="6" max="6" width="13.421875" style="0" bestFit="1" customWidth="1"/>
  </cols>
  <sheetData>
    <row r="1" spans="1:6" ht="12.75">
      <c r="A1" s="443" t="str">
        <f>+'Revenue Input'!A1</f>
        <v>North Bay Hydro Distribution Ltd.</v>
      </c>
      <c r="B1" s="443"/>
      <c r="C1" s="443"/>
      <c r="D1" s="443"/>
      <c r="E1" s="443"/>
      <c r="F1" s="443"/>
    </row>
    <row r="2" spans="1:6" ht="12.75">
      <c r="A2" s="443" t="str">
        <f>+'Revenue Input'!A2</f>
        <v>License Number ED-2003-0024, File Number EB-2009-0270</v>
      </c>
      <c r="B2" s="443"/>
      <c r="C2" s="443"/>
      <c r="D2" s="443"/>
      <c r="E2" s="443"/>
      <c r="F2" s="443"/>
    </row>
    <row r="3" spans="1:6" ht="12.75">
      <c r="A3" s="443">
        <f>+'Revenue Input'!A3</f>
        <v>0</v>
      </c>
      <c r="B3" s="443"/>
      <c r="C3" s="443"/>
      <c r="D3" s="443"/>
      <c r="E3" s="443"/>
      <c r="F3" s="443"/>
    </row>
    <row r="4" spans="1:6" ht="12.75">
      <c r="A4" s="450"/>
      <c r="B4" s="450"/>
      <c r="C4" s="450"/>
      <c r="D4" s="450"/>
      <c r="E4" s="450"/>
      <c r="F4" s="450"/>
    </row>
    <row r="5" spans="1:6" s="59" customFormat="1" ht="20.25">
      <c r="A5" s="439" t="s">
        <v>137</v>
      </c>
      <c r="B5" s="439"/>
      <c r="C5" s="439"/>
      <c r="D5" s="439"/>
      <c r="E5" s="439"/>
      <c r="F5" s="439"/>
    </row>
    <row r="6" spans="1:6" ht="38.25" customHeight="1">
      <c r="A6" s="438" t="s">
        <v>0</v>
      </c>
      <c r="B6" s="438" t="s">
        <v>20</v>
      </c>
      <c r="C6" s="438"/>
      <c r="D6" s="440" t="s">
        <v>183</v>
      </c>
      <c r="E6" s="440" t="s">
        <v>21</v>
      </c>
      <c r="F6" s="440" t="s">
        <v>22</v>
      </c>
    </row>
    <row r="7" spans="1:6" ht="12.75">
      <c r="A7" s="438"/>
      <c r="B7" s="119" t="s">
        <v>23</v>
      </c>
      <c r="C7" s="120" t="s">
        <v>24</v>
      </c>
      <c r="D7" s="440"/>
      <c r="E7" s="440"/>
      <c r="F7" s="440"/>
    </row>
    <row r="8" spans="1:6" ht="18" customHeight="1">
      <c r="A8" s="110" t="str">
        <f>'Rates By Rate Class'!A26</f>
        <v>Residential</v>
      </c>
      <c r="B8" s="123">
        <v>0.0047</v>
      </c>
      <c r="C8" s="123"/>
      <c r="D8" s="128">
        <f>+B8*'2010 Test Yr On Existing Rates'!B9</f>
        <v>1006698.1828710091</v>
      </c>
      <c r="E8" s="97">
        <f>D8/$D$17</f>
        <v>0.3906845444498284</v>
      </c>
      <c r="F8" s="98">
        <f aca="true" t="shared" si="0" ref="F8:F16">+$F$17*E8</f>
        <v>8425.053598378881</v>
      </c>
    </row>
    <row r="9" spans="1:6" ht="18" customHeight="1">
      <c r="A9" s="110" t="str">
        <f>'Rates By Rate Class'!A27</f>
        <v>GS &lt; 50 kW</v>
      </c>
      <c r="B9" s="123">
        <v>0.0042</v>
      </c>
      <c r="C9" s="123"/>
      <c r="D9" s="128">
        <f>+B9*'2010 Test Yr On Existing Rates'!B10</f>
        <v>355854.4519611027</v>
      </c>
      <c r="E9" s="97">
        <f aca="true" t="shared" si="1" ref="E9:E16">D9/$D$17</f>
        <v>0.13810180332140387</v>
      </c>
      <c r="F9" s="98">
        <f t="shared" si="0"/>
        <v>2978.1446733555763</v>
      </c>
    </row>
    <row r="10" spans="1:6" ht="18" customHeight="1">
      <c r="A10" s="110" t="str">
        <f>'Rates By Rate Class'!A28</f>
        <v>GS &gt;50</v>
      </c>
      <c r="B10" s="123"/>
      <c r="C10" s="123">
        <v>1.6636</v>
      </c>
      <c r="D10" s="128">
        <f>+C10*'2010 Test Yr On Existing Rates'!C11</f>
        <v>1059383.197859438</v>
      </c>
      <c r="E10" s="97">
        <f t="shared" si="1"/>
        <v>0.4111308126862379</v>
      </c>
      <c r="F10" s="98">
        <f t="shared" si="0"/>
        <v>8865.974305956817</v>
      </c>
    </row>
    <row r="11" spans="1:6" ht="18" customHeight="1">
      <c r="A11" s="110" t="str">
        <f>'Rates By Rate Class'!A29</f>
        <v>General Service &gt; 3000 to 4999 kW</v>
      </c>
      <c r="B11" s="123"/>
      <c r="C11" s="123">
        <v>1.8386</v>
      </c>
      <c r="D11" s="128">
        <f>+C11*'2010 Test Yr On Existing Rates'!C12</f>
        <v>141642.72493179326</v>
      </c>
      <c r="E11" s="97">
        <f t="shared" si="1"/>
        <v>0.05496942818232996</v>
      </c>
      <c r="F11" s="98">
        <f t="shared" si="0"/>
        <v>1185.407473337718</v>
      </c>
    </row>
    <row r="12" spans="1:6" ht="18" customHeight="1">
      <c r="A12" s="110">
        <f>'Rates By Rate Class'!A30</f>
        <v>0</v>
      </c>
      <c r="B12" s="123"/>
      <c r="C12" s="123"/>
      <c r="D12" s="128">
        <f>+C12*'2010 Test Yr On Existing Rates'!C13</f>
        <v>0</v>
      </c>
      <c r="E12" s="97">
        <f t="shared" si="1"/>
        <v>0</v>
      </c>
      <c r="F12" s="98">
        <f t="shared" si="0"/>
        <v>0</v>
      </c>
    </row>
    <row r="13" spans="1:6" ht="18" customHeight="1">
      <c r="A13" s="110" t="str">
        <f>'Rates By Rate Class'!A31</f>
        <v>Sentinel Lights</v>
      </c>
      <c r="B13" s="123"/>
      <c r="C13" s="123">
        <v>1.313</v>
      </c>
      <c r="D13" s="128">
        <f>+C13*'2010 Test Yr On Existing Rates'!C14</f>
        <v>1852.4623552408798</v>
      </c>
      <c r="E13" s="97">
        <f t="shared" si="1"/>
        <v>0.0007189130006212324</v>
      </c>
      <c r="F13" s="98">
        <f t="shared" si="0"/>
        <v>15.503251021446783</v>
      </c>
    </row>
    <row r="14" spans="1:6" ht="18" customHeight="1">
      <c r="A14" s="110" t="str">
        <f>'Rates By Rate Class'!A32</f>
        <v>Street Lighting</v>
      </c>
      <c r="B14" s="123"/>
      <c r="C14" s="123">
        <v>1.286</v>
      </c>
      <c r="D14" s="128">
        <f>+C14*'2010 Test Yr On Existing Rates'!C15</f>
        <v>9904.816837863636</v>
      </c>
      <c r="E14" s="97">
        <f t="shared" si="1"/>
        <v>0.0038439116311145406</v>
      </c>
      <c r="F14" s="98">
        <f t="shared" si="0"/>
        <v>82.89337773824039</v>
      </c>
    </row>
    <row r="15" spans="1:6" ht="18" customHeight="1">
      <c r="A15" s="110" t="str">
        <f>'Rates By Rate Class'!A33</f>
        <v>USL</v>
      </c>
      <c r="B15" s="123">
        <v>0.0042</v>
      </c>
      <c r="C15" s="123"/>
      <c r="D15" s="128">
        <f>+B15*'2010 Test Yr On Existing Rates'!B16</f>
        <v>1418.726865272451</v>
      </c>
      <c r="E15" s="97">
        <f t="shared" si="1"/>
        <v>0.0005505867284640975</v>
      </c>
      <c r="F15" s="98">
        <f t="shared" si="0"/>
        <v>11.873320211318992</v>
      </c>
    </row>
    <row r="16" spans="1:6" ht="18" customHeight="1">
      <c r="A16" s="110">
        <f>'Rates By Rate Class'!A34</f>
        <v>0</v>
      </c>
      <c r="B16" s="123"/>
      <c r="C16" s="123"/>
      <c r="D16" s="128">
        <v>0</v>
      </c>
      <c r="E16" s="97">
        <f t="shared" si="1"/>
        <v>0</v>
      </c>
      <c r="F16" s="98">
        <f t="shared" si="0"/>
        <v>0</v>
      </c>
    </row>
    <row r="17" spans="1:6" ht="18" customHeight="1" thickBot="1">
      <c r="A17" s="122" t="s">
        <v>19</v>
      </c>
      <c r="B17" s="103"/>
      <c r="C17" s="121"/>
      <c r="D17" s="320">
        <f>SUM(D8:D16)</f>
        <v>2576754.56368172</v>
      </c>
      <c r="E17" s="107">
        <f>SUM(E8:E16)</f>
        <v>0.9999999999999999</v>
      </c>
      <c r="F17" s="108">
        <f>'Revenue Input'!B12</f>
        <v>21564.85</v>
      </c>
    </row>
    <row r="18" ht="13.5" thickTop="1"/>
    <row r="19" spans="2:3" ht="12.75">
      <c r="B19" s="57"/>
      <c r="C19" s="57"/>
    </row>
  </sheetData>
  <mergeCells count="10">
    <mergeCell ref="B6:C6"/>
    <mergeCell ref="A5:F5"/>
    <mergeCell ref="A1:F1"/>
    <mergeCell ref="A2:F2"/>
    <mergeCell ref="A3:F3"/>
    <mergeCell ref="A4:F4"/>
    <mergeCell ref="A6:A7"/>
    <mergeCell ref="D6:D7"/>
    <mergeCell ref="E6:E7"/>
    <mergeCell ref="F6:F7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1" sqref="A1:G1"/>
    </sheetView>
  </sheetViews>
  <sheetFormatPr defaultColWidth="9.140625" defaultRowHeight="12.75"/>
  <cols>
    <col min="1" max="1" width="32.7109375" style="0" bestFit="1" customWidth="1"/>
    <col min="2" max="2" width="11.8515625" style="0" bestFit="1" customWidth="1"/>
    <col min="3" max="3" width="15.7109375" style="0" bestFit="1" customWidth="1"/>
    <col min="4" max="4" width="14.28125" style="0" bestFit="1" customWidth="1"/>
    <col min="5" max="5" width="10.8515625" style="0" bestFit="1" customWidth="1"/>
    <col min="6" max="6" width="10.57421875" style="0" bestFit="1" customWidth="1"/>
    <col min="7" max="7" width="10.00390625" style="0" bestFit="1" customWidth="1"/>
  </cols>
  <sheetData>
    <row r="1" spans="1:7" ht="12.75">
      <c r="A1" s="443" t="str">
        <f>+'Revenue Input'!A1</f>
        <v>North Bay Hydro Distribution Ltd.</v>
      </c>
      <c r="B1" s="443"/>
      <c r="C1" s="443"/>
      <c r="D1" s="443"/>
      <c r="E1" s="443"/>
      <c r="F1" s="443"/>
      <c r="G1" s="443"/>
    </row>
    <row r="2" spans="1:7" ht="12.75">
      <c r="A2" s="443" t="str">
        <f>+'Revenue Input'!A2</f>
        <v>License Number ED-2003-0024, File Number EB-2009-0270</v>
      </c>
      <c r="B2" s="443"/>
      <c r="C2" s="443"/>
      <c r="D2" s="443"/>
      <c r="E2" s="443"/>
      <c r="F2" s="443"/>
      <c r="G2" s="443"/>
    </row>
    <row r="3" spans="1:7" ht="12.75">
      <c r="A3" s="443">
        <f>+'Revenue Input'!A3</f>
        <v>0</v>
      </c>
      <c r="B3" s="443"/>
      <c r="C3" s="443"/>
      <c r="D3" s="443"/>
      <c r="E3" s="443"/>
      <c r="F3" s="443"/>
      <c r="G3" s="443"/>
    </row>
    <row r="4" spans="1:7" ht="6.75" customHeight="1">
      <c r="A4" s="450"/>
      <c r="B4" s="450"/>
      <c r="C4" s="450"/>
      <c r="D4" s="450"/>
      <c r="E4" s="450"/>
      <c r="F4" s="450"/>
      <c r="G4" s="450"/>
    </row>
    <row r="5" spans="1:7" ht="20.25">
      <c r="A5" s="476" t="s">
        <v>136</v>
      </c>
      <c r="B5" s="476"/>
      <c r="C5" s="476"/>
      <c r="D5" s="476"/>
      <c r="E5" s="476"/>
      <c r="F5" s="476"/>
      <c r="G5" s="476"/>
    </row>
    <row r="6" spans="1:7" ht="8.25" customHeight="1">
      <c r="A6" s="430"/>
      <c r="B6" s="430"/>
      <c r="C6" s="430"/>
      <c r="D6" s="430"/>
      <c r="E6" s="430"/>
      <c r="F6" s="430"/>
      <c r="G6" s="430"/>
    </row>
    <row r="7" spans="1:7" ht="25.5">
      <c r="A7" s="88" t="s">
        <v>0</v>
      </c>
      <c r="B7" s="93" t="s">
        <v>135</v>
      </c>
      <c r="C7" s="93" t="s">
        <v>14</v>
      </c>
      <c r="D7" s="93" t="s">
        <v>15</v>
      </c>
      <c r="E7" s="93" t="s">
        <v>16</v>
      </c>
      <c r="F7" s="93" t="s">
        <v>133</v>
      </c>
      <c r="G7" s="93" t="s">
        <v>134</v>
      </c>
    </row>
    <row r="8" spans="1:7" ht="18" customHeight="1">
      <c r="A8" s="110" t="str">
        <f>'Allocation Low Voltage Costs'!A8</f>
        <v>Residential</v>
      </c>
      <c r="B8" s="98">
        <f>+'Allocation Low Voltage Costs'!F8</f>
        <v>8425.053598378881</v>
      </c>
      <c r="C8" s="128">
        <f>+'2010 Test Yr On Existing Rates'!B9</f>
        <v>214191102.73851258</v>
      </c>
      <c r="D8" s="128">
        <f>+'2010 Test Yr On Existing Rates'!C9</f>
        <v>0</v>
      </c>
      <c r="E8" s="127" t="s">
        <v>17</v>
      </c>
      <c r="F8" s="378">
        <f>+B8/C8</f>
        <v>3.93342836871441E-05</v>
      </c>
      <c r="G8" s="131"/>
    </row>
    <row r="9" spans="1:7" ht="18" customHeight="1">
      <c r="A9" s="110" t="str">
        <f>'Allocation Low Voltage Costs'!A9</f>
        <v>GS &lt; 50 kW</v>
      </c>
      <c r="B9" s="98">
        <f>+'Allocation Low Voltage Costs'!F9</f>
        <v>2978.1446733555763</v>
      </c>
      <c r="C9" s="128">
        <f>+'2010 Test Yr On Existing Rates'!B10</f>
        <v>84727250.46692923</v>
      </c>
      <c r="D9" s="128">
        <f>+'2010 Test Yr On Existing Rates'!C10</f>
        <v>0</v>
      </c>
      <c r="E9" s="127" t="s">
        <v>17</v>
      </c>
      <c r="F9" s="378">
        <f>+B9/C9</f>
        <v>3.5149785422554304E-05</v>
      </c>
      <c r="G9" s="131"/>
    </row>
    <row r="10" spans="1:7" ht="18" customHeight="1">
      <c r="A10" s="110" t="str">
        <f>'Allocation Low Voltage Costs'!A10</f>
        <v>GS &gt;50</v>
      </c>
      <c r="B10" s="98">
        <f>+'Allocation Low Voltage Costs'!F10</f>
        <v>8865.974305956817</v>
      </c>
      <c r="C10" s="128">
        <f>+'2010 Test Yr On Existing Rates'!B11</f>
        <v>220909972.8728767</v>
      </c>
      <c r="D10" s="128">
        <f>+'2010 Test Yr On Existing Rates'!C11</f>
        <v>636801.6337217108</v>
      </c>
      <c r="E10" s="127" t="s">
        <v>18</v>
      </c>
      <c r="F10" s="131"/>
      <c r="G10" s="131">
        <f>+B10/D10</f>
        <v>0.013922662625943175</v>
      </c>
    </row>
    <row r="11" spans="1:7" ht="18" customHeight="1">
      <c r="A11" s="110" t="str">
        <f>'Allocation Low Voltage Costs'!A11</f>
        <v>General Service &gt; 3000 to 4999 kW</v>
      </c>
      <c r="B11" s="98">
        <f>+'Allocation Low Voltage Costs'!F11</f>
        <v>1185.407473337718</v>
      </c>
      <c r="C11" s="128">
        <f>'2010 Test Yr On Existing Rates'!B12</f>
        <v>40318944.44489014</v>
      </c>
      <c r="D11" s="128">
        <f>+'2010 Test Yr On Existing Rates'!C12</f>
        <v>77038.35795267772</v>
      </c>
      <c r="E11" s="127" t="s">
        <v>18</v>
      </c>
      <c r="F11" s="131"/>
      <c r="G11" s="131">
        <f>+B11/D11</f>
        <v>0.015387237018549608</v>
      </c>
    </row>
    <row r="12" spans="1:7" ht="18" customHeight="1">
      <c r="A12" s="110">
        <f>'Allocation Low Voltage Costs'!A12</f>
        <v>0</v>
      </c>
      <c r="B12" s="98"/>
      <c r="C12" s="128"/>
      <c r="D12" s="128"/>
      <c r="E12" s="127"/>
      <c r="F12" s="131"/>
      <c r="G12" s="131"/>
    </row>
    <row r="13" spans="1:7" ht="18" customHeight="1">
      <c r="A13" s="110" t="str">
        <f>'Allocation Low Voltage Costs'!A13</f>
        <v>Sentinel Lights</v>
      </c>
      <c r="B13" s="98">
        <f>+'Allocation Low Voltage Costs'!F13</f>
        <v>15.503251021446783</v>
      </c>
      <c r="C13" s="128">
        <f>'2010 Test Yr On Existing Rates'!B14</f>
        <v>516492.54654111207</v>
      </c>
      <c r="D13" s="128">
        <f>+'2010 Test Yr On Existing Rates'!C14</f>
        <v>1410.8624183098857</v>
      </c>
      <c r="E13" s="127" t="s">
        <v>18</v>
      </c>
      <c r="F13" s="131"/>
      <c r="G13" s="131">
        <f>+B13/D13</f>
        <v>0.010988492442812808</v>
      </c>
    </row>
    <row r="14" spans="1:7" ht="18" customHeight="1">
      <c r="A14" s="110" t="str">
        <f>'Allocation Low Voltage Costs'!A14</f>
        <v>Street Lighting</v>
      </c>
      <c r="B14" s="98">
        <f>+'Allocation Low Voltage Costs'!F14</f>
        <v>82.89337773824039</v>
      </c>
      <c r="C14" s="128">
        <f>+'2010 Test Yr On Existing Rates'!B15</f>
        <v>2737123.215383171</v>
      </c>
      <c r="D14" s="128">
        <f>+'2010 Test Yr On Existing Rates'!C15</f>
        <v>7702.034866145907</v>
      </c>
      <c r="E14" s="127" t="s">
        <v>18</v>
      </c>
      <c r="F14" s="131"/>
      <c r="G14" s="131">
        <f>+B14/D14</f>
        <v>0.01076252953652496</v>
      </c>
    </row>
    <row r="15" spans="1:7" ht="18" customHeight="1">
      <c r="A15" s="110" t="str">
        <f>'Allocation Low Voltage Costs'!A15</f>
        <v>USL</v>
      </c>
      <c r="B15" s="98">
        <f>+'Allocation Low Voltage Costs'!F15</f>
        <v>11.873320211318992</v>
      </c>
      <c r="C15" s="128">
        <f>+'2010 Test Yr On Existing Rates'!B16</f>
        <v>337792.11077915505</v>
      </c>
      <c r="D15" s="128">
        <f>+'2010 Test Yr On Existing Rates'!C16</f>
        <v>0</v>
      </c>
      <c r="E15" s="127" t="s">
        <v>17</v>
      </c>
      <c r="F15" s="378">
        <f>+B15/C15</f>
        <v>3.5149785422554304E-05</v>
      </c>
      <c r="G15" s="131"/>
    </row>
    <row r="16" spans="1:7" ht="18" customHeight="1">
      <c r="A16" s="110">
        <f>'Allocation Low Voltage Costs'!A16</f>
        <v>0</v>
      </c>
      <c r="B16" s="98"/>
      <c r="C16" s="128"/>
      <c r="D16" s="128"/>
      <c r="E16" s="127"/>
      <c r="F16" s="131"/>
      <c r="G16" s="131"/>
    </row>
    <row r="17" spans="1:7" ht="18" customHeight="1" thickBot="1">
      <c r="A17" s="115" t="s">
        <v>19</v>
      </c>
      <c r="B17" s="124">
        <f>SUM(B8:B16)</f>
        <v>21564.85</v>
      </c>
      <c r="C17" s="129">
        <f>SUM(C8:C16)</f>
        <v>563738678.395912</v>
      </c>
      <c r="D17" s="130">
        <f>SUM(D8:D16)</f>
        <v>722952.8889588444</v>
      </c>
      <c r="E17" s="125"/>
      <c r="F17" s="126"/>
      <c r="G17" s="125"/>
    </row>
    <row r="18" ht="13.5" thickTop="1"/>
  </sheetData>
  <mergeCells count="6">
    <mergeCell ref="A6:G6"/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mwanner</cp:lastModifiedBy>
  <cp:lastPrinted>2009-09-30T17:36:10Z</cp:lastPrinted>
  <dcterms:created xsi:type="dcterms:W3CDTF">2007-07-20T14:53:09Z</dcterms:created>
  <dcterms:modified xsi:type="dcterms:W3CDTF">2010-02-24T20:20:09Z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