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Summary Rev Req and Fund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comments7.xml><?xml version="1.0" encoding="utf-8"?>
<comments xmlns="http://schemas.openxmlformats.org/spreadsheetml/2006/main">
  <authors>
    <author>Dana Witt</author>
  </authors>
  <commentList>
    <comment ref="C3" authorId="0">
      <text>
        <r>
          <rPr>
            <b/>
            <sz val="9"/>
            <rFont val="Tahoma"/>
            <family val="2"/>
          </rPr>
          <t>Dana Witt:</t>
        </r>
        <r>
          <rPr>
            <sz val="9"/>
            <rFont val="Tahoma"/>
            <family val="2"/>
          </rPr>
          <t xml:space="preserve">
Month in which funds are collected and posted</t>
        </r>
      </text>
    </comment>
    <comment ref="E3" authorId="0">
      <text>
        <r>
          <rPr>
            <b/>
            <sz val="9"/>
            <rFont val="Tahoma"/>
            <family val="2"/>
          </rPr>
          <t>Dana Witt:</t>
        </r>
        <r>
          <rPr>
            <sz val="9"/>
            <rFont val="Tahoma"/>
            <family val="2"/>
          </rPr>
          <t xml:space="preserve">
Previous month's interest posted
</t>
        </r>
      </text>
    </comment>
  </commentList>
</comments>
</file>

<file path=xl/sharedStrings.xml><?xml version="1.0" encoding="utf-8"?>
<sst xmlns="http://schemas.openxmlformats.org/spreadsheetml/2006/main" count="422" uniqueCount="284">
  <si>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</si>
  <si>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</si>
  <si>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</si>
  <si>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</si>
  <si>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</si>
  <si>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</si>
  <si>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</si>
  <si>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</si>
  <si>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</si>
  <si>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</si>
  <si>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</si>
  <si>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</si>
  <si>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</si>
  <si>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</si>
  <si>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</si>
  <si>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</si>
  <si>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</si>
  <si>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</si>
  <si>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</si>
  <si>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</si>
  <si>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</si>
  <si>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</si>
  <si>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</si>
  <si>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</si>
  <si>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</si>
  <si>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</si>
  <si>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</si>
  <si>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</si>
  <si>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</si>
  <si>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</si>
  <si>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</si>
  <si>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</si>
  <si>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</si>
  <si>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</si>
  <si>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</si>
  <si>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</si>
  <si>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</si>
  <si>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</si>
  <si>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</si>
  <si>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</si>
  <si>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</si>
  <si>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</si>
  <si>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</si>
  <si>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</si>
  <si>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</si>
  <si>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</si>
  <si>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</si>
  <si>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</si>
  <si>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</si>
  <si>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</si>
  <si>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</si>
  <si>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</si>
  <si>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</si>
  <si>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</si>
  <si>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</si>
  <si>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</si>
  <si>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</si>
  <si>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</si>
  <si>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</si>
  <si>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</si>
  <si>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</si>
  <si>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</si>
  <si>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</si>
  <si>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</si>
  <si>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</si>
  <si>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</si>
  <si>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</si>
  <si>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</si>
  <si>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</si>
  <si>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</si>
  <si>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</si>
  <si>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</si>
  <si>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</si>
  <si>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</si>
  <si>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</si>
  <si>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</si>
  <si>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</si>
  <si>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</si>
  <si>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</si>
  <si>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</si>
  <si>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</si>
  <si>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</si>
  <si>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</si>
  <si>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</si>
  <si>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</si>
  <si>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</si>
  <si>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</si>
  <si>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</si>
  <si>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</si>
  <si>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</si>
  <si>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</si>
  <si>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</si>
  <si>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</si>
  <si>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</si>
  <si>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</si>
  <si>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</si>
  <si>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</si>
  <si>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</si>
  <si>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(from 2006 PILs Sheet "Test Year PILs,Tax Provision" Cell D 14)</t>
  </si>
  <si>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</si>
  <si>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</si>
  <si>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</si>
  <si>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</si>
  <si>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</si>
  <si>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</si>
  <si>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</si>
  <si>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</si>
  <si>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</si>
  <si>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</si>
  <si>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</si>
  <si>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</si>
  <si>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</si>
  <si>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</si>
  <si>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</si>
  <si>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</si>
  <si>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</si>
  <si>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</si>
  <si>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</si>
  <si>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</si>
  <si>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</si>
  <si>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</si>
  <si>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</si>
  <si>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</si>
  <si>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</si>
  <si>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</si>
  <si>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</si>
  <si>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</si>
  <si>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</si>
  <si>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</si>
  <si>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</si>
  <si>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</si>
  <si>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</si>
  <si>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</si>
  <si>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</si>
  <si>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</si>
  <si>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</si>
  <si>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</si>
  <si>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</si>
  <si>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</si>
  <si>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</si>
  <si>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</si>
  <si>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</si>
  <si>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</si>
  <si>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</si>
  <si>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</si>
  <si>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</si>
  <si>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</si>
  <si>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</si>
  <si>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</si>
  <si>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</si>
  <si>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</si>
  <si>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</si>
  <si>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</si>
  <si>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</si>
  <si>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</si>
  <si>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</si>
  <si>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</si>
  <si>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</si>
  <si>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</si>
  <si>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</si>
  <si>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</si>
  <si>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</si>
  <si>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</si>
  <si>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</si>
  <si>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</si>
  <si>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</si>
  <si>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</si>
  <si>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</si>
  <si>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</si>
  <si>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</si>
  <si>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</si>
  <si>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</si>
  <si>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</si>
  <si>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</si>
  <si>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</si>
  <si>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</si>
  <si>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</si>
  <si>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</si>
  <si>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</si>
  <si>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</si>
  <si>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</si>
  <si>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</si>
  <si>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</si>
  <si>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</si>
  <si>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</si>
  <si>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</si>
  <si>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</si>
  <si>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</si>
  <si>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</si>
  <si>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</si>
  <si>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</si>
  <si>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</si>
  <si>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</si>
  <si>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</si>
  <si>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</si>
  <si>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</si>
  <si>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Deemed Debt</t>
    </r>
    <r>
      <rPr>
        <sz val="10"/>
        <rFont val="Arial"/>
        <family val="0"/>
      </rPr>
      <t xml:space="preserve"> </t>
    </r>
    <r>
      <rPr>
        <sz val="8"/>
        <rFont val="Arial"/>
        <family val="2"/>
      </rPr>
      <t>(from 2006 EDR Sheet "3-2 COST OF CAPITAL (Input)" Cell C 18)</t>
    </r>
  </si>
  <si>
    <r>
      <t>Deemed Equity</t>
    </r>
    <r>
      <rPr>
        <sz val="10"/>
        <rFont val="Arial"/>
        <family val="0"/>
      </rPr>
      <t xml:space="preserve"> </t>
    </r>
    <r>
      <rPr>
        <sz val="8"/>
        <rFont val="Arial"/>
        <family val="2"/>
      </rPr>
      <t>(from 2006 EDR Sheet "3-2 COST OF CAPITAL (Input)" Cell C 19)</t>
    </r>
  </si>
  <si>
    <r>
      <t>Weighted Debt Rate</t>
    </r>
    <r>
      <rPr>
        <sz val="10"/>
        <rFont val="Arial"/>
        <family val="0"/>
      </rPr>
      <t xml:space="preserve"> </t>
    </r>
    <r>
      <rPr>
        <sz val="8"/>
        <rFont val="Arial"/>
        <family val="2"/>
      </rPr>
      <t>(from 2006 EDR Sheet "3-2 COST OF CAPITAL (Input)" Cell C 25)</t>
    </r>
  </si>
  <si>
    <r>
      <t>Proposed ROE</t>
    </r>
    <r>
      <rPr>
        <sz val="10"/>
        <rFont val="Arial"/>
        <family val="0"/>
      </rPr>
      <t xml:space="preserve"> </t>
    </r>
    <r>
      <rPr>
        <sz val="8"/>
        <rFont val="Arial"/>
        <family val="2"/>
      </rPr>
      <t xml:space="preserve"> (from 2006 EDR Sheet "3-2 COST OF CAPITAL (Input)" Cell E 32)</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</si>
  <si>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</si>
  <si>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</si>
  <si>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</si>
  <si>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</si>
  <si>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</si>
  <si>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</si>
  <si>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</si>
  <si>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</si>
  <si>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</si>
  <si>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</si>
  <si>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</si>
  <si>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</si>
  <si>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</si>
  <si>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</si>
  <si>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</si>
  <si>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</si>
  <si>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</si>
  <si>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</si>
  <si>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</si>
  <si>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</si>
  <si>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</si>
  <si>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</si>
  <si>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</si>
  <si>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</si>
  <si>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</si>
  <si>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</si>
  <si>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</si>
  <si>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</si>
  <si>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</si>
  <si>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</si>
  <si>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</si>
  <si>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</si>
  <si>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</si>
  <si>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</si>
  <si>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</si>
  <si>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</si>
  <si>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Smart Meter Funding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</si>
  <si>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</si>
  <si>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</si>
  <si>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</si>
  <si>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</si>
  <si>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</si>
  <si>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</si>
  <si>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</si>
  <si>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</si>
  <si>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</si>
  <si>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</si>
  <si>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</si>
  <si>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</si>
  <si>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</si>
  <si>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</si>
  <si>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</si>
  <si>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</si>
  <si>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</si>
  <si>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</si>
  <si>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</si>
  <si>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</si>
  <si>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</si>
  <si>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</si>
  <si>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</si>
  <si>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</si>
  <si>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St. Thomas Energy Inc.</t>
  </si>
  <si>
    <t>ED-2002-0523</t>
  </si>
  <si>
    <t>Dana A. Witt</t>
  </si>
  <si>
    <t>Chief Financial Officer</t>
  </si>
  <si>
    <t>1-519-631-4211</t>
  </si>
  <si>
    <t>dwitt@sttenergy.com</t>
  </si>
  <si>
    <t>Acc interest</t>
  </si>
  <si>
    <t xml:space="preserve">Revenue Requirement for Smart Meters Installed </t>
  </si>
  <si>
    <t xml:space="preserve">2010 Rate Year Entitlement </t>
  </si>
  <si>
    <t xml:space="preserve">Smart Meter Funding Adder Collected in Rates </t>
  </si>
  <si>
    <t xml:space="preserve">2006 Rate Year Collected - May 1/06 to April 30/07 </t>
  </si>
  <si>
    <t xml:space="preserve">2007 Rate Year Collected - May 1/07 to April 30/08 </t>
  </si>
  <si>
    <t xml:space="preserve">2008 Rate Year Collected - May 1/08 to April 30/09 </t>
  </si>
  <si>
    <t xml:space="preserve">2009 Rate Year Forecasted - May 1/09 to April 30/10 </t>
  </si>
  <si>
    <t xml:space="preserve">Revenue Requirement for Recovery </t>
  </si>
  <si>
    <t xml:space="preserve">Funding Adder per Metered Customer per Month </t>
  </si>
  <si>
    <t>Estimate</t>
  </si>
  <si>
    <t xml:space="preserve">Q4 2009 </t>
  </si>
  <si>
    <t>Q1 2010</t>
  </si>
  <si>
    <t>Accounting Month</t>
  </si>
  <si>
    <t>Summary of Smart Meter Revenue Requirement                         and Smart Meter Funding Adder</t>
  </si>
  <si>
    <t xml:space="preserve">Number of Metered Customers </t>
  </si>
  <si>
    <t>Number of Months Recovery (May 2010 to April 2011)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</si>
</sst>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0.0%"/>
    <numFmt numFmtId="167" formatCode="_-* #,##0.0_-;\-* #,##0.0_-;_-* &quot;-&quot;??_-;_-@_-"/>
    <numFmt numFmtId="168" formatCode="_-* #,##0_-;\-* #,##0_-;_-* &quot;-&quot;??_-;_-@_-"/>
    <numFmt numFmtId="169" formatCode="_-* #,##0.0_-;\-* #,##0.0_-;_-* &quot;-&quot;?_-;_-@_-"/>
    <numFmt numFmtId="170" formatCode="0.000%"/>
    <numFmt numFmtId="171" formatCode="_-&quot;$&quot;* #,##0.000_-;\-&quot;$&quot;* #,##0.000_-;_-&quot;$&quot;* &quot;-&quot;??_-;_-@_-"/>
    <numFmt numFmtId="172" formatCode="_-&quot;$&quot;* #,##0.0000_-;\-&quot;$&quot;* #,##0.0000_-;_-&quot;$&quot;* &quot;-&quot;??_-;_-@_-"/>
    <numFmt numFmtId="173" formatCode="0.0000000000000000%"/>
    <numFmt numFmtId="174" formatCode="_-* #,##0.0000_-;\-* #,##0.0000_-;_-* &quot;-&quot;????_-;_-@_-"/>
    <numFmt numFmtId="175" formatCode="_-&quot;$&quot;* #,##0.00000_-;\-&quot;$&quot;* #,##0.00000_-;_-&quot;$&quot;* &quot;-&quot;??_-;_-@_-"/>
    <numFmt numFmtId="176" formatCode="_-&quot;$&quot;* #,##0.000000_-;\-&quot;$&quot;* #,##0.000000_-;_-&quot;$&quot;* &quot;-&quot;??_-;_-@_-"/>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 numFmtId="219" formatCode="#,##0.00_ ;[Red]\-#,##0.00\ "/>
  </numFmts>
  <fonts count="62">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24"/>
      <color indexed="10"/>
      <name val="Cooper Black"/>
      <family val="1"/>
    </font>
    <font>
      <sz val="16"/>
      <name val="Arial"/>
      <family val="2"/>
    </font>
    <font>
      <sz val="9"/>
      <name val="Tahoma"/>
      <family val="2"/>
    </font>
    <font>
      <b/>
      <sz val="9"/>
      <name val="Tahoma"/>
      <family val="2"/>
    </font>
    <font>
      <i/>
      <u val="singl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7">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68" fontId="0" fillId="37" borderId="0" xfId="42" applyNumberFormat="1" applyFill="1" applyAlignment="1" applyProtection="1">
      <alignment/>
      <protection locked="0"/>
    </xf>
    <xf numFmtId="168" fontId="0" fillId="33" borderId="0" xfId="0" applyNumberFormat="1" applyFill="1" applyAlignment="1" applyProtection="1">
      <alignment/>
      <protection/>
    </xf>
    <xf numFmtId="0" fontId="7" fillId="33" borderId="0" xfId="0" applyFont="1" applyFill="1" applyAlignment="1" applyProtection="1">
      <alignment/>
      <protection/>
    </xf>
    <xf numFmtId="168" fontId="0" fillId="33" borderId="11" xfId="42" applyNumberFormat="1" applyFill="1" applyBorder="1" applyAlignment="1" applyProtection="1">
      <alignment/>
      <protection/>
    </xf>
    <xf numFmtId="168"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65"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65" fontId="7" fillId="33" borderId="12" xfId="44" applyNumberFormat="1" applyFont="1" applyFill="1" applyBorder="1" applyAlignment="1" applyProtection="1">
      <alignment/>
      <protection/>
    </xf>
    <xf numFmtId="165" fontId="0" fillId="33" borderId="0" xfId="44" applyNumberFormat="1" applyFill="1" applyAlignment="1" applyProtection="1">
      <alignment/>
      <protection/>
    </xf>
    <xf numFmtId="165" fontId="7" fillId="33" borderId="0" xfId="44" applyNumberFormat="1" applyFont="1" applyFill="1" applyBorder="1" applyAlignment="1" applyProtection="1">
      <alignment/>
      <protection/>
    </xf>
    <xf numFmtId="0" fontId="0" fillId="33" borderId="0" xfId="0" applyFill="1" applyAlignment="1">
      <alignment horizontal="left" indent="2"/>
    </xf>
    <xf numFmtId="165" fontId="7" fillId="33" borderId="13" xfId="44" applyNumberFormat="1" applyFont="1" applyFill="1" applyBorder="1" applyAlignment="1" applyProtection="1">
      <alignment/>
      <protection/>
    </xf>
    <xf numFmtId="43" fontId="7" fillId="33" borderId="0" xfId="42" applyFont="1" applyFill="1" applyBorder="1" applyAlignment="1" applyProtection="1">
      <alignment/>
      <protection/>
    </xf>
    <xf numFmtId="165" fontId="7" fillId="33" borderId="13"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44" fontId="0" fillId="33" borderId="0" xfId="44" applyFill="1" applyAlignment="1" applyProtection="1">
      <alignment/>
      <protection/>
    </xf>
    <xf numFmtId="0" fontId="3" fillId="0" borderId="0" xfId="57">
      <alignment/>
      <protection/>
    </xf>
    <xf numFmtId="0" fontId="3" fillId="0" borderId="0" xfId="57" applyAlignment="1">
      <alignment horizontal="center"/>
      <protection/>
    </xf>
    <xf numFmtId="10" fontId="3" fillId="0" borderId="0" xfId="57" applyNumberFormat="1">
      <alignment/>
      <protection/>
    </xf>
    <xf numFmtId="10" fontId="3" fillId="0" borderId="0" xfId="61" applyNumberFormat="1" applyFont="1" applyAlignment="1">
      <alignment/>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44" fontId="8" fillId="33" borderId="14" xfId="44"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44" fontId="8" fillId="33" borderId="17" xfId="44" applyFont="1" applyFill="1" applyBorder="1" applyAlignment="1" applyProtection="1">
      <alignment/>
      <protection/>
    </xf>
    <xf numFmtId="0" fontId="0" fillId="33" borderId="18" xfId="0" applyFill="1" applyBorder="1" applyAlignment="1" applyProtection="1">
      <alignment/>
      <protection/>
    </xf>
    <xf numFmtId="165" fontId="0" fillId="33" borderId="0" xfId="0" applyNumberFormat="1" applyFill="1" applyBorder="1" applyAlignment="1" applyProtection="1">
      <alignment/>
      <protection/>
    </xf>
    <xf numFmtId="44" fontId="0" fillId="33" borderId="0" xfId="44" applyFill="1" applyBorder="1" applyAlignment="1" applyProtection="1">
      <alignment/>
      <protection/>
    </xf>
    <xf numFmtId="44" fontId="0" fillId="33" borderId="19" xfId="44" applyFill="1" applyBorder="1" applyAlignment="1" applyProtection="1">
      <alignment/>
      <protection/>
    </xf>
    <xf numFmtId="0" fontId="0" fillId="33" borderId="17" xfId="0" applyFill="1" applyBorder="1" applyAlignment="1" applyProtection="1">
      <alignment/>
      <protection/>
    </xf>
    <xf numFmtId="44" fontId="0" fillId="33" borderId="17" xfId="44" applyFill="1" applyBorder="1" applyAlignment="1" applyProtection="1">
      <alignment/>
      <protection/>
    </xf>
    <xf numFmtId="44" fontId="0" fillId="33" borderId="18" xfId="44" applyFill="1" applyBorder="1" applyAlignment="1" applyProtection="1">
      <alignment/>
      <protection/>
    </xf>
    <xf numFmtId="44" fontId="0" fillId="33" borderId="11" xfId="44" applyFill="1" applyBorder="1" applyAlignment="1" applyProtection="1">
      <alignment/>
      <protection/>
    </xf>
    <xf numFmtId="166" fontId="8" fillId="33" borderId="17" xfId="61" applyNumberFormat="1" applyFont="1" applyFill="1" applyBorder="1" applyAlignment="1" applyProtection="1">
      <alignment horizontal="center"/>
      <protection/>
    </xf>
    <xf numFmtId="9" fontId="0" fillId="33" borderId="17" xfId="0" applyNumberFormat="1" applyFill="1" applyBorder="1" applyAlignment="1" applyProtection="1">
      <alignment/>
      <protection/>
    </xf>
    <xf numFmtId="165" fontId="0" fillId="33" borderId="18" xfId="0" applyNumberFormat="1" applyFill="1" applyBorder="1" applyAlignment="1" applyProtection="1">
      <alignment/>
      <protection/>
    </xf>
    <xf numFmtId="44" fontId="8" fillId="33" borderId="18" xfId="44" applyFont="1" applyFill="1" applyBorder="1" applyAlignment="1" applyProtection="1">
      <alignment/>
      <protection/>
    </xf>
    <xf numFmtId="44" fontId="8" fillId="33" borderId="0" xfId="44" applyFont="1" applyFill="1" applyBorder="1" applyAlignment="1" applyProtection="1">
      <alignment/>
      <protection/>
    </xf>
    <xf numFmtId="44" fontId="0" fillId="33" borderId="20" xfId="44" applyFill="1" applyBorder="1" applyAlignment="1" applyProtection="1">
      <alignment/>
      <protection/>
    </xf>
    <xf numFmtId="44" fontId="0" fillId="33" borderId="18" xfId="44" applyFont="1" applyFill="1" applyBorder="1" applyAlignment="1" applyProtection="1">
      <alignment/>
      <protection/>
    </xf>
    <xf numFmtId="44" fontId="7" fillId="33" borderId="21" xfId="44" applyFont="1" applyFill="1" applyBorder="1" applyAlignment="1" applyProtection="1">
      <alignment/>
      <protection/>
    </xf>
    <xf numFmtId="0" fontId="0" fillId="33" borderId="22" xfId="0" applyFill="1" applyBorder="1" applyAlignment="1" applyProtection="1">
      <alignment/>
      <protection/>
    </xf>
    <xf numFmtId="44" fontId="0" fillId="33" borderId="22" xfId="44" applyFill="1" applyBorder="1" applyAlignment="1" applyProtection="1">
      <alignment/>
      <protection/>
    </xf>
    <xf numFmtId="44" fontId="0" fillId="33" borderId="23" xfId="44" applyFill="1" applyBorder="1" applyAlignment="1" applyProtection="1">
      <alignment/>
      <protection/>
    </xf>
    <xf numFmtId="0" fontId="0" fillId="33" borderId="0" xfId="0" applyFont="1" applyFill="1" applyAlignment="1">
      <alignment/>
    </xf>
    <xf numFmtId="44" fontId="8" fillId="33" borderId="0" xfId="44" applyFont="1" applyFill="1" applyAlignment="1" applyProtection="1">
      <alignment/>
      <protection/>
    </xf>
    <xf numFmtId="44" fontId="8" fillId="33" borderId="24" xfId="44" applyFont="1" applyFill="1" applyBorder="1" applyAlignment="1" applyProtection="1">
      <alignment/>
      <protection/>
    </xf>
    <xf numFmtId="170" fontId="0" fillId="33" borderId="0" xfId="61" applyNumberFormat="1" applyFill="1" applyAlignment="1" applyProtection="1">
      <alignment/>
      <protection/>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44" fontId="9" fillId="33" borderId="11" xfId="44" applyFont="1" applyFill="1" applyBorder="1" applyAlignment="1" applyProtection="1">
      <alignment/>
      <protection/>
    </xf>
    <xf numFmtId="44" fontId="0" fillId="33" borderId="12" xfId="44" applyFill="1" applyBorder="1" applyAlignment="1" applyProtection="1">
      <alignment/>
      <protection/>
    </xf>
    <xf numFmtId="44" fontId="9" fillId="33" borderId="12" xfId="44" applyFont="1" applyFill="1" applyBorder="1" applyAlignment="1" applyProtection="1">
      <alignment/>
      <protection/>
    </xf>
    <xf numFmtId="0" fontId="24"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5" fillId="33" borderId="0" xfId="0" applyFont="1" applyFill="1" applyAlignment="1">
      <alignment/>
    </xf>
    <xf numFmtId="168"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25" xfId="0" applyFont="1" applyFill="1" applyBorder="1" applyAlignment="1" applyProtection="1">
      <alignment vertical="top"/>
      <protection/>
    </xf>
    <xf numFmtId="165" fontId="0" fillId="37" borderId="0" xfId="44" applyNumberFormat="1" applyFont="1" applyFill="1" applyAlignment="1" applyProtection="1">
      <alignment/>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68" fontId="0" fillId="37" borderId="0" xfId="42" applyNumberFormat="1" applyFill="1" applyAlignment="1" applyProtection="1">
      <alignment horizontal="center"/>
      <protection locked="0"/>
    </xf>
    <xf numFmtId="43" fontId="20" fillId="33" borderId="15" xfId="42" applyFont="1" applyFill="1" applyBorder="1" applyAlignment="1" applyProtection="1">
      <alignment/>
      <protection/>
    </xf>
    <xf numFmtId="43"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65" fontId="0" fillId="39" borderId="0" xfId="44" applyNumberFormat="1" applyFont="1" applyFill="1" applyAlignment="1" applyProtection="1">
      <alignment/>
      <protection/>
    </xf>
    <xf numFmtId="165" fontId="0" fillId="39" borderId="0" xfId="0" applyNumberFormat="1" applyFill="1" applyAlignment="1" applyProtection="1">
      <alignment/>
      <protection/>
    </xf>
    <xf numFmtId="165" fontId="0" fillId="39" borderId="12" xfId="0" applyNumberFormat="1" applyFill="1" applyBorder="1" applyAlignment="1" applyProtection="1">
      <alignment/>
      <protection/>
    </xf>
    <xf numFmtId="165" fontId="0" fillId="39" borderId="0" xfId="44" applyNumberFormat="1" applyFill="1" applyAlignment="1" applyProtection="1">
      <alignment/>
      <protection/>
    </xf>
    <xf numFmtId="165" fontId="0" fillId="39" borderId="12" xfId="44" applyNumberFormat="1" applyFont="1" applyFill="1" applyBorder="1" applyAlignment="1" applyProtection="1">
      <alignment/>
      <protection/>
    </xf>
    <xf numFmtId="165" fontId="0" fillId="39" borderId="12" xfId="44" applyNumberFormat="1" applyFill="1" applyBorder="1" applyAlignment="1" applyProtection="1">
      <alignment/>
      <protection/>
    </xf>
    <xf numFmtId="44" fontId="0" fillId="39" borderId="0" xfId="44" applyFill="1" applyAlignment="1" applyProtection="1">
      <alignment/>
      <protection/>
    </xf>
    <xf numFmtId="168" fontId="0" fillId="39" borderId="0" xfId="42" applyNumberFormat="1" applyFill="1" applyAlignment="1" applyProtection="1">
      <alignment/>
      <protection/>
    </xf>
    <xf numFmtId="9" fontId="0" fillId="39" borderId="0" xfId="61" applyFill="1" applyAlignment="1" applyProtection="1">
      <alignment/>
      <protection/>
    </xf>
    <xf numFmtId="44" fontId="0" fillId="39" borderId="11" xfId="0" applyNumberFormat="1" applyFill="1" applyBorder="1" applyAlignment="1" applyProtection="1">
      <alignment/>
      <protection/>
    </xf>
    <xf numFmtId="0" fontId="0" fillId="39" borderId="0" xfId="0" applyFill="1" applyAlignment="1" applyProtection="1">
      <alignment/>
      <protection/>
    </xf>
    <xf numFmtId="165"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0" fontId="8" fillId="33" borderId="0" xfId="0" applyNumberFormat="1" applyFont="1" applyFill="1" applyAlignment="1" applyProtection="1">
      <alignment horizontal="center"/>
      <protection/>
    </xf>
    <xf numFmtId="44" fontId="0" fillId="33" borderId="26" xfId="44" applyFill="1" applyBorder="1" applyAlignment="1" applyProtection="1">
      <alignment/>
      <protection/>
    </xf>
    <xf numFmtId="0" fontId="3" fillId="0" borderId="0" xfId="57" applyFont="1">
      <alignment/>
      <protection/>
    </xf>
    <xf numFmtId="17" fontId="3" fillId="0" borderId="0" xfId="57" applyNumberFormat="1" applyAlignment="1">
      <alignment horizontal="center"/>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170" fontId="0" fillId="0" borderId="0" xfId="58" applyNumberFormat="1">
      <alignment/>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0" fontId="0" fillId="37" borderId="0" xfId="0" applyFont="1" applyFill="1" applyAlignment="1">
      <alignment/>
    </xf>
    <xf numFmtId="165" fontId="0" fillId="37" borderId="27" xfId="44" applyNumberFormat="1" applyFont="1" applyFill="1" applyBorder="1" applyAlignment="1" applyProtection="1">
      <alignment/>
      <protection locked="0"/>
    </xf>
    <xf numFmtId="165" fontId="0" fillId="33" borderId="0" xfId="0" applyNumberFormat="1" applyFill="1" applyAlignment="1">
      <alignment/>
    </xf>
    <xf numFmtId="44" fontId="0" fillId="33" borderId="0" xfId="0" applyNumberFormat="1" applyFill="1" applyAlignment="1">
      <alignment/>
    </xf>
    <xf numFmtId="44" fontId="0" fillId="33" borderId="11" xfId="44" applyFont="1" applyFill="1" applyBorder="1" applyAlignment="1" applyProtection="1">
      <alignment/>
      <protection/>
    </xf>
    <xf numFmtId="44" fontId="0" fillId="33" borderId="12" xfId="44" applyFont="1" applyFill="1" applyBorder="1" applyAlignment="1" applyProtection="1">
      <alignment/>
      <protection/>
    </xf>
    <xf numFmtId="44" fontId="7" fillId="33" borderId="11" xfId="44" applyFont="1" applyFill="1" applyBorder="1" applyAlignment="1" applyProtection="1">
      <alignment/>
      <protection/>
    </xf>
    <xf numFmtId="44" fontId="0" fillId="33" borderId="17" xfId="44" applyFont="1" applyFill="1" applyBorder="1" applyAlignment="1" applyProtection="1">
      <alignment/>
      <protection/>
    </xf>
    <xf numFmtId="44" fontId="0" fillId="33" borderId="0" xfId="44" applyFont="1" applyFill="1" applyBorder="1" applyAlignment="1" applyProtection="1">
      <alignment/>
      <protection/>
    </xf>
    <xf numFmtId="0" fontId="0" fillId="33" borderId="17" xfId="0" applyFont="1" applyFill="1" applyBorder="1" applyAlignment="1" applyProtection="1">
      <alignment/>
      <protection/>
    </xf>
    <xf numFmtId="0" fontId="0" fillId="33" borderId="0" xfId="0" applyFont="1" applyFill="1" applyBorder="1" applyAlignment="1" applyProtection="1">
      <alignment/>
      <protection/>
    </xf>
    <xf numFmtId="165" fontId="0" fillId="33" borderId="18" xfId="44" applyNumberFormat="1" applyFont="1" applyFill="1" applyBorder="1" applyAlignment="1" applyProtection="1">
      <alignment/>
      <protection/>
    </xf>
    <xf numFmtId="44" fontId="0" fillId="33" borderId="20" xfId="44" applyFont="1" applyFill="1" applyBorder="1" applyAlignment="1" applyProtection="1">
      <alignment/>
      <protection/>
    </xf>
    <xf numFmtId="2" fontId="3" fillId="39" borderId="0" xfId="44" applyNumberFormat="1" applyFont="1" applyFill="1" applyAlignment="1">
      <alignment/>
    </xf>
    <xf numFmtId="2" fontId="3" fillId="37" borderId="0" xfId="44" applyNumberFormat="1" applyFont="1" applyFill="1" applyAlignment="1">
      <alignment/>
    </xf>
    <xf numFmtId="2" fontId="3" fillId="39" borderId="0" xfId="57" applyNumberFormat="1" applyFill="1">
      <alignment/>
      <protection/>
    </xf>
    <xf numFmtId="2" fontId="3" fillId="0" borderId="0" xfId="57" applyNumberFormat="1">
      <alignment/>
      <protection/>
    </xf>
    <xf numFmtId="3" fontId="0" fillId="0" borderId="0" xfId="0" applyNumberFormat="1" applyAlignment="1">
      <alignment/>
    </xf>
    <xf numFmtId="4" fontId="0" fillId="0" borderId="0" xfId="0" applyNumberFormat="1" applyAlignment="1">
      <alignment/>
    </xf>
    <xf numFmtId="189" fontId="0" fillId="0" borderId="0" xfId="0" applyNumberFormat="1" applyAlignment="1">
      <alignment/>
    </xf>
    <xf numFmtId="0" fontId="14" fillId="39" borderId="0" xfId="57" applyFont="1" applyFill="1">
      <alignment/>
      <protection/>
    </xf>
    <xf numFmtId="40" fontId="0" fillId="0" borderId="0" xfId="0" applyNumberFormat="1" applyAlignment="1">
      <alignment/>
    </xf>
    <xf numFmtId="8" fontId="0" fillId="0" borderId="0" xfId="0" applyNumberFormat="1" applyAlignment="1">
      <alignment/>
    </xf>
    <xf numFmtId="0" fontId="7" fillId="0" borderId="0" xfId="0" applyFont="1" applyAlignment="1">
      <alignment horizontal="center"/>
    </xf>
    <xf numFmtId="8" fontId="0" fillId="0" borderId="13" xfId="0" applyNumberFormat="1" applyBorder="1" applyAlignment="1">
      <alignment/>
    </xf>
    <xf numFmtId="0" fontId="28" fillId="0" borderId="0" xfId="0" applyFont="1" applyAlignment="1">
      <alignment/>
    </xf>
    <xf numFmtId="0" fontId="0" fillId="0" borderId="0" xfId="0" applyFont="1" applyAlignment="1">
      <alignment/>
    </xf>
    <xf numFmtId="189" fontId="0" fillId="0" borderId="28" xfId="0" applyNumberFormat="1" applyBorder="1" applyAlignment="1">
      <alignment/>
    </xf>
    <xf numFmtId="9" fontId="0" fillId="37" borderId="0" xfId="61" applyFont="1" applyFill="1" applyAlignment="1" applyProtection="1">
      <alignment horizontal="center"/>
      <protection locked="0"/>
    </xf>
    <xf numFmtId="44" fontId="0" fillId="33" borderId="0" xfId="0" applyNumberFormat="1" applyFill="1" applyBorder="1" applyAlignment="1" applyProtection="1">
      <alignment/>
      <protection/>
    </xf>
    <xf numFmtId="0" fontId="2" fillId="35" borderId="29" xfId="53" applyFill="1" applyBorder="1" applyAlignment="1" applyProtection="1">
      <alignment horizontal="left"/>
      <protection locked="0"/>
    </xf>
    <xf numFmtId="0" fontId="0" fillId="35" borderId="30"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9" xfId="0" applyFont="1" applyFill="1" applyBorder="1" applyAlignment="1" applyProtection="1">
      <alignment horizontal="left"/>
      <protection locked="0"/>
    </xf>
    <xf numFmtId="0" fontId="12" fillId="35" borderId="30" xfId="0" applyFont="1" applyFill="1" applyBorder="1" applyAlignment="1" applyProtection="1">
      <alignment horizontal="left"/>
      <protection locked="0"/>
    </xf>
    <xf numFmtId="0" fontId="20" fillId="33" borderId="25" xfId="0" applyFont="1" applyFill="1" applyBorder="1" applyAlignment="1" applyProtection="1">
      <alignment horizontal="center" vertical="top"/>
      <protection/>
    </xf>
    <xf numFmtId="0" fontId="24"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22" xfId="0" applyFont="1" applyFill="1" applyBorder="1" applyAlignment="1" applyProtection="1">
      <alignment horizontal="center"/>
      <protection/>
    </xf>
    <xf numFmtId="0" fontId="19" fillId="33" borderId="23" xfId="0" applyFont="1" applyFill="1" applyBorder="1" applyAlignment="1" applyProtection="1">
      <alignment horizontal="center"/>
      <protection/>
    </xf>
    <xf numFmtId="0" fontId="19" fillId="33" borderId="26"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19" fillId="33" borderId="16" xfId="0" applyFont="1" applyFill="1" applyBorder="1" applyAlignment="1" applyProtection="1">
      <alignment horizontal="center"/>
      <protection/>
    </xf>
    <xf numFmtId="0" fontId="22" fillId="0" borderId="31" xfId="57" applyFont="1" applyBorder="1" applyAlignment="1">
      <alignment horizontal="center"/>
      <protection/>
    </xf>
    <xf numFmtId="0" fontId="22" fillId="0" borderId="32" xfId="57" applyFont="1" applyBorder="1" applyAlignment="1">
      <alignment horizontal="center"/>
      <protection/>
    </xf>
    <xf numFmtId="0" fontId="22" fillId="0" borderId="33" xfId="57" applyFont="1" applyBorder="1" applyAlignment="1">
      <alignment horizontal="center"/>
      <protection/>
    </xf>
    <xf numFmtId="0" fontId="7" fillId="0" borderId="0" xfId="0" applyFont="1" applyAlignment="1">
      <alignment horizontal="left" wrapText="1"/>
    </xf>
    <xf numFmtId="0" fontId="0" fillId="0" borderId="0" xfId="0"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witt@sttenerg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E42" sqref="E42"/>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195</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47" t="s">
        <v>261</v>
      </c>
      <c r="D4"/>
      <c r="E4" s="12"/>
      <c r="F4" s="1"/>
      <c r="G4" s="1"/>
      <c r="H4" s="1"/>
    </row>
    <row r="5" spans="1:8" ht="15.75">
      <c r="A5" s="10"/>
      <c r="B5" s="11"/>
      <c r="C5" s="13"/>
      <c r="D5" s="13"/>
      <c r="E5" s="13"/>
      <c r="F5" s="1"/>
      <c r="G5" s="1"/>
      <c r="H5" s="1"/>
    </row>
    <row r="6" spans="1:8" ht="15.75">
      <c r="A6" s="10"/>
      <c r="B6" s="11" t="s">
        <v>1</v>
      </c>
      <c r="C6" s="37" t="s">
        <v>262</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40196</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9" t="s">
        <v>3</v>
      </c>
      <c r="B13" s="179"/>
      <c r="C13" s="16"/>
      <c r="D13" s="16"/>
      <c r="E13" s="16"/>
      <c r="F13" s="15"/>
      <c r="G13" s="15"/>
      <c r="H13" s="15"/>
    </row>
    <row r="14" spans="1:8" ht="16.5" thickBot="1">
      <c r="A14" s="15"/>
      <c r="B14" s="19" t="s">
        <v>4</v>
      </c>
      <c r="C14" s="180" t="s">
        <v>263</v>
      </c>
      <c r="D14" s="181"/>
      <c r="E14" s="20"/>
      <c r="F14" s="15"/>
      <c r="G14" s="15"/>
      <c r="H14" s="15"/>
    </row>
    <row r="15" spans="1:8" ht="16.5" thickBot="1">
      <c r="A15" s="15"/>
      <c r="B15" s="21"/>
      <c r="C15" s="16"/>
      <c r="D15" s="16"/>
      <c r="E15" s="16"/>
      <c r="F15" s="15"/>
      <c r="G15" s="15"/>
      <c r="H15" s="15"/>
    </row>
    <row r="16" spans="1:8" ht="16.5" thickBot="1">
      <c r="A16" s="15"/>
      <c r="B16" s="19" t="s">
        <v>5</v>
      </c>
      <c r="C16" s="180" t="s">
        <v>264</v>
      </c>
      <c r="D16" s="181"/>
      <c r="E16" s="20"/>
      <c r="F16" s="2"/>
      <c r="G16" s="15"/>
      <c r="H16" s="15"/>
    </row>
    <row r="17" spans="1:8" ht="16.5" thickBot="1">
      <c r="A17" s="15"/>
      <c r="B17" s="21"/>
      <c r="C17" s="16"/>
      <c r="D17" s="16"/>
      <c r="E17" s="16"/>
      <c r="F17" s="15"/>
      <c r="G17" s="15"/>
      <c r="H17" s="15"/>
    </row>
    <row r="18" spans="1:8" ht="16.5" thickBot="1">
      <c r="A18" s="15"/>
      <c r="B18" s="19" t="s">
        <v>6</v>
      </c>
      <c r="C18" s="180" t="s">
        <v>265</v>
      </c>
      <c r="D18" s="181"/>
      <c r="E18" s="20"/>
      <c r="F18" s="15"/>
      <c r="G18" s="15"/>
      <c r="H18" s="15"/>
    </row>
    <row r="19" spans="1:8" ht="15" thickBot="1">
      <c r="A19" s="1"/>
      <c r="B19" s="22"/>
      <c r="C19" s="23"/>
      <c r="D19" s="23"/>
      <c r="E19" s="23"/>
      <c r="F19" s="1"/>
      <c r="G19" s="1"/>
      <c r="H19" s="1"/>
    </row>
    <row r="20" spans="1:8" ht="16.5" thickBot="1">
      <c r="A20" s="1"/>
      <c r="B20" s="19" t="s">
        <v>7</v>
      </c>
      <c r="C20" s="177" t="s">
        <v>266</v>
      </c>
      <c r="D20" s="178"/>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dwitt@sttenergy.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50"/>
  <sheetViews>
    <sheetView showGridLines="0" zoomScale="75" zoomScaleNormal="75" zoomScalePageLayoutView="0" workbookViewId="0" topLeftCell="A1">
      <selection activeCell="K147" sqref="K147"/>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83" t="s">
        <v>12</v>
      </c>
      <c r="C1" s="183"/>
      <c r="D1" s="183"/>
      <c r="E1" s="183"/>
      <c r="F1" s="183"/>
      <c r="G1" s="183"/>
      <c r="H1" s="183"/>
      <c r="I1" s="183"/>
      <c r="J1" s="98"/>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101" t="s">
        <v>212</v>
      </c>
      <c r="K4" s="24" t="s">
        <v>16</v>
      </c>
    </row>
    <row r="5" spans="1:11" ht="12.75">
      <c r="A5" s="5"/>
      <c r="B5" s="29"/>
      <c r="C5" s="29"/>
      <c r="D5" s="100" t="s">
        <v>210</v>
      </c>
      <c r="E5" s="100" t="s">
        <v>210</v>
      </c>
      <c r="F5" s="100" t="s">
        <v>209</v>
      </c>
      <c r="G5" s="100" t="s">
        <v>211</v>
      </c>
      <c r="H5" s="100" t="s">
        <v>211</v>
      </c>
      <c r="I5" s="100" t="s">
        <v>211</v>
      </c>
      <c r="J5" s="100" t="s">
        <v>211</v>
      </c>
      <c r="K5" s="30"/>
    </row>
    <row r="6" spans="1:11" ht="12.75">
      <c r="A6" s="5"/>
      <c r="B6" s="31" t="s">
        <v>17</v>
      </c>
      <c r="C6" s="31"/>
      <c r="D6" s="112">
        <v>0</v>
      </c>
      <c r="E6" s="112">
        <v>0</v>
      </c>
      <c r="F6" s="112">
        <v>0</v>
      </c>
      <c r="G6" s="112">
        <v>0</v>
      </c>
      <c r="H6" s="112">
        <v>14292</v>
      </c>
      <c r="I6" s="112">
        <v>0</v>
      </c>
      <c r="J6" s="112">
        <v>0</v>
      </c>
      <c r="K6" s="33">
        <f>SUM(D6:J6)</f>
        <v>14292</v>
      </c>
    </row>
    <row r="7" ht="12.75"/>
    <row r="8" spans="1:11" ht="12.75">
      <c r="A8" s="5"/>
      <c r="B8" s="31" t="s">
        <v>18</v>
      </c>
      <c r="C8" s="31"/>
      <c r="D8" s="32">
        <v>0</v>
      </c>
      <c r="E8" s="32">
        <v>0</v>
      </c>
      <c r="F8" s="32">
        <v>0</v>
      </c>
      <c r="G8" s="32">
        <v>0</v>
      </c>
      <c r="H8" s="32">
        <v>1679</v>
      </c>
      <c r="I8" s="32">
        <v>0</v>
      </c>
      <c r="J8" s="32">
        <v>0</v>
      </c>
      <c r="K8" s="33">
        <f>SUM(D8:J8)</f>
        <v>1679</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0</v>
      </c>
      <c r="H10" s="35">
        <f t="shared" si="0"/>
        <v>15971</v>
      </c>
      <c r="I10" s="35">
        <f t="shared" si="0"/>
        <v>0</v>
      </c>
      <c r="J10" s="35">
        <f t="shared" si="0"/>
        <v>0</v>
      </c>
      <c r="K10" s="35">
        <f t="shared" si="0"/>
        <v>15971</v>
      </c>
    </row>
    <row r="11" spans="1:11" ht="12.75">
      <c r="A11" s="5"/>
      <c r="B11" s="34"/>
      <c r="C11" s="34"/>
      <c r="D11" s="103"/>
      <c r="E11" s="103"/>
      <c r="F11" s="103"/>
      <c r="G11" s="103"/>
      <c r="H11" s="103"/>
      <c r="I11" s="103"/>
      <c r="J11" s="103"/>
      <c r="K11" s="103"/>
    </row>
    <row r="12" spans="1:11" ht="12.75">
      <c r="A12" s="5"/>
      <c r="B12" s="34" t="s">
        <v>214</v>
      </c>
      <c r="C12" s="34"/>
      <c r="D12" s="104">
        <f>IF(ISERROR(SUM($D10:D10)/$K10),0,SUM($D10:D10)/$K10)</f>
        <v>0</v>
      </c>
      <c r="E12" s="104">
        <f>IF(ISERROR(SUM($D10:E10)/$K10),0,SUM($D10:E10)/$K10)</f>
        <v>0</v>
      </c>
      <c r="F12" s="104">
        <f>IF(ISERROR(SUM($D10:F10)/$K10),0,SUM($D10:F10)/$K10)</f>
        <v>0</v>
      </c>
      <c r="G12" s="104">
        <f>IF(ISERROR(SUM($D10:G10)/$K10),0,SUM($D10:G10)/$K10)</f>
        <v>0</v>
      </c>
      <c r="H12" s="104">
        <f>IF(ISERROR(SUM($D10:H10)/$K10),0,SUM($D10:H10)/$K10)</f>
        <v>1</v>
      </c>
      <c r="I12" s="104">
        <f>IF(ISERROR(SUM($D10:I10)/$K10),0,SUM($D10:I10)/$K10)</f>
        <v>1</v>
      </c>
      <c r="J12" s="104">
        <f>IF(ISERROR(SUM($D10:J10)/$K10),0,SUM($D10:J10)/$K10)</f>
        <v>1</v>
      </c>
      <c r="K12" s="103"/>
    </row>
    <row r="13" spans="1:11" ht="12.75">
      <c r="A13" s="5"/>
      <c r="B13" s="5"/>
      <c r="C13" s="5"/>
      <c r="D13" s="5"/>
      <c r="E13" s="5"/>
      <c r="F13" s="5"/>
      <c r="G13" s="5"/>
      <c r="H13" s="5"/>
      <c r="I13" s="5"/>
      <c r="J13" s="5"/>
      <c r="K13" s="5"/>
    </row>
    <row r="14" spans="1:11" ht="12.75">
      <c r="A14" s="5"/>
      <c r="B14" s="56" t="s">
        <v>19</v>
      </c>
      <c r="C14" s="31"/>
      <c r="D14" s="32">
        <v>0</v>
      </c>
      <c r="E14" s="32">
        <v>0</v>
      </c>
      <c r="F14" s="32">
        <v>0</v>
      </c>
      <c r="G14" s="32">
        <v>0</v>
      </c>
      <c r="H14" s="32">
        <v>169</v>
      </c>
      <c r="I14" s="32">
        <v>0</v>
      </c>
      <c r="J14" s="32">
        <v>0</v>
      </c>
      <c r="K14" s="33">
        <f>SUM(D14:J14)</f>
        <v>169</v>
      </c>
    </row>
    <row r="16" spans="1:11" ht="13.5" thickBot="1">
      <c r="A16" s="5"/>
      <c r="B16" s="56" t="s">
        <v>213</v>
      </c>
      <c r="C16" s="31"/>
      <c r="D16" s="36">
        <f aca="true" t="shared" si="1" ref="D16:J16">SUM(D10,D14)</f>
        <v>0</v>
      </c>
      <c r="E16" s="36">
        <f t="shared" si="1"/>
        <v>0</v>
      </c>
      <c r="F16" s="36">
        <f t="shared" si="1"/>
        <v>0</v>
      </c>
      <c r="G16" s="36">
        <f t="shared" si="1"/>
        <v>0</v>
      </c>
      <c r="H16" s="36">
        <f t="shared" si="1"/>
        <v>16140</v>
      </c>
      <c r="I16" s="36">
        <f t="shared" si="1"/>
        <v>0</v>
      </c>
      <c r="J16" s="36">
        <f t="shared" si="1"/>
        <v>0</v>
      </c>
      <c r="K16" s="36">
        <f>SUM(D16:J16)</f>
        <v>16140</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Actual</v>
      </c>
      <c r="G20" s="24" t="str">
        <f t="shared" si="3"/>
        <v>Forecasted</v>
      </c>
      <c r="H20" s="24" t="str">
        <f t="shared" si="3"/>
        <v>Forecasted</v>
      </c>
      <c r="I20" s="24" t="str">
        <f t="shared" si="3"/>
        <v>Forecasted</v>
      </c>
      <c r="J20" s="24" t="str">
        <f t="shared" si="3"/>
        <v>Forecasted</v>
      </c>
      <c r="K20" s="30"/>
    </row>
    <row r="21" spans="1:11" ht="12.75">
      <c r="A21" s="5"/>
      <c r="B21" s="31" t="s">
        <v>22</v>
      </c>
      <c r="C21" s="31"/>
      <c r="D21" s="32">
        <v>0</v>
      </c>
      <c r="E21" s="32">
        <v>0</v>
      </c>
      <c r="F21" s="32">
        <v>0</v>
      </c>
      <c r="G21" s="32">
        <v>0</v>
      </c>
      <c r="H21" s="32">
        <v>22</v>
      </c>
      <c r="I21" s="32">
        <v>0</v>
      </c>
      <c r="J21" s="32">
        <v>0</v>
      </c>
      <c r="K21" s="33">
        <f>SUM(D21:J21)</f>
        <v>22</v>
      </c>
    </row>
    <row r="22" ht="12.75">
      <c r="U22" s="7"/>
    </row>
    <row r="23" spans="1:11" ht="12.75">
      <c r="A23" s="5"/>
      <c r="B23" s="31" t="s">
        <v>23</v>
      </c>
      <c r="C23" s="31"/>
      <c r="D23" s="32">
        <v>0</v>
      </c>
      <c r="E23" s="32">
        <v>0</v>
      </c>
      <c r="F23" s="32">
        <v>0</v>
      </c>
      <c r="G23" s="32">
        <v>0</v>
      </c>
      <c r="H23" s="32">
        <v>0</v>
      </c>
      <c r="I23" s="32">
        <v>0</v>
      </c>
      <c r="J23" s="32">
        <v>0</v>
      </c>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Actual</v>
      </c>
      <c r="G38" s="24" t="str">
        <f t="shared" si="5"/>
        <v>Forecasted</v>
      </c>
      <c r="H38" s="24" t="str">
        <f t="shared" si="5"/>
        <v>Forecasted</v>
      </c>
      <c r="I38" s="24" t="str">
        <f t="shared" si="5"/>
        <v>Forecasted</v>
      </c>
      <c r="J38" s="24" t="str">
        <f t="shared" si="5"/>
        <v>Forecasted</v>
      </c>
      <c r="K38" s="24"/>
    </row>
    <row r="39" spans="1:21" ht="20.25">
      <c r="A39" s="5"/>
      <c r="B39" s="41" t="s">
        <v>28</v>
      </c>
      <c r="C39" s="105" t="s">
        <v>8</v>
      </c>
      <c r="D39" s="148">
        <v>0</v>
      </c>
      <c r="E39" s="148">
        <v>0</v>
      </c>
      <c r="F39" s="148">
        <v>0</v>
      </c>
      <c r="G39" s="148">
        <v>0</v>
      </c>
      <c r="H39" s="148">
        <v>2229595.92651744</v>
      </c>
      <c r="I39" s="148">
        <v>22624.163366584322</v>
      </c>
      <c r="J39" s="148">
        <v>45248.326733168644</v>
      </c>
      <c r="K39" s="42">
        <f>SUM(D39:J39)</f>
        <v>2297468.416617193</v>
      </c>
      <c r="U39" s="102"/>
    </row>
    <row r="40" spans="1:21" ht="20.25">
      <c r="A40" s="5"/>
      <c r="B40" s="43" t="s">
        <v>29</v>
      </c>
      <c r="C40" s="43"/>
      <c r="D40" s="107"/>
      <c r="E40" s="107"/>
      <c r="F40" s="107"/>
      <c r="G40" s="107"/>
      <c r="H40" s="107"/>
      <c r="I40" s="107"/>
      <c r="J40" s="99"/>
      <c r="K40" s="5"/>
      <c r="U40" s="102"/>
    </row>
    <row r="41" spans="1:21" ht="20.25">
      <c r="A41" s="5"/>
      <c r="B41" s="41" t="s">
        <v>30</v>
      </c>
      <c r="C41" s="105" t="s">
        <v>8</v>
      </c>
      <c r="D41" s="148">
        <v>0</v>
      </c>
      <c r="E41" s="148">
        <v>0</v>
      </c>
      <c r="F41" s="148">
        <v>0</v>
      </c>
      <c r="G41" s="148">
        <v>0</v>
      </c>
      <c r="H41" s="148">
        <v>256348.56515471204</v>
      </c>
      <c r="I41" s="148">
        <v>0</v>
      </c>
      <c r="J41" s="148">
        <v>0</v>
      </c>
      <c r="K41" s="42">
        <f>SUM(D41:J41)</f>
        <v>256348.56515471204</v>
      </c>
      <c r="U41" s="102"/>
    </row>
    <row r="42" spans="1:11" ht="12.75">
      <c r="A42" s="5"/>
      <c r="B42" s="43" t="s">
        <v>31</v>
      </c>
      <c r="C42" s="43"/>
      <c r="D42" s="182"/>
      <c r="E42" s="182"/>
      <c r="F42" s="182"/>
      <c r="G42" s="182"/>
      <c r="H42" s="182"/>
      <c r="I42" s="182"/>
      <c r="J42" s="99"/>
      <c r="K42" s="5"/>
    </row>
    <row r="43" spans="1:11" ht="15.75">
      <c r="A43" s="5"/>
      <c r="B43" s="41" t="s">
        <v>32</v>
      </c>
      <c r="C43" s="105" t="s">
        <v>9</v>
      </c>
      <c r="D43" s="148">
        <v>0</v>
      </c>
      <c r="E43" s="148">
        <v>0</v>
      </c>
      <c r="F43" s="148">
        <v>0</v>
      </c>
      <c r="G43" s="148">
        <v>0</v>
      </c>
      <c r="H43" s="148">
        <v>16558.7328</v>
      </c>
      <c r="I43" s="148">
        <v>0</v>
      </c>
      <c r="J43" s="148">
        <v>0</v>
      </c>
      <c r="K43" s="42">
        <f>SUM(D43:J43)</f>
        <v>16558.7328</v>
      </c>
    </row>
    <row r="44" spans="1:11" ht="12.75">
      <c r="A44" s="5"/>
      <c r="B44" s="43" t="s">
        <v>33</v>
      </c>
      <c r="C44" s="43"/>
      <c r="D44" s="182"/>
      <c r="E44" s="182"/>
      <c r="F44" s="182"/>
      <c r="G44" s="182"/>
      <c r="H44" s="182"/>
      <c r="I44" s="182"/>
      <c r="J44" s="99"/>
      <c r="K44" s="5"/>
    </row>
    <row r="45" spans="1:11" ht="15.75">
      <c r="A45" s="5"/>
      <c r="B45" s="41" t="s">
        <v>34</v>
      </c>
      <c r="C45" s="105" t="s">
        <v>10</v>
      </c>
      <c r="D45" s="148">
        <v>0</v>
      </c>
      <c r="E45" s="148">
        <v>0</v>
      </c>
      <c r="F45" s="148">
        <v>0</v>
      </c>
      <c r="G45" s="148">
        <v>0</v>
      </c>
      <c r="H45" s="148">
        <v>0</v>
      </c>
      <c r="I45" s="148">
        <v>0</v>
      </c>
      <c r="J45" s="148">
        <v>0</v>
      </c>
      <c r="K45" s="42">
        <f>SUM(D45:J45)</f>
        <v>0</v>
      </c>
    </row>
    <row r="46" spans="1:11" ht="12.75">
      <c r="A46" s="5"/>
      <c r="B46" s="43" t="s">
        <v>33</v>
      </c>
      <c r="C46" s="43"/>
      <c r="D46" s="182"/>
      <c r="E46" s="182"/>
      <c r="F46" s="182"/>
      <c r="G46" s="182"/>
      <c r="H46" s="182"/>
      <c r="I46" s="182"/>
      <c r="J46" s="99"/>
      <c r="K46" s="5"/>
    </row>
    <row r="47" spans="1:11" ht="12.75">
      <c r="A47" s="5"/>
      <c r="B47" s="40"/>
      <c r="C47" s="40"/>
      <c r="D47" s="5"/>
      <c r="E47" s="24"/>
      <c r="F47" s="24"/>
      <c r="G47" s="5"/>
      <c r="H47" s="5"/>
      <c r="I47" s="5"/>
      <c r="J47" s="5"/>
      <c r="K47" s="5"/>
    </row>
    <row r="48" spans="1:11" ht="13.5" thickBot="1">
      <c r="A48" s="5"/>
      <c r="B48" s="41" t="s">
        <v>35</v>
      </c>
      <c r="C48" s="41"/>
      <c r="D48" s="44">
        <f aca="true" t="shared" si="6" ref="D48:K48">SUM(D39,D41,D43,D45)</f>
        <v>0</v>
      </c>
      <c r="E48" s="44">
        <f t="shared" si="6"/>
        <v>0</v>
      </c>
      <c r="F48" s="44">
        <f t="shared" si="6"/>
        <v>0</v>
      </c>
      <c r="G48" s="44">
        <f t="shared" si="6"/>
        <v>0</v>
      </c>
      <c r="H48" s="44">
        <f t="shared" si="6"/>
        <v>2502503.224472152</v>
      </c>
      <c r="I48" s="44">
        <f t="shared" si="6"/>
        <v>22624.163366584322</v>
      </c>
      <c r="J48" s="44">
        <f t="shared" si="6"/>
        <v>45248.326733168644</v>
      </c>
      <c r="K48" s="44">
        <f t="shared" si="6"/>
        <v>2570375.714571905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Actual</v>
      </c>
      <c r="G52" s="24" t="str">
        <f t="shared" si="8"/>
        <v>Forecasted</v>
      </c>
      <c r="H52" s="24" t="str">
        <f t="shared" si="8"/>
        <v>Forecasted</v>
      </c>
      <c r="I52" s="24" t="str">
        <f t="shared" si="8"/>
        <v>Forecasted</v>
      </c>
      <c r="J52" s="24" t="str">
        <f t="shared" si="8"/>
        <v>Forecasted</v>
      </c>
      <c r="K52" s="24"/>
    </row>
    <row r="53" spans="1:11" ht="15.75">
      <c r="A53" s="5"/>
      <c r="B53" s="41" t="s">
        <v>37</v>
      </c>
      <c r="C53" s="105" t="s">
        <v>8</v>
      </c>
      <c r="D53" s="148">
        <v>0</v>
      </c>
      <c r="E53" s="148">
        <v>0</v>
      </c>
      <c r="F53" s="148">
        <v>0</v>
      </c>
      <c r="G53" s="148">
        <v>0</v>
      </c>
      <c r="H53" s="148">
        <v>104700.49632000002</v>
      </c>
      <c r="I53" s="148">
        <v>0</v>
      </c>
      <c r="J53" s="148">
        <v>0</v>
      </c>
      <c r="K53" s="45">
        <f>SUM(D53:J53)</f>
        <v>104700.49632000002</v>
      </c>
    </row>
    <row r="54" spans="1:11" ht="12.75">
      <c r="A54" s="5"/>
      <c r="B54" s="43"/>
      <c r="C54" s="43"/>
      <c r="D54" s="182"/>
      <c r="E54" s="182"/>
      <c r="F54" s="182"/>
      <c r="G54" s="182"/>
      <c r="H54" s="182"/>
      <c r="I54" s="182"/>
      <c r="J54" s="99"/>
      <c r="K54" s="5"/>
    </row>
    <row r="55" spans="1:11" ht="12.75">
      <c r="A55" s="5"/>
      <c r="B55" s="40"/>
      <c r="C55" s="40"/>
      <c r="D55" s="24"/>
      <c r="E55" s="24"/>
      <c r="F55" s="24"/>
      <c r="G55" s="24"/>
      <c r="H55" s="24"/>
      <c r="I55" s="24"/>
      <c r="J55" s="24"/>
      <c r="K55" s="24"/>
    </row>
    <row r="56" spans="1:11" ht="15.75">
      <c r="A56" s="5"/>
      <c r="B56" s="41" t="s">
        <v>38</v>
      </c>
      <c r="C56" s="105" t="s">
        <v>8</v>
      </c>
      <c r="D56" s="148">
        <v>0</v>
      </c>
      <c r="E56" s="148">
        <v>0</v>
      </c>
      <c r="F56" s="148">
        <v>0</v>
      </c>
      <c r="G56" s="148">
        <v>0</v>
      </c>
      <c r="H56" s="148">
        <v>0</v>
      </c>
      <c r="I56" s="148">
        <v>0</v>
      </c>
      <c r="J56" s="148">
        <v>0</v>
      </c>
      <c r="K56" s="45">
        <f>SUM(D56:J56)</f>
        <v>0</v>
      </c>
    </row>
    <row r="57" spans="1:11" ht="12.75">
      <c r="A57" s="5"/>
      <c r="B57" s="43" t="s">
        <v>39</v>
      </c>
      <c r="C57" s="43"/>
      <c r="D57" s="182"/>
      <c r="E57" s="182"/>
      <c r="F57" s="182"/>
      <c r="G57" s="182"/>
      <c r="H57" s="182"/>
      <c r="I57" s="182"/>
      <c r="J57" s="99"/>
      <c r="K57" s="5"/>
    </row>
    <row r="58" spans="1:11" ht="12.75">
      <c r="A58" s="5"/>
      <c r="B58" s="40"/>
      <c r="C58" s="40"/>
      <c r="D58" s="24"/>
      <c r="E58" s="24"/>
      <c r="F58" s="24"/>
      <c r="G58" s="24"/>
      <c r="H58" s="24"/>
      <c r="I58" s="24"/>
      <c r="J58" s="24"/>
      <c r="K58" s="24"/>
    </row>
    <row r="59" spans="1:11" ht="15.75">
      <c r="A59" s="5"/>
      <c r="B59" s="41" t="s">
        <v>40</v>
      </c>
      <c r="C59" s="105" t="s">
        <v>8</v>
      </c>
      <c r="D59" s="148">
        <v>0</v>
      </c>
      <c r="E59" s="148">
        <v>0</v>
      </c>
      <c r="F59" s="148">
        <v>0</v>
      </c>
      <c r="G59" s="148">
        <v>0</v>
      </c>
      <c r="H59" s="148">
        <v>95797.79280000001</v>
      </c>
      <c r="I59" s="148">
        <v>0</v>
      </c>
      <c r="J59" s="148">
        <v>0</v>
      </c>
      <c r="K59" s="45">
        <f>SUM(D59:J59)</f>
        <v>95797.79280000001</v>
      </c>
    </row>
    <row r="60" spans="1:11" ht="12.75">
      <c r="A60" s="5"/>
      <c r="B60" s="43" t="s">
        <v>41</v>
      </c>
      <c r="C60" s="43"/>
      <c r="D60" s="182"/>
      <c r="E60" s="182"/>
      <c r="F60" s="182"/>
      <c r="G60" s="182"/>
      <c r="H60" s="182"/>
      <c r="I60" s="182"/>
      <c r="J60" s="99"/>
      <c r="K60" s="5"/>
    </row>
    <row r="61" spans="1:11" ht="12.75">
      <c r="A61" s="5"/>
      <c r="B61" s="40"/>
      <c r="C61" s="40"/>
      <c r="D61" s="5"/>
      <c r="E61" s="24"/>
      <c r="F61" s="24"/>
      <c r="G61" s="5"/>
      <c r="H61" s="5"/>
      <c r="I61" s="5"/>
      <c r="J61" s="5"/>
      <c r="K61" s="5"/>
    </row>
    <row r="62" spans="1:11" ht="13.5" thickBot="1">
      <c r="A62" s="5"/>
      <c r="B62" s="41" t="s">
        <v>42</v>
      </c>
      <c r="C62" s="41"/>
      <c r="D62" s="44">
        <f aca="true" t="shared" si="9" ref="D62:K62">SUM(D53,D56,D59)</f>
        <v>0</v>
      </c>
      <c r="E62" s="44">
        <f t="shared" si="9"/>
        <v>0</v>
      </c>
      <c r="F62" s="44">
        <f t="shared" si="9"/>
        <v>0</v>
      </c>
      <c r="G62" s="44">
        <f t="shared" si="9"/>
        <v>0</v>
      </c>
      <c r="H62" s="44">
        <f t="shared" si="9"/>
        <v>200498.28912000003</v>
      </c>
      <c r="I62" s="44">
        <f t="shared" si="9"/>
        <v>0</v>
      </c>
      <c r="J62" s="44">
        <f t="shared" si="9"/>
        <v>0</v>
      </c>
      <c r="K62" s="44">
        <f t="shared" si="9"/>
        <v>200498.28912000003</v>
      </c>
    </row>
    <row r="63" spans="1:11" ht="12.75">
      <c r="A63" s="5"/>
      <c r="B63" s="41"/>
      <c r="C63" s="41"/>
      <c r="D63" s="46"/>
      <c r="E63" s="46"/>
      <c r="F63" s="46"/>
      <c r="G63" s="46"/>
      <c r="H63" s="46"/>
      <c r="I63" s="46"/>
      <c r="J63" s="46"/>
      <c r="K63" s="46"/>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Actual</v>
      </c>
      <c r="G66" s="24" t="str">
        <f t="shared" si="11"/>
        <v>Forecasted</v>
      </c>
      <c r="H66" s="24" t="str">
        <f t="shared" si="11"/>
        <v>Forecasted</v>
      </c>
      <c r="I66" s="24" t="str">
        <f t="shared" si="11"/>
        <v>Forecasted</v>
      </c>
      <c r="J66" s="24" t="str">
        <f t="shared" si="11"/>
        <v>Forecasted</v>
      </c>
      <c r="K66" s="24"/>
    </row>
    <row r="67" spans="1:11" ht="15.75">
      <c r="A67" s="5"/>
      <c r="B67" s="41" t="s">
        <v>44</v>
      </c>
      <c r="C67" s="105" t="s">
        <v>9</v>
      </c>
      <c r="D67" s="148">
        <v>0</v>
      </c>
      <c r="E67" s="148">
        <v>0</v>
      </c>
      <c r="F67" s="148">
        <v>0</v>
      </c>
      <c r="G67" s="148">
        <v>0</v>
      </c>
      <c r="H67" s="148">
        <v>0</v>
      </c>
      <c r="I67" s="148">
        <v>0</v>
      </c>
      <c r="J67" s="148">
        <v>0</v>
      </c>
      <c r="K67" s="45">
        <f>SUM(D67:J67)</f>
        <v>0</v>
      </c>
    </row>
    <row r="68" spans="1:11" ht="12.75">
      <c r="A68" s="5"/>
      <c r="B68" s="43"/>
      <c r="C68" s="43"/>
      <c r="D68" s="106"/>
      <c r="E68" s="106"/>
      <c r="F68" s="106"/>
      <c r="G68" s="106"/>
      <c r="H68" s="106"/>
      <c r="I68" s="106"/>
      <c r="J68" s="99"/>
      <c r="K68" s="5"/>
    </row>
    <row r="69" spans="1:11" ht="15.75">
      <c r="A69" s="5"/>
      <c r="B69" s="41" t="s">
        <v>45</v>
      </c>
      <c r="C69" s="105" t="s">
        <v>10</v>
      </c>
      <c r="D69" s="148">
        <v>0</v>
      </c>
      <c r="E69" s="148">
        <v>0</v>
      </c>
      <c r="F69" s="148">
        <v>0</v>
      </c>
      <c r="G69" s="148">
        <v>0</v>
      </c>
      <c r="H69" s="148">
        <v>94483.584</v>
      </c>
      <c r="I69" s="148">
        <v>0</v>
      </c>
      <c r="J69" s="148">
        <v>0</v>
      </c>
      <c r="K69" s="45">
        <f>SUM(D69:J69)</f>
        <v>94483.584</v>
      </c>
    </row>
    <row r="70" spans="1:11" ht="12.75">
      <c r="A70" s="5"/>
      <c r="B70" s="43"/>
      <c r="C70" s="43"/>
      <c r="D70" s="182"/>
      <c r="E70" s="182"/>
      <c r="F70" s="182"/>
      <c r="G70" s="182"/>
      <c r="H70" s="182"/>
      <c r="I70" s="182"/>
      <c r="J70" s="99"/>
      <c r="K70" s="5"/>
    </row>
    <row r="71" spans="1:11" ht="15.75">
      <c r="A71" s="5"/>
      <c r="B71" s="41" t="s">
        <v>46</v>
      </c>
      <c r="C71" s="105" t="s">
        <v>10</v>
      </c>
      <c r="D71" s="148">
        <v>0</v>
      </c>
      <c r="E71" s="148">
        <v>0</v>
      </c>
      <c r="F71" s="148">
        <v>0</v>
      </c>
      <c r="G71" s="148">
        <v>0</v>
      </c>
      <c r="H71" s="148">
        <v>0</v>
      </c>
      <c r="I71" s="148">
        <v>0</v>
      </c>
      <c r="J71" s="148">
        <v>0</v>
      </c>
      <c r="K71" s="45">
        <f>SUM(D71:J71)</f>
        <v>0</v>
      </c>
    </row>
    <row r="72" spans="1:11" ht="12.75">
      <c r="A72" s="5"/>
      <c r="B72" s="43" t="s">
        <v>47</v>
      </c>
      <c r="C72" s="43"/>
      <c r="D72" s="182"/>
      <c r="E72" s="182"/>
      <c r="F72" s="182"/>
      <c r="G72" s="182"/>
      <c r="H72" s="182"/>
      <c r="I72" s="182"/>
      <c r="J72" s="99"/>
      <c r="K72" s="5"/>
    </row>
    <row r="73" spans="1:11" ht="13.5" thickBot="1">
      <c r="A73" s="5"/>
      <c r="B73" s="41" t="s">
        <v>48</v>
      </c>
      <c r="C73" s="41"/>
      <c r="D73" s="44">
        <f aca="true" t="shared" si="12" ref="D73:K73">SUM(D67,D69,D71)</f>
        <v>0</v>
      </c>
      <c r="E73" s="44">
        <f t="shared" si="12"/>
        <v>0</v>
      </c>
      <c r="F73" s="44">
        <f t="shared" si="12"/>
        <v>0</v>
      </c>
      <c r="G73" s="44">
        <f t="shared" si="12"/>
        <v>0</v>
      </c>
      <c r="H73" s="44">
        <f t="shared" si="12"/>
        <v>94483.584</v>
      </c>
      <c r="I73" s="44">
        <f t="shared" si="12"/>
        <v>0</v>
      </c>
      <c r="J73" s="44">
        <f t="shared" si="12"/>
        <v>0</v>
      </c>
      <c r="K73" s="44">
        <f t="shared" si="12"/>
        <v>94483.584</v>
      </c>
    </row>
    <row r="74" spans="1:11" ht="12.75">
      <c r="A74" s="5"/>
      <c r="B74" s="41"/>
      <c r="C74" s="41"/>
      <c r="D74" s="46"/>
      <c r="E74" s="46"/>
      <c r="F74" s="46"/>
      <c r="G74" s="46"/>
      <c r="H74" s="46"/>
      <c r="I74" s="46"/>
      <c r="J74" s="46"/>
      <c r="K74" s="46"/>
    </row>
    <row r="75" spans="1:11" ht="12.75">
      <c r="A75" s="5"/>
      <c r="B75" s="47"/>
      <c r="C75" s="47"/>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Actual</v>
      </c>
      <c r="G77" s="24" t="str">
        <f t="shared" si="14"/>
        <v>Forecasted</v>
      </c>
      <c r="H77" s="24" t="str">
        <f t="shared" si="14"/>
        <v>Forecasted</v>
      </c>
      <c r="I77" s="24" t="str">
        <f t="shared" si="14"/>
        <v>Forecasted</v>
      </c>
      <c r="J77" s="24" t="str">
        <f t="shared" si="14"/>
        <v>Forecasted</v>
      </c>
      <c r="K77" s="24"/>
    </row>
    <row r="78" spans="1:11" ht="15.75">
      <c r="A78" s="5"/>
      <c r="B78" s="41" t="s">
        <v>50</v>
      </c>
      <c r="C78" s="105" t="s">
        <v>216</v>
      </c>
      <c r="D78" s="148">
        <v>0</v>
      </c>
      <c r="E78" s="148">
        <v>0</v>
      </c>
      <c r="F78" s="148">
        <v>0</v>
      </c>
      <c r="G78" s="148">
        <v>0</v>
      </c>
      <c r="H78" s="148">
        <v>0</v>
      </c>
      <c r="I78" s="148">
        <v>0</v>
      </c>
      <c r="J78" s="148">
        <v>0</v>
      </c>
      <c r="K78" s="45">
        <f>SUM(D78:J78)</f>
        <v>0</v>
      </c>
    </row>
    <row r="79" spans="1:11" ht="12.75">
      <c r="A79" s="5"/>
      <c r="B79" s="40"/>
      <c r="C79" s="40"/>
      <c r="D79" s="5"/>
      <c r="E79" s="24"/>
      <c r="F79" s="24"/>
      <c r="G79" s="5"/>
      <c r="H79" s="5"/>
      <c r="I79" s="5"/>
      <c r="J79" s="5"/>
      <c r="K79" s="5"/>
    </row>
    <row r="80" spans="1:11" ht="13.5" thickBot="1">
      <c r="A80" s="5"/>
      <c r="B80" s="41" t="s">
        <v>51</v>
      </c>
      <c r="C80" s="41"/>
      <c r="D80" s="44">
        <f aca="true" t="shared" si="15" ref="D80:K80">SUM(D78)</f>
        <v>0</v>
      </c>
      <c r="E80" s="44">
        <f t="shared" si="15"/>
        <v>0</v>
      </c>
      <c r="F80" s="44">
        <f t="shared" si="15"/>
        <v>0</v>
      </c>
      <c r="G80" s="44">
        <f t="shared" si="15"/>
        <v>0</v>
      </c>
      <c r="H80" s="44">
        <f t="shared" si="15"/>
        <v>0</v>
      </c>
      <c r="I80" s="44">
        <f t="shared" si="15"/>
        <v>0</v>
      </c>
      <c r="J80" s="44">
        <f t="shared" si="15"/>
        <v>0</v>
      </c>
      <c r="K80" s="44">
        <f t="shared" si="15"/>
        <v>0</v>
      </c>
    </row>
    <row r="81" spans="1:11" ht="12.75">
      <c r="A81" s="5"/>
      <c r="B81" s="41"/>
      <c r="C81" s="41"/>
      <c r="D81" s="46"/>
      <c r="E81" s="46"/>
      <c r="F81" s="46"/>
      <c r="G81" s="46"/>
      <c r="H81" s="46"/>
      <c r="I81" s="46"/>
      <c r="J81" s="46"/>
      <c r="K81" s="46"/>
    </row>
    <row r="82" spans="1:11" ht="12.75">
      <c r="A82" s="5"/>
      <c r="B82" s="47"/>
      <c r="C82" s="47"/>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Actual</v>
      </c>
      <c r="G84" s="24" t="str">
        <f t="shared" si="17"/>
        <v>Forecasted</v>
      </c>
      <c r="H84" s="24" t="str">
        <f t="shared" si="17"/>
        <v>Forecasted</v>
      </c>
      <c r="I84" s="24" t="str">
        <f t="shared" si="17"/>
        <v>Forecasted</v>
      </c>
      <c r="J84" s="24" t="str">
        <f t="shared" si="17"/>
        <v>Forecasted</v>
      </c>
      <c r="K84" s="24"/>
    </row>
    <row r="85" spans="1:11" ht="15.75">
      <c r="A85" s="5"/>
      <c r="B85" s="41" t="s">
        <v>53</v>
      </c>
      <c r="C85" s="105" t="s">
        <v>215</v>
      </c>
      <c r="D85" s="148">
        <v>0</v>
      </c>
      <c r="E85" s="148">
        <v>0</v>
      </c>
      <c r="F85" s="148">
        <v>0</v>
      </c>
      <c r="G85" s="148">
        <v>0</v>
      </c>
      <c r="H85" s="148">
        <v>0</v>
      </c>
      <c r="I85" s="148">
        <v>0</v>
      </c>
      <c r="J85" s="148">
        <v>0</v>
      </c>
      <c r="K85" s="45">
        <f>SUM(D85:J85)</f>
        <v>0</v>
      </c>
    </row>
    <row r="86" spans="1:11" ht="12.75">
      <c r="A86" s="5"/>
      <c r="B86" s="43"/>
      <c r="C86" s="43"/>
      <c r="D86" s="182"/>
      <c r="E86" s="182"/>
      <c r="F86" s="182"/>
      <c r="G86" s="182"/>
      <c r="H86" s="182"/>
      <c r="I86" s="182"/>
      <c r="J86" s="99"/>
      <c r="K86" s="5"/>
    </row>
    <row r="87" spans="1:11" ht="15.75">
      <c r="A87" s="5"/>
      <c r="B87" s="41" t="s">
        <v>54</v>
      </c>
      <c r="C87" s="105" t="s">
        <v>10</v>
      </c>
      <c r="D87" s="148">
        <v>0</v>
      </c>
      <c r="E87" s="148">
        <v>0</v>
      </c>
      <c r="F87" s="148">
        <v>0</v>
      </c>
      <c r="G87" s="148">
        <v>0</v>
      </c>
      <c r="H87" s="148">
        <v>24997.2</v>
      </c>
      <c r="I87" s="148">
        <v>0</v>
      </c>
      <c r="J87" s="148">
        <v>0</v>
      </c>
      <c r="K87" s="45">
        <f>SUM(D87:J87)</f>
        <v>24997.2</v>
      </c>
    </row>
    <row r="88" spans="1:11" ht="12.75">
      <c r="A88" s="5"/>
      <c r="B88" s="43"/>
      <c r="C88" s="43"/>
      <c r="D88" s="182"/>
      <c r="E88" s="182"/>
      <c r="F88" s="182"/>
      <c r="G88" s="182"/>
      <c r="H88" s="182"/>
      <c r="I88" s="182"/>
      <c r="J88" s="99"/>
      <c r="K88" s="5"/>
    </row>
    <row r="89" spans="1:11" ht="15.75">
      <c r="A89" s="5"/>
      <c r="B89" s="41" t="s">
        <v>55</v>
      </c>
      <c r="C89" s="105" t="s">
        <v>10</v>
      </c>
      <c r="D89" s="148">
        <v>0</v>
      </c>
      <c r="E89" s="148">
        <v>0</v>
      </c>
      <c r="F89" s="148">
        <v>0</v>
      </c>
      <c r="G89" s="148">
        <v>0</v>
      </c>
      <c r="H89" s="148">
        <v>157200</v>
      </c>
      <c r="I89" s="148">
        <v>0</v>
      </c>
      <c r="J89" s="148">
        <v>0</v>
      </c>
      <c r="K89" s="45">
        <f>SUM(D89:J89)</f>
        <v>157200</v>
      </c>
    </row>
    <row r="90" spans="1:11" ht="12.75">
      <c r="A90" s="5"/>
      <c r="B90" s="43"/>
      <c r="C90" s="43"/>
      <c r="D90" s="182"/>
      <c r="E90" s="182"/>
      <c r="F90" s="182"/>
      <c r="G90" s="182"/>
      <c r="H90" s="182"/>
      <c r="I90" s="182"/>
      <c r="J90" s="99"/>
      <c r="K90" s="5"/>
    </row>
    <row r="91" spans="1:11" ht="15.75">
      <c r="A91" s="5"/>
      <c r="B91" s="41" t="s">
        <v>56</v>
      </c>
      <c r="C91" s="105" t="s">
        <v>10</v>
      </c>
      <c r="D91" s="148">
        <v>0</v>
      </c>
      <c r="E91" s="148">
        <v>0</v>
      </c>
      <c r="F91" s="148">
        <v>0</v>
      </c>
      <c r="G91" s="148">
        <v>0</v>
      </c>
      <c r="H91" s="148">
        <v>106373.3472</v>
      </c>
      <c r="I91" s="148">
        <v>0</v>
      </c>
      <c r="J91" s="148">
        <v>0</v>
      </c>
      <c r="K91" s="45">
        <f>SUM(D91:J91)</f>
        <v>106373.3472</v>
      </c>
    </row>
    <row r="92" spans="1:11" ht="12.75">
      <c r="A92" s="5"/>
      <c r="B92" s="43"/>
      <c r="C92" s="43"/>
      <c r="D92" s="182"/>
      <c r="E92" s="182"/>
      <c r="F92" s="182"/>
      <c r="G92" s="182"/>
      <c r="H92" s="182"/>
      <c r="I92" s="182"/>
      <c r="J92" s="99"/>
      <c r="K92" s="5"/>
    </row>
    <row r="93" spans="1:11" ht="15.75">
      <c r="A93" s="5"/>
      <c r="B93" s="41" t="s">
        <v>57</v>
      </c>
      <c r="C93" s="105" t="s">
        <v>10</v>
      </c>
      <c r="D93" s="148">
        <v>0</v>
      </c>
      <c r="E93" s="148">
        <v>0</v>
      </c>
      <c r="F93" s="148">
        <v>0</v>
      </c>
      <c r="G93" s="148">
        <v>0</v>
      </c>
      <c r="H93" s="148">
        <v>161114.83200000002</v>
      </c>
      <c r="I93" s="148">
        <v>0</v>
      </c>
      <c r="J93" s="148">
        <v>0</v>
      </c>
      <c r="K93" s="45">
        <f>SUM(D93:J93)</f>
        <v>161114.83200000002</v>
      </c>
    </row>
    <row r="94" spans="1:11" ht="12.75">
      <c r="A94" s="5"/>
      <c r="B94" s="43"/>
      <c r="D94" s="182"/>
      <c r="E94" s="182"/>
      <c r="F94" s="182"/>
      <c r="G94" s="182"/>
      <c r="H94" s="182"/>
      <c r="I94" s="182"/>
      <c r="J94" s="99"/>
      <c r="K94" s="5"/>
    </row>
    <row r="95" spans="1:11" ht="15.75">
      <c r="A95" s="5"/>
      <c r="B95" s="41" t="s">
        <v>58</v>
      </c>
      <c r="C95" s="105" t="s">
        <v>10</v>
      </c>
      <c r="D95" s="148">
        <v>0</v>
      </c>
      <c r="E95" s="148">
        <v>0</v>
      </c>
      <c r="F95" s="148">
        <v>0</v>
      </c>
      <c r="G95" s="148">
        <v>0</v>
      </c>
      <c r="H95" s="148">
        <v>0</v>
      </c>
      <c r="I95" s="148">
        <v>0</v>
      </c>
      <c r="J95" s="148">
        <v>0</v>
      </c>
      <c r="K95" s="45">
        <f>SUM(D95:J95)</f>
        <v>0</v>
      </c>
    </row>
    <row r="96" spans="1:11" ht="12.75">
      <c r="A96" s="5"/>
      <c r="B96" s="43"/>
      <c r="D96" s="182"/>
      <c r="E96" s="182"/>
      <c r="F96" s="182"/>
      <c r="G96" s="182"/>
      <c r="H96" s="182"/>
      <c r="I96" s="182"/>
      <c r="J96" s="99"/>
      <c r="K96" s="5"/>
    </row>
    <row r="97" spans="1:11" ht="13.5" thickBot="1">
      <c r="A97" s="5"/>
      <c r="B97" s="41" t="s">
        <v>59</v>
      </c>
      <c r="C97" s="41"/>
      <c r="D97" s="44">
        <f aca="true" t="shared" si="18" ref="D97:K97">SUM(D85,D87,D89,D91,D95,D93)</f>
        <v>0</v>
      </c>
      <c r="E97" s="44">
        <f t="shared" si="18"/>
        <v>0</v>
      </c>
      <c r="F97" s="44">
        <f t="shared" si="18"/>
        <v>0</v>
      </c>
      <c r="G97" s="44">
        <f t="shared" si="18"/>
        <v>0</v>
      </c>
      <c r="H97" s="44">
        <f t="shared" si="18"/>
        <v>449685.3792000001</v>
      </c>
      <c r="I97" s="44">
        <f t="shared" si="18"/>
        <v>0</v>
      </c>
      <c r="J97" s="44">
        <f t="shared" si="18"/>
        <v>0</v>
      </c>
      <c r="K97" s="44">
        <f t="shared" si="18"/>
        <v>449685.3792000001</v>
      </c>
    </row>
    <row r="98" spans="1:11" ht="12.75">
      <c r="A98" s="5"/>
      <c r="B98" s="34"/>
      <c r="C98" s="34"/>
      <c r="D98" s="46"/>
      <c r="E98" s="46"/>
      <c r="F98" s="46"/>
      <c r="G98" s="46"/>
      <c r="H98" s="46"/>
      <c r="I98" s="46"/>
      <c r="J98" s="46"/>
      <c r="K98" s="46"/>
    </row>
    <row r="99" spans="1:11" ht="18.75" thickBot="1">
      <c r="A99" s="5"/>
      <c r="B99" s="28" t="s">
        <v>60</v>
      </c>
      <c r="C99" s="28"/>
      <c r="D99" s="48">
        <f aca="true" t="shared" si="19" ref="D99:K99">SUM(D48,D62,D80,D97,D73)</f>
        <v>0</v>
      </c>
      <c r="E99" s="48">
        <f t="shared" si="19"/>
        <v>0</v>
      </c>
      <c r="F99" s="48">
        <f t="shared" si="19"/>
        <v>0</v>
      </c>
      <c r="G99" s="48">
        <f t="shared" si="19"/>
        <v>0</v>
      </c>
      <c r="H99" s="48">
        <f t="shared" si="19"/>
        <v>3247170.476792152</v>
      </c>
      <c r="I99" s="48">
        <f t="shared" si="19"/>
        <v>22624.163366584322</v>
      </c>
      <c r="J99" s="48">
        <f t="shared" si="19"/>
        <v>45248.326733168644</v>
      </c>
      <c r="K99" s="48">
        <f t="shared" si="19"/>
        <v>3315042.9668919044</v>
      </c>
    </row>
    <row r="100" spans="1:11" ht="13.5" thickTop="1">
      <c r="A100" s="5"/>
      <c r="B100" s="34"/>
      <c r="C100" s="34"/>
      <c r="D100" s="49"/>
      <c r="E100" s="46"/>
      <c r="F100" s="46"/>
      <c r="G100" s="46"/>
      <c r="H100" s="46"/>
      <c r="I100" s="46"/>
      <c r="J100" s="46"/>
      <c r="K100" s="46"/>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Actual</v>
      </c>
      <c r="G104" s="24" t="str">
        <f t="shared" si="21"/>
        <v>Forecasted</v>
      </c>
      <c r="H104" s="24" t="str">
        <f t="shared" si="21"/>
        <v>Forecasted</v>
      </c>
      <c r="I104" s="24" t="str">
        <f t="shared" si="21"/>
        <v>Forecasted</v>
      </c>
      <c r="J104" s="24" t="str">
        <f t="shared" si="21"/>
        <v>Forecasted</v>
      </c>
      <c r="K104" s="24"/>
    </row>
    <row r="105" spans="1:11" ht="12.75">
      <c r="A105" s="5"/>
      <c r="B105" s="41" t="s">
        <v>63</v>
      </c>
      <c r="C105" s="41"/>
      <c r="D105" s="148">
        <v>0</v>
      </c>
      <c r="E105" s="148">
        <v>0</v>
      </c>
      <c r="F105" s="148">
        <v>0</v>
      </c>
      <c r="G105" s="148">
        <v>0</v>
      </c>
      <c r="H105" s="148">
        <v>0</v>
      </c>
      <c r="I105" s="148">
        <v>0</v>
      </c>
      <c r="J105" s="148">
        <v>0</v>
      </c>
      <c r="K105" s="45">
        <f>SUM(D105:J105)</f>
        <v>0</v>
      </c>
    </row>
    <row r="106" spans="1:11" ht="12.75">
      <c r="A106" s="5"/>
      <c r="B106" s="43" t="s">
        <v>64</v>
      </c>
      <c r="C106" s="43"/>
      <c r="D106" s="182"/>
      <c r="E106" s="182"/>
      <c r="F106" s="182"/>
      <c r="G106" s="182"/>
      <c r="H106" s="182"/>
      <c r="I106" s="182"/>
      <c r="J106" s="99"/>
      <c r="K106" s="5"/>
    </row>
    <row r="107" spans="1:11" ht="13.5" thickBot="1">
      <c r="A107" s="5"/>
      <c r="B107" s="41" t="s">
        <v>65</v>
      </c>
      <c r="C107" s="41"/>
      <c r="D107" s="44">
        <f aca="true" t="shared" si="22" ref="D107:K107">SUM(D105)</f>
        <v>0</v>
      </c>
      <c r="E107" s="44">
        <f t="shared" si="22"/>
        <v>0</v>
      </c>
      <c r="F107" s="44">
        <f t="shared" si="22"/>
        <v>0</v>
      </c>
      <c r="G107" s="44">
        <f t="shared" si="22"/>
        <v>0</v>
      </c>
      <c r="H107" s="44">
        <f t="shared" si="22"/>
        <v>0</v>
      </c>
      <c r="I107" s="44">
        <f t="shared" si="22"/>
        <v>0</v>
      </c>
      <c r="J107" s="44">
        <f t="shared" si="22"/>
        <v>0</v>
      </c>
      <c r="K107" s="44">
        <f t="shared" si="22"/>
        <v>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148">
        <v>0</v>
      </c>
      <c r="E110" s="148">
        <v>0</v>
      </c>
      <c r="F110" s="148">
        <v>0</v>
      </c>
      <c r="G110" s="148">
        <v>0</v>
      </c>
      <c r="H110" s="148">
        <v>0</v>
      </c>
      <c r="I110" s="148">
        <v>0</v>
      </c>
      <c r="J110" s="148">
        <v>0</v>
      </c>
      <c r="K110" s="45">
        <f>SUM(D110:J110)</f>
        <v>0</v>
      </c>
    </row>
    <row r="111" spans="1:11" ht="12.75">
      <c r="A111" s="5"/>
      <c r="B111" s="43"/>
      <c r="C111" s="43"/>
      <c r="D111" s="182"/>
      <c r="E111" s="182"/>
      <c r="F111" s="182"/>
      <c r="G111" s="182"/>
      <c r="H111" s="182"/>
      <c r="I111" s="182"/>
      <c r="J111" s="99"/>
      <c r="K111" s="5"/>
    </row>
    <row r="112" spans="1:11" ht="12.75">
      <c r="A112" s="5"/>
      <c r="B112" s="40"/>
      <c r="C112" s="40"/>
      <c r="D112" s="5"/>
      <c r="E112" s="24"/>
      <c r="F112" s="24"/>
      <c r="G112" s="5"/>
      <c r="H112" s="5"/>
      <c r="I112" s="5"/>
      <c r="J112" s="5"/>
      <c r="K112" s="5"/>
    </row>
    <row r="113" spans="1:11" ht="13.5" thickBot="1">
      <c r="A113" s="5"/>
      <c r="B113" s="41" t="s">
        <v>42</v>
      </c>
      <c r="C113" s="41"/>
      <c r="D113" s="44">
        <f aca="true" t="shared" si="23" ref="D113:K113">SUM(D110)</f>
        <v>0</v>
      </c>
      <c r="E113" s="44">
        <f t="shared" si="23"/>
        <v>0</v>
      </c>
      <c r="F113" s="44">
        <f t="shared" si="23"/>
        <v>0</v>
      </c>
      <c r="G113" s="44">
        <f t="shared" si="23"/>
        <v>0</v>
      </c>
      <c r="H113" s="44">
        <f t="shared" si="23"/>
        <v>0</v>
      </c>
      <c r="I113" s="44">
        <f t="shared" si="23"/>
        <v>0</v>
      </c>
      <c r="J113" s="44">
        <f t="shared" si="23"/>
        <v>0</v>
      </c>
      <c r="K113" s="44">
        <f t="shared" si="23"/>
        <v>0</v>
      </c>
    </row>
    <row r="114" spans="1:11" ht="12.75">
      <c r="A114" s="5"/>
      <c r="B114" s="41"/>
      <c r="C114" s="41"/>
      <c r="D114" s="46"/>
      <c r="E114" s="46"/>
      <c r="F114" s="46"/>
      <c r="G114" s="46"/>
      <c r="H114" s="46"/>
      <c r="I114" s="46"/>
      <c r="J114" s="46"/>
      <c r="K114" s="46"/>
    </row>
    <row r="115" spans="1:11" ht="18">
      <c r="A115" s="5"/>
      <c r="B115" s="39" t="s">
        <v>68</v>
      </c>
      <c r="C115" s="39"/>
      <c r="D115" s="5"/>
      <c r="E115" s="5"/>
      <c r="F115" s="5"/>
      <c r="G115" s="5"/>
      <c r="H115" s="5"/>
      <c r="I115" s="5"/>
      <c r="J115" s="5"/>
      <c r="K115" s="5"/>
    </row>
    <row r="116" spans="1:11" ht="12.75">
      <c r="A116" s="5"/>
      <c r="B116" s="41" t="s">
        <v>69</v>
      </c>
      <c r="C116" s="41"/>
      <c r="D116" s="148">
        <v>0</v>
      </c>
      <c r="E116" s="148">
        <v>0</v>
      </c>
      <c r="F116" s="148">
        <v>0</v>
      </c>
      <c r="G116" s="148">
        <v>0</v>
      </c>
      <c r="H116" s="148">
        <v>0</v>
      </c>
      <c r="I116" s="148">
        <v>0</v>
      </c>
      <c r="J116" s="148">
        <v>0</v>
      </c>
      <c r="K116" s="45">
        <f>SUM(D116:J116)</f>
        <v>0</v>
      </c>
    </row>
    <row r="117" spans="1:11" ht="12.75">
      <c r="A117" s="5"/>
      <c r="B117" s="43" t="s">
        <v>70</v>
      </c>
      <c r="C117" s="43"/>
      <c r="D117" s="182"/>
      <c r="E117" s="182"/>
      <c r="F117" s="182"/>
      <c r="G117" s="182"/>
      <c r="H117" s="182"/>
      <c r="I117" s="182"/>
      <c r="J117" s="99"/>
      <c r="K117" s="5"/>
    </row>
    <row r="118" spans="1:11" ht="12.75">
      <c r="A118" s="5"/>
      <c r="B118" s="40"/>
      <c r="C118" s="40"/>
      <c r="D118" s="24"/>
      <c r="E118" s="24"/>
      <c r="F118" s="24"/>
      <c r="G118" s="24"/>
      <c r="H118" s="24"/>
      <c r="I118" s="24"/>
      <c r="J118" s="24"/>
      <c r="K118" s="5"/>
    </row>
    <row r="119" spans="1:11" ht="12.75">
      <c r="A119" s="5"/>
      <c r="B119" s="41" t="s">
        <v>71</v>
      </c>
      <c r="C119" s="41"/>
      <c r="D119" s="148">
        <v>0</v>
      </c>
      <c r="E119" s="148">
        <v>0</v>
      </c>
      <c r="F119" s="148">
        <v>0</v>
      </c>
      <c r="G119" s="148">
        <v>0</v>
      </c>
      <c r="H119" s="148">
        <v>40558.9032</v>
      </c>
      <c r="I119" s="148">
        <v>22846.8640176</v>
      </c>
      <c r="J119" s="148">
        <v>47622.24393842483</v>
      </c>
      <c r="K119" s="45">
        <f>SUM(D119:J119)</f>
        <v>111028.01115602483</v>
      </c>
    </row>
    <row r="120" spans="1:11" ht="12.75">
      <c r="A120" s="5"/>
      <c r="B120" s="43" t="s">
        <v>72</v>
      </c>
      <c r="C120" s="43"/>
      <c r="D120" s="182"/>
      <c r="E120" s="182"/>
      <c r="F120" s="182"/>
      <c r="G120" s="182"/>
      <c r="H120" s="182"/>
      <c r="I120" s="182"/>
      <c r="J120" s="99"/>
      <c r="K120" s="5"/>
    </row>
    <row r="121" spans="1:11" ht="12.75">
      <c r="A121" s="5"/>
      <c r="B121" s="40"/>
      <c r="C121" s="40"/>
      <c r="D121" s="5"/>
      <c r="E121" s="24"/>
      <c r="F121" s="24"/>
      <c r="G121" s="5"/>
      <c r="H121" s="5"/>
      <c r="I121" s="5"/>
      <c r="J121" s="5"/>
      <c r="K121" s="5"/>
    </row>
    <row r="122" spans="1:11" ht="13.5" thickBot="1">
      <c r="A122" s="5"/>
      <c r="B122" s="41" t="s">
        <v>48</v>
      </c>
      <c r="C122" s="41"/>
      <c r="D122" s="44">
        <f aca="true" t="shared" si="24" ref="D122:K122">SUM(D116,D119)</f>
        <v>0</v>
      </c>
      <c r="E122" s="44">
        <f t="shared" si="24"/>
        <v>0</v>
      </c>
      <c r="F122" s="44">
        <f t="shared" si="24"/>
        <v>0</v>
      </c>
      <c r="G122" s="44">
        <f t="shared" si="24"/>
        <v>0</v>
      </c>
      <c r="H122" s="44">
        <f t="shared" si="24"/>
        <v>40558.9032</v>
      </c>
      <c r="I122" s="44">
        <f t="shared" si="24"/>
        <v>22846.8640176</v>
      </c>
      <c r="J122" s="44">
        <f t="shared" si="24"/>
        <v>47622.24393842483</v>
      </c>
      <c r="K122" s="44">
        <f t="shared" si="24"/>
        <v>111028.01115602483</v>
      </c>
    </row>
    <row r="123" spans="1:11" ht="12.75">
      <c r="A123" s="5"/>
      <c r="B123" s="41"/>
      <c r="C123" s="41"/>
      <c r="D123" s="46"/>
      <c r="E123" s="46"/>
      <c r="F123" s="46"/>
      <c r="G123" s="46"/>
      <c r="H123" s="46"/>
      <c r="I123" s="46"/>
      <c r="J123" s="46"/>
      <c r="K123" s="46"/>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148">
        <v>0</v>
      </c>
      <c r="E126" s="148">
        <v>0</v>
      </c>
      <c r="F126" s="148">
        <v>0</v>
      </c>
      <c r="G126" s="148">
        <v>0</v>
      </c>
      <c r="H126" s="148">
        <v>17517.7728</v>
      </c>
      <c r="I126" s="148">
        <v>8758.8864</v>
      </c>
      <c r="J126" s="148">
        <v>17517.7728</v>
      </c>
      <c r="K126" s="45">
        <f>SUM(D126:J126)</f>
        <v>43794.432</v>
      </c>
    </row>
    <row r="127" spans="1:11" ht="12.75">
      <c r="A127" s="5"/>
      <c r="B127" s="43" t="s">
        <v>75</v>
      </c>
      <c r="C127" s="43"/>
      <c r="D127" s="182"/>
      <c r="E127" s="182"/>
      <c r="F127" s="182"/>
      <c r="G127" s="182"/>
      <c r="H127" s="182"/>
      <c r="I127" s="182"/>
      <c r="J127" s="99"/>
      <c r="K127" s="5"/>
    </row>
    <row r="128" spans="1:11" ht="12.75">
      <c r="A128" s="5"/>
      <c r="B128" s="40"/>
      <c r="C128" s="40"/>
      <c r="D128" s="5"/>
      <c r="E128" s="24"/>
      <c r="F128" s="24"/>
      <c r="G128" s="5"/>
      <c r="H128" s="5"/>
      <c r="I128" s="5"/>
      <c r="J128" s="5"/>
      <c r="K128" s="5"/>
    </row>
    <row r="129" spans="1:11" ht="13.5" thickBot="1">
      <c r="A129" s="5"/>
      <c r="B129" s="41" t="s">
        <v>76</v>
      </c>
      <c r="C129" s="41"/>
      <c r="D129" s="44">
        <f aca="true" t="shared" si="25" ref="D129:K129">SUM(D126)</f>
        <v>0</v>
      </c>
      <c r="E129" s="44">
        <f t="shared" si="25"/>
        <v>0</v>
      </c>
      <c r="F129" s="44">
        <f t="shared" si="25"/>
        <v>0</v>
      </c>
      <c r="G129" s="44">
        <f t="shared" si="25"/>
        <v>0</v>
      </c>
      <c r="H129" s="44">
        <f t="shared" si="25"/>
        <v>17517.7728</v>
      </c>
      <c r="I129" s="44">
        <f t="shared" si="25"/>
        <v>8758.8864</v>
      </c>
      <c r="J129" s="44">
        <f t="shared" si="25"/>
        <v>17517.7728</v>
      </c>
      <c r="K129" s="44">
        <f t="shared" si="25"/>
        <v>43794.432</v>
      </c>
    </row>
    <row r="130" spans="1:11" ht="12.75">
      <c r="A130" s="5"/>
      <c r="B130" s="41"/>
      <c r="C130" s="41"/>
      <c r="D130" s="46"/>
      <c r="E130" s="46"/>
      <c r="F130" s="46"/>
      <c r="G130" s="46"/>
      <c r="H130" s="46"/>
      <c r="I130" s="46"/>
      <c r="J130" s="46"/>
      <c r="K130" s="46"/>
    </row>
    <row r="131" spans="1:11" ht="18">
      <c r="A131" s="5"/>
      <c r="B131" s="39" t="s">
        <v>77</v>
      </c>
      <c r="C131" s="39"/>
      <c r="D131" s="5"/>
      <c r="E131" s="5"/>
      <c r="F131" s="5"/>
      <c r="G131" s="5"/>
      <c r="H131" s="5"/>
      <c r="I131" s="5"/>
      <c r="J131" s="5"/>
      <c r="K131" s="5"/>
    </row>
    <row r="132" spans="1:11" ht="12.75">
      <c r="A132" s="5"/>
      <c r="B132" s="41" t="s">
        <v>78</v>
      </c>
      <c r="C132" s="41"/>
      <c r="D132" s="148">
        <v>0</v>
      </c>
      <c r="E132" s="148">
        <v>0</v>
      </c>
      <c r="F132" s="148">
        <v>0</v>
      </c>
      <c r="G132" s="148">
        <v>0</v>
      </c>
      <c r="H132" s="148">
        <v>0</v>
      </c>
      <c r="I132" s="148">
        <v>0</v>
      </c>
      <c r="J132" s="148">
        <v>0</v>
      </c>
      <c r="K132" s="45">
        <f>SUM(D132:J132)</f>
        <v>0</v>
      </c>
    </row>
    <row r="133" spans="1:11" ht="12.75">
      <c r="A133" s="5"/>
      <c r="B133" s="43"/>
      <c r="C133" s="43"/>
      <c r="D133" s="182"/>
      <c r="E133" s="182"/>
      <c r="F133" s="182"/>
      <c r="G133" s="182"/>
      <c r="H133" s="182"/>
      <c r="I133" s="182"/>
      <c r="J133" s="99"/>
      <c r="K133" s="5"/>
    </row>
    <row r="134" spans="1:11" ht="12.75">
      <c r="A134" s="5"/>
      <c r="B134" s="41" t="s">
        <v>79</v>
      </c>
      <c r="C134" s="41"/>
      <c r="D134" s="148">
        <v>0</v>
      </c>
      <c r="E134" s="148">
        <v>0</v>
      </c>
      <c r="F134" s="148">
        <v>0</v>
      </c>
      <c r="G134" s="148">
        <v>0</v>
      </c>
      <c r="H134" s="148">
        <v>82793.664</v>
      </c>
      <c r="I134" s="148">
        <v>0</v>
      </c>
      <c r="J134" s="148">
        <v>0</v>
      </c>
      <c r="K134" s="45">
        <f>SUM(D134:J134)</f>
        <v>82793.664</v>
      </c>
    </row>
    <row r="135" spans="1:11" ht="12.75">
      <c r="A135" s="5"/>
      <c r="B135" s="43" t="s">
        <v>80</v>
      </c>
      <c r="C135" s="43"/>
      <c r="D135" s="182"/>
      <c r="E135" s="182"/>
      <c r="F135" s="182"/>
      <c r="G135" s="182"/>
      <c r="H135" s="182"/>
      <c r="I135" s="182"/>
      <c r="J135" s="99"/>
      <c r="K135" s="5"/>
    </row>
    <row r="136" spans="1:11" ht="12.75">
      <c r="A136" s="5"/>
      <c r="B136" s="41" t="s">
        <v>81</v>
      </c>
      <c r="C136" s="41"/>
      <c r="D136" s="148">
        <v>0</v>
      </c>
      <c r="E136" s="148">
        <v>0</v>
      </c>
      <c r="F136" s="148">
        <v>0</v>
      </c>
      <c r="G136" s="148">
        <v>0</v>
      </c>
      <c r="H136" s="148">
        <v>0</v>
      </c>
      <c r="I136" s="148">
        <v>0</v>
      </c>
      <c r="J136" s="148">
        <v>0</v>
      </c>
      <c r="K136" s="45">
        <f>SUM(D136:J136)</f>
        <v>0</v>
      </c>
    </row>
    <row r="137" spans="1:11" ht="12.75">
      <c r="A137" s="5"/>
      <c r="B137" s="43"/>
      <c r="C137" s="43"/>
      <c r="D137" s="182"/>
      <c r="E137" s="182"/>
      <c r="F137" s="182"/>
      <c r="G137" s="182"/>
      <c r="H137" s="182"/>
      <c r="I137" s="182"/>
      <c r="J137" s="99"/>
      <c r="K137" s="5"/>
    </row>
    <row r="138" spans="1:11" ht="12.75">
      <c r="A138" s="5"/>
      <c r="B138" s="41" t="s">
        <v>82</v>
      </c>
      <c r="C138" s="41"/>
      <c r="D138" s="148">
        <v>0</v>
      </c>
      <c r="E138" s="148">
        <v>0</v>
      </c>
      <c r="F138" s="148">
        <v>0</v>
      </c>
      <c r="G138" s="148">
        <v>0</v>
      </c>
      <c r="H138" s="148">
        <v>3888</v>
      </c>
      <c r="I138" s="148">
        <v>86933.3472</v>
      </c>
      <c r="J138" s="148">
        <v>0</v>
      </c>
      <c r="K138" s="45">
        <f>SUM(D138:J138)</f>
        <v>90821.3472</v>
      </c>
    </row>
    <row r="139" spans="1:11" ht="12.75">
      <c r="A139" s="5"/>
      <c r="B139" s="43" t="s">
        <v>83</v>
      </c>
      <c r="C139" s="43"/>
      <c r="D139" s="182"/>
      <c r="E139" s="182"/>
      <c r="F139" s="182"/>
      <c r="G139" s="182"/>
      <c r="H139" s="182"/>
      <c r="I139" s="182"/>
      <c r="J139" s="99"/>
      <c r="K139" s="5"/>
    </row>
    <row r="140" spans="1:11" ht="12.75">
      <c r="A140" s="5"/>
      <c r="B140" s="41" t="s">
        <v>84</v>
      </c>
      <c r="C140" s="41"/>
      <c r="D140" s="148">
        <v>0</v>
      </c>
      <c r="E140" s="148">
        <v>0</v>
      </c>
      <c r="F140" s="148">
        <v>0</v>
      </c>
      <c r="G140" s="148">
        <v>0</v>
      </c>
      <c r="H140" s="148">
        <v>68486.09092416</v>
      </c>
      <c r="I140" s="148">
        <v>35273.7272264832</v>
      </c>
      <c r="J140" s="148">
        <v>72677.98757744598</v>
      </c>
      <c r="K140" s="45">
        <f>SUM(D140:J140)</f>
        <v>176437.80572808918</v>
      </c>
    </row>
    <row r="141" spans="1:11" ht="12.75">
      <c r="A141" s="5"/>
      <c r="B141" s="43"/>
      <c r="C141" s="43"/>
      <c r="D141" s="182"/>
      <c r="E141" s="182"/>
      <c r="F141" s="182"/>
      <c r="G141" s="182"/>
      <c r="H141" s="182"/>
      <c r="I141" s="182"/>
      <c r="J141" s="99"/>
      <c r="K141" s="5"/>
    </row>
    <row r="142" spans="1:11" ht="12.75">
      <c r="A142" s="5"/>
      <c r="B142" s="41" t="s">
        <v>85</v>
      </c>
      <c r="C142" s="41"/>
      <c r="D142" s="148">
        <v>0</v>
      </c>
      <c r="E142" s="148">
        <v>0</v>
      </c>
      <c r="F142" s="148">
        <v>0</v>
      </c>
      <c r="G142" s="148">
        <v>0</v>
      </c>
      <c r="H142" s="148">
        <v>0</v>
      </c>
      <c r="I142" s="148">
        <v>25920</v>
      </c>
      <c r="J142" s="148">
        <v>51840</v>
      </c>
      <c r="K142" s="45">
        <f>SUM(D142:J142)</f>
        <v>77760</v>
      </c>
    </row>
    <row r="143" spans="1:11" ht="12.75">
      <c r="A143" s="5"/>
      <c r="B143" s="43"/>
      <c r="C143" s="43"/>
      <c r="D143" s="182"/>
      <c r="E143" s="182"/>
      <c r="F143" s="182"/>
      <c r="G143" s="182"/>
      <c r="H143" s="182"/>
      <c r="I143" s="182"/>
      <c r="J143" s="99"/>
      <c r="K143" s="5"/>
    </row>
    <row r="144" spans="1:11" ht="12.75">
      <c r="A144" s="5"/>
      <c r="B144" s="40"/>
      <c r="C144" s="40"/>
      <c r="D144" s="5"/>
      <c r="E144" s="24"/>
      <c r="F144" s="24"/>
      <c r="G144" s="5"/>
      <c r="H144" s="5"/>
      <c r="I144" s="5"/>
      <c r="J144" s="5"/>
      <c r="K144" s="5"/>
    </row>
    <row r="145" spans="1:11" ht="13.5" thickBot="1">
      <c r="A145" s="5"/>
      <c r="B145" s="41" t="s">
        <v>86</v>
      </c>
      <c r="C145" s="41"/>
      <c r="D145" s="44">
        <f aca="true" t="shared" si="26" ref="D145:K145">SUM(D132,D134,D136,D138,D140,D142)</f>
        <v>0</v>
      </c>
      <c r="E145" s="44">
        <f t="shared" si="26"/>
        <v>0</v>
      </c>
      <c r="F145" s="44">
        <f t="shared" si="26"/>
        <v>0</v>
      </c>
      <c r="G145" s="44">
        <f t="shared" si="26"/>
        <v>0</v>
      </c>
      <c r="H145" s="44">
        <f t="shared" si="26"/>
        <v>155167.75492416002</v>
      </c>
      <c r="I145" s="44">
        <f t="shared" si="26"/>
        <v>148127.0744264832</v>
      </c>
      <c r="J145" s="44">
        <f t="shared" si="26"/>
        <v>124517.98757744598</v>
      </c>
      <c r="K145" s="44">
        <f t="shared" si="26"/>
        <v>427812.8169280892</v>
      </c>
    </row>
    <row r="147" spans="2:11" ht="18.75" thickBot="1">
      <c r="B147" s="28" t="s">
        <v>87</v>
      </c>
      <c r="C147" s="28"/>
      <c r="D147" s="50">
        <f aca="true" t="shared" si="27" ref="D147:K147">SUM(D107,D113,D122,D129,D145)</f>
        <v>0</v>
      </c>
      <c r="E147" s="50">
        <f t="shared" si="27"/>
        <v>0</v>
      </c>
      <c r="F147" s="50">
        <f t="shared" si="27"/>
        <v>0</v>
      </c>
      <c r="G147" s="50">
        <f t="shared" si="27"/>
        <v>0</v>
      </c>
      <c r="H147" s="50">
        <f t="shared" si="27"/>
        <v>213244.43092416003</v>
      </c>
      <c r="I147" s="50">
        <f t="shared" si="27"/>
        <v>179732.8248440832</v>
      </c>
      <c r="J147" s="50">
        <f t="shared" si="27"/>
        <v>189658.0043158708</v>
      </c>
      <c r="K147" s="50">
        <f t="shared" si="27"/>
        <v>582635.260084114</v>
      </c>
    </row>
    <row r="148" ht="13.5" thickTop="1"/>
    <row r="150" ht="12.75">
      <c r="I150" s="149"/>
    </row>
  </sheetData>
  <sheetProtection formatColumns="0" selectLockedCells="1"/>
  <mergeCells count="26">
    <mergeCell ref="B1:I1"/>
    <mergeCell ref="D42:I42"/>
    <mergeCell ref="D54:I54"/>
    <mergeCell ref="D57:I57"/>
    <mergeCell ref="D44:I44"/>
    <mergeCell ref="D86:I86"/>
    <mergeCell ref="D46:I46"/>
    <mergeCell ref="D60:I60"/>
    <mergeCell ref="D70:I70"/>
    <mergeCell ref="D72:I72"/>
    <mergeCell ref="D106:I106"/>
    <mergeCell ref="D111:I111"/>
    <mergeCell ref="D94:I94"/>
    <mergeCell ref="D90:I90"/>
    <mergeCell ref="D92:I92"/>
    <mergeCell ref="D96:I96"/>
    <mergeCell ref="D88:I88"/>
    <mergeCell ref="D143:I143"/>
    <mergeCell ref="D135:I135"/>
    <mergeCell ref="D137:I137"/>
    <mergeCell ref="D120:I120"/>
    <mergeCell ref="D127:I127"/>
    <mergeCell ref="D133:I133"/>
    <mergeCell ref="D139:I139"/>
    <mergeCell ref="D141:I141"/>
    <mergeCell ref="D117:I117"/>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C16">
      <selection activeCell="K20" sqref="K20"/>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84" t="s">
        <v>88</v>
      </c>
      <c r="C1" s="184"/>
      <c r="D1" s="184"/>
      <c r="E1" s="184"/>
      <c r="F1" s="184"/>
      <c r="G1" s="184"/>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1" t="s">
        <v>89</v>
      </c>
      <c r="C4" s="5"/>
      <c r="D4" s="5"/>
      <c r="E4" s="5"/>
      <c r="F4" s="5"/>
      <c r="G4" s="5"/>
      <c r="H4" s="45"/>
      <c r="I4" s="45"/>
      <c r="J4" s="45"/>
      <c r="K4" s="45"/>
      <c r="L4" s="45"/>
    </row>
    <row r="5" spans="1:12" ht="12.75">
      <c r="A5" s="5"/>
      <c r="B5" s="52" t="s">
        <v>90</v>
      </c>
      <c r="C5" s="5"/>
      <c r="D5" s="5"/>
      <c r="E5" s="5"/>
      <c r="F5" s="5"/>
      <c r="G5" s="5"/>
      <c r="H5" s="45"/>
      <c r="I5" s="45"/>
      <c r="J5" s="45"/>
      <c r="K5" s="45"/>
      <c r="L5" s="45"/>
    </row>
    <row r="6" spans="1:12" ht="12.75">
      <c r="A6" s="5"/>
      <c r="B6" s="52" t="s">
        <v>91</v>
      </c>
      <c r="C6" s="5"/>
      <c r="D6" s="5"/>
      <c r="E6" s="5"/>
      <c r="F6" s="5"/>
      <c r="G6" s="5"/>
      <c r="H6" s="45"/>
      <c r="I6" s="45"/>
      <c r="J6" s="45"/>
      <c r="K6" s="45"/>
      <c r="L6" s="45"/>
    </row>
    <row r="7" spans="1:12" ht="12.75">
      <c r="A7" s="5"/>
      <c r="B7" s="52" t="s">
        <v>92</v>
      </c>
      <c r="C7" s="5"/>
      <c r="D7" s="5"/>
      <c r="E7" s="5"/>
      <c r="F7" s="5"/>
      <c r="G7" s="5"/>
      <c r="H7" s="45"/>
      <c r="I7" s="45"/>
      <c r="J7" s="45"/>
      <c r="K7" s="45"/>
      <c r="L7" s="45"/>
    </row>
    <row r="8" spans="1:12" ht="12.75">
      <c r="A8" s="5"/>
      <c r="B8" s="5"/>
      <c r="C8" s="5"/>
      <c r="D8" s="5"/>
      <c r="E8" s="5"/>
      <c r="F8" s="5"/>
      <c r="G8" s="5"/>
      <c r="H8" s="45"/>
      <c r="I8" s="45"/>
      <c r="J8" s="45"/>
      <c r="K8" s="45"/>
      <c r="L8" s="45"/>
    </row>
    <row r="9" spans="1:12" ht="12.75">
      <c r="A9" s="5"/>
      <c r="B9" s="5"/>
      <c r="C9" s="5"/>
      <c r="D9" s="5"/>
      <c r="E9" s="5"/>
      <c r="F9" s="5"/>
      <c r="G9" s="5"/>
      <c r="H9" s="45"/>
      <c r="I9" s="45"/>
      <c r="J9" s="45"/>
      <c r="K9" s="45"/>
      <c r="L9" s="45"/>
    </row>
    <row r="10" spans="1:12" ht="47.25">
      <c r="A10" s="5"/>
      <c r="B10" s="51"/>
      <c r="C10" s="129" t="s">
        <v>93</v>
      </c>
      <c r="D10" s="129">
        <f aca="true" t="shared" si="0" ref="D10:I10">D29</f>
        <v>2007</v>
      </c>
      <c r="E10" s="129">
        <f t="shared" si="0"/>
        <v>2008</v>
      </c>
      <c r="F10" s="129">
        <f t="shared" si="0"/>
        <v>2009</v>
      </c>
      <c r="G10" s="129">
        <f t="shared" si="0"/>
        <v>2010</v>
      </c>
      <c r="H10" s="129">
        <f t="shared" si="0"/>
        <v>2011</v>
      </c>
      <c r="I10" s="129" t="str">
        <f t="shared" si="0"/>
        <v>Later</v>
      </c>
      <c r="J10" s="45"/>
      <c r="K10" s="45"/>
      <c r="L10" s="45"/>
    </row>
    <row r="11" spans="1:12" ht="15.75">
      <c r="A11" s="5"/>
      <c r="B11" s="51"/>
      <c r="C11" s="5"/>
      <c r="D11" s="5"/>
      <c r="E11" s="5"/>
      <c r="F11" s="5"/>
      <c r="G11" s="5"/>
      <c r="H11" s="45"/>
      <c r="I11" s="45"/>
      <c r="J11" s="45"/>
      <c r="K11" s="45"/>
      <c r="L11" s="45"/>
    </row>
    <row r="12" spans="1:12" ht="15.75">
      <c r="A12" s="5"/>
      <c r="B12" s="130" t="s">
        <v>156</v>
      </c>
      <c r="C12" s="108">
        <v>21588290</v>
      </c>
      <c r="D12" s="108">
        <v>21588290</v>
      </c>
      <c r="E12" s="108">
        <v>21588290</v>
      </c>
      <c r="F12" s="108">
        <v>21588290</v>
      </c>
      <c r="G12" s="108">
        <v>21588290</v>
      </c>
      <c r="H12" s="108">
        <v>21588290</v>
      </c>
      <c r="I12" s="108">
        <v>21588290</v>
      </c>
      <c r="J12" s="45"/>
      <c r="K12" s="45"/>
      <c r="L12" s="45"/>
    </row>
    <row r="13" ht="12.75"/>
    <row r="14" spans="1:12" ht="12.75">
      <c r="A14" s="5"/>
      <c r="B14" s="53" t="s">
        <v>255</v>
      </c>
      <c r="C14" s="5"/>
      <c r="D14"/>
      <c r="E14" s="144">
        <v>0.04</v>
      </c>
      <c r="F14" s="144">
        <v>0.04</v>
      </c>
      <c r="G14" s="144">
        <v>0.04</v>
      </c>
      <c r="H14" s="144">
        <v>0.04</v>
      </c>
      <c r="I14" s="144">
        <v>0.04</v>
      </c>
      <c r="J14" s="45"/>
      <c r="K14" s="45"/>
      <c r="L14" s="45"/>
    </row>
    <row r="15" spans="1:12" ht="12.75">
      <c r="A15" s="5"/>
      <c r="B15" s="53" t="s">
        <v>196</v>
      </c>
      <c r="C15" s="109">
        <v>0.5</v>
      </c>
      <c r="D15" s="109">
        <v>0.5</v>
      </c>
      <c r="E15" s="175">
        <f>53.3%-4%</f>
        <v>0.49299999999999994</v>
      </c>
      <c r="F15" s="109">
        <f>56.7%-4%</f>
        <v>0.527</v>
      </c>
      <c r="G15" s="109">
        <f>60%-4%</f>
        <v>0.5599999999999999</v>
      </c>
      <c r="H15" s="109">
        <f>60%-4%</f>
        <v>0.5599999999999999</v>
      </c>
      <c r="I15" s="109">
        <f>60%-4%</f>
        <v>0.5599999999999999</v>
      </c>
      <c r="J15" s="45"/>
      <c r="K15" s="45"/>
      <c r="L15" s="5"/>
    </row>
    <row r="16" spans="1:12" ht="12.75">
      <c r="A16" s="5"/>
      <c r="B16" s="53" t="s">
        <v>197</v>
      </c>
      <c r="C16" s="110">
        <f>1-C15</f>
        <v>0.5</v>
      </c>
      <c r="D16" s="110">
        <f>1-D15</f>
        <v>0.5</v>
      </c>
      <c r="E16" s="110">
        <f>1-E15-E14</f>
        <v>0.46700000000000014</v>
      </c>
      <c r="F16" s="110">
        <f>1-F15-F14</f>
        <v>0.433</v>
      </c>
      <c r="G16" s="110">
        <f>1-G15-G14</f>
        <v>0.4000000000000001</v>
      </c>
      <c r="H16" s="110">
        <f>1-H15-H14</f>
        <v>0.4000000000000001</v>
      </c>
      <c r="I16" s="110">
        <f>1-I15-I14</f>
        <v>0.4000000000000001</v>
      </c>
      <c r="J16" s="45"/>
      <c r="K16" s="45"/>
      <c r="L16" s="5"/>
    </row>
    <row r="17" ht="12.75"/>
    <row r="18" spans="1:12" ht="12.75">
      <c r="A18" s="5"/>
      <c r="B18" s="53" t="s">
        <v>256</v>
      </c>
      <c r="C18" s="110"/>
      <c r="D18" s="110"/>
      <c r="E18" s="145">
        <v>0.0447</v>
      </c>
      <c r="F18" s="145">
        <v>0.0113</v>
      </c>
      <c r="G18" s="145">
        <v>0.0113</v>
      </c>
      <c r="H18" s="145">
        <v>0.0113</v>
      </c>
      <c r="I18" s="145">
        <v>0.0113</v>
      </c>
      <c r="J18" s="45"/>
      <c r="K18" s="45"/>
      <c r="L18" s="5"/>
    </row>
    <row r="19" spans="1:12" ht="12.75">
      <c r="A19" s="5"/>
      <c r="B19" s="53" t="s">
        <v>198</v>
      </c>
      <c r="C19" s="111">
        <v>0.0725</v>
      </c>
      <c r="D19" s="111">
        <v>0.0725</v>
      </c>
      <c r="E19" s="111">
        <v>0.0725</v>
      </c>
      <c r="F19" s="111">
        <v>0.0725</v>
      </c>
      <c r="G19" s="111">
        <v>0.0725</v>
      </c>
      <c r="H19" s="111">
        <v>0.0725</v>
      </c>
      <c r="I19" s="111">
        <v>0.0725</v>
      </c>
      <c r="J19" s="45"/>
      <c r="K19" s="45"/>
      <c r="L19" s="5"/>
    </row>
    <row r="20" spans="1:12" ht="13.5" customHeight="1">
      <c r="A20" s="5"/>
      <c r="B20" s="53" t="s">
        <v>199</v>
      </c>
      <c r="C20" s="111">
        <v>0.09</v>
      </c>
      <c r="D20" s="111">
        <v>0.09</v>
      </c>
      <c r="E20" s="111">
        <v>0.09</v>
      </c>
      <c r="F20" s="111">
        <v>0.09</v>
      </c>
      <c r="G20" s="111">
        <v>0.09</v>
      </c>
      <c r="H20" s="111">
        <v>0.09</v>
      </c>
      <c r="I20" s="111">
        <v>0.09</v>
      </c>
      <c r="J20" s="5"/>
      <c r="K20" s="5"/>
      <c r="L20" s="5"/>
    </row>
    <row r="21" spans="1:12" ht="18" customHeight="1">
      <c r="A21" s="5"/>
      <c r="B21" s="54" t="s">
        <v>94</v>
      </c>
      <c r="C21" s="115">
        <f>(C19*C15)+(C16*C20)</f>
        <v>0.08124999999999999</v>
      </c>
      <c r="D21" s="115">
        <f>(D19*D15)+(D16*D20)</f>
        <v>0.08124999999999999</v>
      </c>
      <c r="E21" s="115">
        <f>(E14*E18)+(E15*E19)+(E16*E20)</f>
        <v>0.0795605</v>
      </c>
      <c r="F21" s="115">
        <f>(F14*F18)+(F15*F19)+(F16*F20)</f>
        <v>0.07762949999999999</v>
      </c>
      <c r="G21" s="115">
        <f>(G14*G18)+(G15*G19)+(G16*G20)</f>
        <v>0.077052</v>
      </c>
      <c r="H21" s="115">
        <f>(H14*H18)+(H15*H19)+(H16*H20)</f>
        <v>0.077052</v>
      </c>
      <c r="I21" s="115">
        <f>(I14*I18)+(I15*I19)+(I16*I20)</f>
        <v>0.077052</v>
      </c>
      <c r="J21" s="5"/>
      <c r="K21" s="5"/>
      <c r="L21" s="5"/>
    </row>
    <row r="22" spans="1:12" ht="18" customHeight="1">
      <c r="A22" s="5"/>
      <c r="B22" s="54"/>
      <c r="C22" s="55"/>
      <c r="D22" s="55"/>
      <c r="E22" s="55"/>
      <c r="F22" s="55"/>
      <c r="G22" s="55"/>
      <c r="H22" s="55"/>
      <c r="I22" s="55"/>
      <c r="J22" s="5"/>
      <c r="K22" s="5"/>
      <c r="L22" s="5"/>
    </row>
    <row r="23" spans="1:12" ht="18" customHeight="1">
      <c r="A23" s="5"/>
      <c r="B23" s="51" t="s">
        <v>95</v>
      </c>
      <c r="C23" s="111">
        <v>0.15</v>
      </c>
      <c r="D23" s="111">
        <v>0.15</v>
      </c>
      <c r="E23" s="111">
        <v>0.15</v>
      </c>
      <c r="F23" s="111">
        <v>0.15</v>
      </c>
      <c r="G23" s="111">
        <v>0.15</v>
      </c>
      <c r="H23" s="111">
        <v>0.15</v>
      </c>
      <c r="I23" s="111">
        <v>0.15</v>
      </c>
      <c r="J23" s="5"/>
      <c r="K23" s="5"/>
      <c r="L23" s="5"/>
    </row>
    <row r="24" spans="1:12" ht="18" customHeight="1">
      <c r="A24" s="5"/>
      <c r="B24" s="54"/>
      <c r="C24" s="55"/>
      <c r="D24" s="55"/>
      <c r="E24" s="55"/>
      <c r="F24" s="55"/>
      <c r="G24" s="55"/>
      <c r="H24" s="55"/>
      <c r="I24" s="55"/>
      <c r="J24" s="5"/>
      <c r="K24" s="5"/>
      <c r="L24" s="5"/>
    </row>
    <row r="25" spans="1:12" ht="12.75">
      <c r="A25" s="5"/>
      <c r="B25" s="34" t="s">
        <v>96</v>
      </c>
      <c r="C25" s="62"/>
      <c r="D25" s="62"/>
      <c r="E25" s="62"/>
      <c r="F25" s="62"/>
      <c r="G25" s="62"/>
      <c r="H25" s="62"/>
      <c r="I25" s="62"/>
      <c r="J25" s="5"/>
      <c r="K25" s="5"/>
      <c r="L25" s="5"/>
    </row>
    <row r="26" spans="1:12" ht="12.75">
      <c r="A26" s="5"/>
      <c r="B26" s="53" t="s">
        <v>97</v>
      </c>
      <c r="C26" s="111">
        <v>0.3612</v>
      </c>
      <c r="D26" s="111">
        <v>0.3612</v>
      </c>
      <c r="E26" s="111">
        <v>0.335</v>
      </c>
      <c r="F26" s="111">
        <v>0.33</v>
      </c>
      <c r="G26" s="111">
        <v>0.3099</v>
      </c>
      <c r="H26" s="111">
        <v>0.305</v>
      </c>
      <c r="I26" s="111">
        <v>0.29</v>
      </c>
      <c r="J26" s="5"/>
      <c r="K26" s="5"/>
      <c r="L26" s="5"/>
    </row>
    <row r="27" spans="1:12" ht="12.75">
      <c r="A27" s="5"/>
      <c r="B27" s="29" t="s">
        <v>98</v>
      </c>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1" t="s">
        <v>200</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1"/>
      <c r="C30" s="24" t="str">
        <f>'2. Smart Meter Data'!D5</f>
        <v>Audited Actual</v>
      </c>
      <c r="D30" s="24" t="str">
        <f>'2. Smart Meter Data'!E5</f>
        <v>Audited Actual</v>
      </c>
      <c r="E30" s="24" t="str">
        <f>'2. Smart Meter Data'!F5</f>
        <v>Actual</v>
      </c>
      <c r="F30" s="24" t="str">
        <f>'2. Smart Meter Data'!G5</f>
        <v>Forecasted</v>
      </c>
      <c r="G30" s="24" t="str">
        <f>'2. Smart Meter Data'!H5</f>
        <v>Forecasted</v>
      </c>
      <c r="H30" s="24" t="str">
        <f>'2. Smart Meter Data'!I5</f>
        <v>Forecasted</v>
      </c>
      <c r="I30" s="24" t="str">
        <f>'2. Smart Meter Data'!J5</f>
        <v>Forecasted</v>
      </c>
      <c r="J30" s="24"/>
      <c r="K30" s="5"/>
      <c r="L30" s="5"/>
      <c r="M30" s="5"/>
    </row>
    <row r="31" spans="1:13" ht="12.75">
      <c r="A31" s="5"/>
      <c r="B31" s="31" t="s">
        <v>8</v>
      </c>
      <c r="C31" s="116">
        <f>SUMIF('2. Smart Meter Data'!$C:$J,"Smart Meter",'2. Smart Meter Data'!D:D)</f>
        <v>0</v>
      </c>
      <c r="D31" s="116">
        <f>SUMIF('2. Smart Meter Data'!$C:$J,"Smart Meter",'2. Smart Meter Data'!E:E)</f>
        <v>0</v>
      </c>
      <c r="E31" s="116">
        <f>SUMIF('2. Smart Meter Data'!$C:$J,"Smart Meter",'2. Smart Meter Data'!F:F)</f>
        <v>0</v>
      </c>
      <c r="F31" s="116">
        <f>SUMIF('2. Smart Meter Data'!$C:$J,"Smart Meter",'2. Smart Meter Data'!G:G)</f>
        <v>0</v>
      </c>
      <c r="G31" s="116">
        <f>SUMIF('2. Smart Meter Data'!$C:$J,"Smart Meter",'2. Smart Meter Data'!H:H)</f>
        <v>2686442.780792152</v>
      </c>
      <c r="H31" s="116">
        <f>SUMIF('2. Smart Meter Data'!$C:$J,"Smart Meter",'2. Smart Meter Data'!I:I)</f>
        <v>22624.163366584322</v>
      </c>
      <c r="I31" s="116">
        <f>SUMIF('2. Smart Meter Data'!$C:$J,"Smart Meter",'2. Smart Meter Data'!J:J)</f>
        <v>45248.326733168644</v>
      </c>
      <c r="J31" s="117">
        <f>SUM(C31:I31)</f>
        <v>2754315.270891905</v>
      </c>
      <c r="K31" s="5"/>
      <c r="L31" s="5"/>
      <c r="M31" s="5"/>
    </row>
    <row r="32" spans="1:13" ht="12.75">
      <c r="A32" s="5"/>
      <c r="B32" s="31" t="s">
        <v>99</v>
      </c>
      <c r="C32" s="116">
        <f>SUMIF('2. Smart Meter Data'!$C:$J,"Comp. Hard.",'2. Smart Meter Data'!D:D)</f>
        <v>0</v>
      </c>
      <c r="D32" s="116">
        <f>SUMIF('2. Smart Meter Data'!$C:$J,"Comp. Hard.",'2. Smart Meter Data'!E:E)</f>
        <v>0</v>
      </c>
      <c r="E32" s="116">
        <f>SUMIF('2. Smart Meter Data'!$C:$J,"Comp. Hard.",'2. Smart Meter Data'!F:F)</f>
        <v>0</v>
      </c>
      <c r="F32" s="116">
        <f>SUMIF('2. Smart Meter Data'!$C:$J,"Comp. Hard.",'2. Smart Meter Data'!G:G)</f>
        <v>0</v>
      </c>
      <c r="G32" s="116">
        <f>SUMIF('2. Smart Meter Data'!$C:$J,"Comp. Hard.",'2. Smart Meter Data'!H:H)</f>
        <v>16558.7328</v>
      </c>
      <c r="H32" s="116">
        <f>SUMIF('2. Smart Meter Data'!$C:$J,"Comp. Hard.",'2. Smart Meter Data'!I:I)</f>
        <v>0</v>
      </c>
      <c r="I32" s="116">
        <f>SUMIF('2. Smart Meter Data'!$C:$J,"Comp. Hard.",'2. Smart Meter Data'!J:J)</f>
        <v>0</v>
      </c>
      <c r="J32" s="117">
        <f>SUM(C32:I32)</f>
        <v>16558.7328</v>
      </c>
      <c r="K32" s="5"/>
      <c r="L32" s="5"/>
      <c r="M32" s="5"/>
    </row>
    <row r="33" spans="1:13" ht="12.75">
      <c r="A33" s="5"/>
      <c r="B33" s="31" t="s">
        <v>100</v>
      </c>
      <c r="C33" s="116">
        <f>SUMIF('2. Smart Meter Data'!$C:$J,"Comp. Soft.",'2. Smart Meter Data'!D:D)</f>
        <v>0</v>
      </c>
      <c r="D33" s="116">
        <f>SUMIF('2. Smart Meter Data'!$C:$J,"Comp. Soft.",'2. Smart Meter Data'!E:E)</f>
        <v>0</v>
      </c>
      <c r="E33" s="116">
        <f>SUMIF('2. Smart Meter Data'!$C:$J,"Comp. Soft.",'2. Smart Meter Data'!F:F)</f>
        <v>0</v>
      </c>
      <c r="F33" s="116">
        <f>SUMIF('2. Smart Meter Data'!$C:$J,"Comp. Soft.",'2. Smart Meter Data'!G:G)</f>
        <v>0</v>
      </c>
      <c r="G33" s="116">
        <f>SUMIF('2. Smart Meter Data'!$C:$J,"Comp. Soft.",'2. Smart Meter Data'!H:H)</f>
        <v>544168.9632</v>
      </c>
      <c r="H33" s="116">
        <f>SUMIF('2. Smart Meter Data'!$C:$J,"Comp. Soft.",'2. Smart Meter Data'!I:I)</f>
        <v>0</v>
      </c>
      <c r="I33" s="116">
        <f>SUMIF('2. Smart Meter Data'!$C:$J,"Comp. Soft.",'2. Smart Meter Data'!J:J)</f>
        <v>0</v>
      </c>
      <c r="J33" s="117">
        <f>SUM(C33:I33)</f>
        <v>544168.9632</v>
      </c>
      <c r="K33" s="5"/>
      <c r="L33" s="5"/>
      <c r="M33" s="5"/>
    </row>
    <row r="34" spans="1:13" ht="12.75">
      <c r="A34" s="5"/>
      <c r="B34" s="31" t="s">
        <v>11</v>
      </c>
      <c r="C34" s="116">
        <f>SUMIF('2. Smart Meter Data'!$C:$J,"Tools &amp; Equip",'2. Smart Meter Data'!D:D)</f>
        <v>0</v>
      </c>
      <c r="D34" s="116">
        <f>SUMIF('2. Smart Meter Data'!$C:$J,"Tools &amp; Equip",'2. Smart Meter Data'!E:E)</f>
        <v>0</v>
      </c>
      <c r="E34" s="116">
        <f>SUMIF('2. Smart Meter Data'!$C:$J,"Tools &amp; Equip",'2. Smart Meter Data'!F:F)</f>
        <v>0</v>
      </c>
      <c r="F34" s="116">
        <f>SUMIF('2. Smart Meter Data'!$C:$J,"Tools &amp; Equip",'2. Smart Meter Data'!G:G)</f>
        <v>0</v>
      </c>
      <c r="G34" s="116">
        <f>SUMIF('2. Smart Meter Data'!$C:$J,"Tools &amp; Equip",'2. Smart Meter Data'!H:H)</f>
        <v>0</v>
      </c>
      <c r="H34" s="116">
        <f>SUMIF('2. Smart Meter Data'!$C:$J,"Tools &amp; Equip",'2. Smart Meter Data'!I:I)</f>
        <v>0</v>
      </c>
      <c r="I34" s="116">
        <f>SUMIF('2. Smart Meter Data'!$C:$J,"Tools &amp; Equip",'2. Smart Meter Data'!J:J)</f>
        <v>0</v>
      </c>
      <c r="J34" s="117">
        <f>SUM(C34:I34)</f>
        <v>0</v>
      </c>
      <c r="K34" s="5"/>
      <c r="L34" s="5"/>
      <c r="M34" s="5"/>
    </row>
    <row r="35" spans="1:13" ht="12.75">
      <c r="A35" s="5"/>
      <c r="B35" s="31" t="s">
        <v>13</v>
      </c>
      <c r="C35" s="116">
        <f>SUMIF('2. Smart Meter Data'!$C:$J,"Other Equip.",'2. Smart Meter Data'!D:D)</f>
        <v>0</v>
      </c>
      <c r="D35" s="116">
        <f>SUMIF('2. Smart Meter Data'!$C:$J,"Other Equip.",'2. Smart Meter Data'!E:E)</f>
        <v>0</v>
      </c>
      <c r="E35" s="116">
        <f>SUMIF('2. Smart Meter Data'!$C:$J,"Other Equip.",'2. Smart Meter Data'!F:F)</f>
        <v>0</v>
      </c>
      <c r="F35" s="116">
        <f>SUMIF('2. Smart Meter Data'!$C:$J,"Other Equip.",'2. Smart Meter Data'!G:G)</f>
        <v>0</v>
      </c>
      <c r="G35" s="116">
        <f>SUMIF('2. Smart Meter Data'!$C:$J,"Other Equip.",'2. Smart Meter Data'!H:H)</f>
        <v>0</v>
      </c>
      <c r="H35" s="116">
        <f>SUMIF('2. Smart Meter Data'!$C:$J,"Other Equip.",'2. Smart Meter Data'!I:I)</f>
        <v>0</v>
      </c>
      <c r="I35" s="116">
        <f>SUMIF('2. Smart Meter Data'!$C:$J,"Other Equip.",'2. Smart Meter Data'!J:J)</f>
        <v>0</v>
      </c>
      <c r="J35" s="117">
        <f>SUM(C35:I35)</f>
        <v>0</v>
      </c>
      <c r="K35" s="5"/>
      <c r="L35" s="5"/>
      <c r="M35" s="5"/>
    </row>
    <row r="36" spans="1:13" ht="13.5" thickBot="1">
      <c r="A36" s="5"/>
      <c r="B36" s="54" t="s">
        <v>60</v>
      </c>
      <c r="C36" s="118">
        <f aca="true" t="shared" si="1" ref="C36:J36">SUM(C31:C33)</f>
        <v>0</v>
      </c>
      <c r="D36" s="118">
        <f t="shared" si="1"/>
        <v>0</v>
      </c>
      <c r="E36" s="118">
        <f t="shared" si="1"/>
        <v>0</v>
      </c>
      <c r="F36" s="118">
        <f t="shared" si="1"/>
        <v>0</v>
      </c>
      <c r="G36" s="118">
        <f t="shared" si="1"/>
        <v>3247170.476792152</v>
      </c>
      <c r="H36" s="118">
        <f t="shared" si="1"/>
        <v>22624.163366584322</v>
      </c>
      <c r="I36" s="118">
        <f t="shared" si="1"/>
        <v>45248.326733168644</v>
      </c>
      <c r="J36" s="118">
        <f t="shared" si="1"/>
        <v>3315042.966891905</v>
      </c>
      <c r="K36" s="5"/>
      <c r="L36" s="5"/>
      <c r="M36" s="5"/>
    </row>
    <row r="37" spans="1:13" ht="12.75">
      <c r="A37" s="5"/>
      <c r="B37" s="5"/>
      <c r="C37" s="113">
        <f>'2. Smart Meter Data'!D99-C36</f>
        <v>0</v>
      </c>
      <c r="D37" s="113">
        <f>'2. Smart Meter Data'!E99-D36</f>
        <v>0</v>
      </c>
      <c r="E37" s="113">
        <f>'2. Smart Meter Data'!F99-E36</f>
        <v>0</v>
      </c>
      <c r="F37" s="113">
        <f>'2. Smart Meter Data'!G99-F36</f>
        <v>0</v>
      </c>
      <c r="G37" s="113">
        <f>'2. Smart Meter Data'!H99-G36</f>
        <v>0</v>
      </c>
      <c r="H37" s="113">
        <f>'2. Smart Meter Data'!I99-H36</f>
        <v>0</v>
      </c>
      <c r="I37" s="113">
        <f>'2. Smart Meter Data'!J99-I36</f>
        <v>0</v>
      </c>
      <c r="J37" s="11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1" t="s">
        <v>101</v>
      </c>
      <c r="C40" s="24" t="str">
        <f>C30</f>
        <v>Audited Actual</v>
      </c>
      <c r="D40" s="24" t="str">
        <f aca="true" t="shared" si="3" ref="D40:I40">D30</f>
        <v>Audited Actual</v>
      </c>
      <c r="E40" s="24" t="str">
        <f t="shared" si="3"/>
        <v>Actual</v>
      </c>
      <c r="F40" s="24" t="str">
        <f t="shared" si="3"/>
        <v>Forecasted</v>
      </c>
      <c r="G40" s="24" t="str">
        <f t="shared" si="3"/>
        <v>Forecasted</v>
      </c>
      <c r="H40" s="24" t="str">
        <f t="shared" si="3"/>
        <v>Forecasted</v>
      </c>
      <c r="I40" s="24" t="str">
        <f t="shared" si="3"/>
        <v>Forecasted</v>
      </c>
      <c r="J40" s="24"/>
      <c r="K40" s="5"/>
      <c r="L40" s="5"/>
      <c r="M40" s="5"/>
    </row>
    <row r="41" spans="1:13" ht="12.75">
      <c r="A41" s="5"/>
      <c r="B41" s="56" t="s">
        <v>102</v>
      </c>
      <c r="C41" s="119">
        <f>'2. Smart Meter Data'!D107</f>
        <v>0</v>
      </c>
      <c r="D41" s="119">
        <f>'2. Smart Meter Data'!E107</f>
        <v>0</v>
      </c>
      <c r="E41" s="119">
        <f>'2. Smart Meter Data'!F107</f>
        <v>0</v>
      </c>
      <c r="F41" s="119">
        <f>'2. Smart Meter Data'!G107</f>
        <v>0</v>
      </c>
      <c r="G41" s="119">
        <f>'2. Smart Meter Data'!H107</f>
        <v>0</v>
      </c>
      <c r="H41" s="119">
        <f>'2. Smart Meter Data'!I107</f>
        <v>0</v>
      </c>
      <c r="I41" s="119">
        <f>'2. Smart Meter Data'!J107</f>
        <v>0</v>
      </c>
      <c r="J41" s="117">
        <f>SUM(C41:I41)</f>
        <v>0</v>
      </c>
      <c r="K41" s="5"/>
      <c r="L41" s="5"/>
      <c r="M41" s="5"/>
    </row>
    <row r="42" spans="1:13" ht="12.75">
      <c r="A42" s="5"/>
      <c r="B42" s="56" t="s">
        <v>103</v>
      </c>
      <c r="C42" s="119">
        <f>'2. Smart Meter Data'!D113</f>
        <v>0</v>
      </c>
      <c r="D42" s="119">
        <f>'2. Smart Meter Data'!E113</f>
        <v>0</v>
      </c>
      <c r="E42" s="119">
        <f>'2. Smart Meter Data'!F113</f>
        <v>0</v>
      </c>
      <c r="F42" s="119">
        <f>'2. Smart Meter Data'!G113</f>
        <v>0</v>
      </c>
      <c r="G42" s="119">
        <f>'2. Smart Meter Data'!H113</f>
        <v>0</v>
      </c>
      <c r="H42" s="119">
        <f>'2. Smart Meter Data'!I113</f>
        <v>0</v>
      </c>
      <c r="I42" s="119">
        <f>'2. Smart Meter Data'!J113</f>
        <v>0</v>
      </c>
      <c r="J42" s="117">
        <f>SUM(C42:I42)</f>
        <v>0</v>
      </c>
      <c r="K42" s="5"/>
      <c r="L42" s="5"/>
      <c r="M42" s="5"/>
    </row>
    <row r="43" spans="1:13" ht="12.75">
      <c r="A43" s="5"/>
      <c r="B43" s="56" t="s">
        <v>104</v>
      </c>
      <c r="C43" s="119">
        <f>'2. Smart Meter Data'!D122</f>
        <v>0</v>
      </c>
      <c r="D43" s="119">
        <f>'2. Smart Meter Data'!E122</f>
        <v>0</v>
      </c>
      <c r="E43" s="119">
        <f>'2. Smart Meter Data'!F122</f>
        <v>0</v>
      </c>
      <c r="F43" s="119">
        <f>'2. Smart Meter Data'!G122</f>
        <v>0</v>
      </c>
      <c r="G43" s="119">
        <f>'2. Smart Meter Data'!H122</f>
        <v>40558.9032</v>
      </c>
      <c r="H43" s="119">
        <f>'2. Smart Meter Data'!I122</f>
        <v>22846.8640176</v>
      </c>
      <c r="I43" s="119">
        <f>'2. Smart Meter Data'!J122</f>
        <v>47622.24393842483</v>
      </c>
      <c r="J43" s="117">
        <f>SUM(C43:I43)</f>
        <v>111028.01115602483</v>
      </c>
      <c r="K43" s="5"/>
      <c r="L43" s="5"/>
      <c r="M43" s="5"/>
    </row>
    <row r="44" spans="1:13" ht="12.75">
      <c r="A44" s="5"/>
      <c r="B44" s="56" t="s">
        <v>105</v>
      </c>
      <c r="C44" s="119">
        <f>'2. Smart Meter Data'!D129</f>
        <v>0</v>
      </c>
      <c r="D44" s="119">
        <f>'2. Smart Meter Data'!E129</f>
        <v>0</v>
      </c>
      <c r="E44" s="119">
        <f>'2. Smart Meter Data'!F129</f>
        <v>0</v>
      </c>
      <c r="F44" s="119">
        <f>'2. Smart Meter Data'!G129</f>
        <v>0</v>
      </c>
      <c r="G44" s="119">
        <f>'2. Smart Meter Data'!H129</f>
        <v>17517.7728</v>
      </c>
      <c r="H44" s="119">
        <f>'2. Smart Meter Data'!I129</f>
        <v>8758.8864</v>
      </c>
      <c r="I44" s="119">
        <f>'2. Smart Meter Data'!J129</f>
        <v>17517.7728</v>
      </c>
      <c r="J44" s="117">
        <f>SUM(C44:I44)</f>
        <v>43794.432</v>
      </c>
      <c r="K44" s="5"/>
      <c r="L44" s="5"/>
      <c r="M44" s="5"/>
    </row>
    <row r="45" spans="1:13" ht="12.75">
      <c r="A45" s="5"/>
      <c r="B45" s="56" t="s">
        <v>106</v>
      </c>
      <c r="C45" s="119">
        <f>'2. Smart Meter Data'!D145</f>
        <v>0</v>
      </c>
      <c r="D45" s="119">
        <f>'2. Smart Meter Data'!E145</f>
        <v>0</v>
      </c>
      <c r="E45" s="119">
        <f>'2. Smart Meter Data'!F145</f>
        <v>0</v>
      </c>
      <c r="F45" s="119">
        <f>'2. Smart Meter Data'!G145</f>
        <v>0</v>
      </c>
      <c r="G45" s="119">
        <f>'2. Smart Meter Data'!H145</f>
        <v>155167.75492416002</v>
      </c>
      <c r="H45" s="119">
        <f>'2. Smart Meter Data'!I145</f>
        <v>148127.0744264832</v>
      </c>
      <c r="I45" s="119">
        <f>'2. Smart Meter Data'!J145</f>
        <v>124517.98757744598</v>
      </c>
      <c r="J45" s="117">
        <f>SUM(C45:I45)</f>
        <v>427812.8169280892</v>
      </c>
      <c r="K45" s="5"/>
      <c r="L45" s="5"/>
      <c r="M45" s="5"/>
    </row>
    <row r="46" spans="1:13" ht="13.5" thickBot="1">
      <c r="A46" s="5"/>
      <c r="B46" s="53" t="s">
        <v>87</v>
      </c>
      <c r="C46" s="120">
        <f aca="true" t="shared" si="4" ref="C46:J46">SUM(C41:C45)</f>
        <v>0</v>
      </c>
      <c r="D46" s="120">
        <f t="shared" si="4"/>
        <v>0</v>
      </c>
      <c r="E46" s="120">
        <f t="shared" si="4"/>
        <v>0</v>
      </c>
      <c r="F46" s="121">
        <f t="shared" si="4"/>
        <v>0</v>
      </c>
      <c r="G46" s="121">
        <f t="shared" si="4"/>
        <v>213244.43092416003</v>
      </c>
      <c r="H46" s="121">
        <f t="shared" si="4"/>
        <v>179732.8248440832</v>
      </c>
      <c r="I46" s="121">
        <f t="shared" si="4"/>
        <v>189658.0043158708</v>
      </c>
      <c r="J46" s="121">
        <f t="shared" si="4"/>
        <v>582635.260084114</v>
      </c>
      <c r="K46" s="5"/>
      <c r="L46" s="5"/>
      <c r="M46" s="5"/>
    </row>
    <row r="47" spans="1:12" ht="12.75">
      <c r="A47" s="5"/>
      <c r="B47" s="5"/>
      <c r="C47" s="114">
        <f>'2. Smart Meter Data'!D147-C46</f>
        <v>0</v>
      </c>
      <c r="D47" s="114">
        <f>'2. Smart Meter Data'!E147-D46</f>
        <v>0</v>
      </c>
      <c r="E47" s="114">
        <f>'2. Smart Meter Data'!F147-E46</f>
        <v>0</v>
      </c>
      <c r="F47" s="114">
        <f>'2. Smart Meter Data'!G147-F46</f>
        <v>0</v>
      </c>
      <c r="G47" s="114">
        <f>'2. Smart Meter Data'!H147-G46</f>
        <v>0</v>
      </c>
      <c r="H47" s="114">
        <f>'2. Smart Meter Data'!I147-H46</f>
        <v>0</v>
      </c>
      <c r="I47" s="114">
        <f>'2. Smart Meter Data'!J147-I46</f>
        <v>0</v>
      </c>
      <c r="J47" s="114">
        <f>'2. Smart Meter Data'!K147-J46</f>
        <v>0</v>
      </c>
      <c r="K47" s="5"/>
      <c r="L47" s="5"/>
    </row>
    <row r="48" spans="1:12" ht="12.75">
      <c r="A48" s="5"/>
      <c r="B48" s="5"/>
      <c r="C48" s="5"/>
      <c r="D48" s="5"/>
      <c r="E48" s="5"/>
      <c r="F48" s="5"/>
      <c r="G48" s="5"/>
      <c r="H48" s="5"/>
      <c r="I48" s="5"/>
      <c r="J48" s="5"/>
      <c r="K48" s="5"/>
      <c r="L48" s="5"/>
    </row>
    <row r="49" spans="1:12" ht="15.75">
      <c r="A49" s="5"/>
      <c r="B49" s="51" t="s">
        <v>107</v>
      </c>
      <c r="C49" s="30" t="s">
        <v>108</v>
      </c>
      <c r="D49" s="30" t="s">
        <v>109</v>
      </c>
      <c r="E49" s="30" t="s">
        <v>110</v>
      </c>
      <c r="F49" s="30" t="s">
        <v>111</v>
      </c>
      <c r="G49" s="42"/>
      <c r="H49" s="5"/>
      <c r="I49" s="5"/>
      <c r="J49" s="5"/>
      <c r="K49" s="5"/>
      <c r="L49" s="5"/>
    </row>
    <row r="50" spans="1:12" ht="12.75">
      <c r="A50" s="5"/>
      <c r="B50" s="31" t="s">
        <v>112</v>
      </c>
      <c r="C50" s="122">
        <f aca="true" t="shared" si="5" ref="C50:C55">IF(ISERROR(E50/D50),0,E50/D50)</f>
        <v>172.45728325664672</v>
      </c>
      <c r="D50" s="123">
        <f>'2. Smart Meter Data'!K10</f>
        <v>15971</v>
      </c>
      <c r="E50" s="117">
        <f>J31</f>
        <v>2754315.270891905</v>
      </c>
      <c r="F50" s="124">
        <f aca="true" t="shared" si="6" ref="F50:F55">IF(ISERROR(E50/$E$56),0,E50/$E$56)</f>
        <v>0.7066553754563822</v>
      </c>
      <c r="G50" s="5"/>
      <c r="H50" s="5"/>
      <c r="I50" s="5"/>
      <c r="J50" s="5"/>
      <c r="K50" s="5"/>
      <c r="L50" s="5"/>
    </row>
    <row r="51" spans="1:12" ht="12.75">
      <c r="A51" s="5"/>
      <c r="B51" s="31" t="s">
        <v>113</v>
      </c>
      <c r="C51" s="122">
        <f t="shared" si="5"/>
        <v>1.0368000000000002</v>
      </c>
      <c r="D51" s="123">
        <f>D50</f>
        <v>15971</v>
      </c>
      <c r="E51" s="117">
        <f>J32</f>
        <v>16558.7328</v>
      </c>
      <c r="F51" s="124">
        <f t="shared" si="6"/>
        <v>0.004248358082870006</v>
      </c>
      <c r="G51" s="5"/>
      <c r="H51" s="5"/>
      <c r="I51" s="5"/>
      <c r="J51" s="5"/>
      <c r="K51" s="5"/>
      <c r="L51" s="5"/>
    </row>
    <row r="52" spans="1:12" ht="12.75">
      <c r="A52" s="5"/>
      <c r="B52" s="31" t="s">
        <v>114</v>
      </c>
      <c r="C52" s="122">
        <f t="shared" si="5"/>
        <v>34.07231627324526</v>
      </c>
      <c r="D52" s="123">
        <f>D51</f>
        <v>15971</v>
      </c>
      <c r="E52" s="117">
        <f>J33</f>
        <v>544168.9632</v>
      </c>
      <c r="F52" s="124">
        <f t="shared" si="6"/>
        <v>0.13961361906013184</v>
      </c>
      <c r="G52" s="5"/>
      <c r="H52" s="5"/>
      <c r="I52" s="5"/>
      <c r="J52" s="5"/>
      <c r="K52" s="5"/>
      <c r="L52" s="5"/>
    </row>
    <row r="53" spans="1:12" ht="12.75">
      <c r="A53" s="5"/>
      <c r="B53" s="31" t="s">
        <v>11</v>
      </c>
      <c r="C53" s="122">
        <f t="shared" si="5"/>
        <v>0</v>
      </c>
      <c r="D53" s="123">
        <f>D52</f>
        <v>15971</v>
      </c>
      <c r="E53" s="117">
        <f>J34</f>
        <v>0</v>
      </c>
      <c r="F53" s="124">
        <f t="shared" si="6"/>
        <v>0</v>
      </c>
      <c r="G53" s="5"/>
      <c r="H53" s="5"/>
      <c r="I53" s="5"/>
      <c r="J53" s="5"/>
      <c r="K53" s="5"/>
      <c r="L53" s="5"/>
    </row>
    <row r="54" spans="1:12" ht="12.75">
      <c r="A54" s="5"/>
      <c r="B54" s="31" t="s">
        <v>13</v>
      </c>
      <c r="C54" s="122">
        <f t="shared" si="5"/>
        <v>0</v>
      </c>
      <c r="D54" s="123">
        <f>D53</f>
        <v>15971</v>
      </c>
      <c r="E54" s="117">
        <f>J35</f>
        <v>0</v>
      </c>
      <c r="F54" s="124">
        <f t="shared" si="6"/>
        <v>0</v>
      </c>
      <c r="G54" s="5"/>
      <c r="H54" s="5"/>
      <c r="I54" s="5"/>
      <c r="J54" s="5"/>
      <c r="K54" s="5"/>
      <c r="L54" s="5"/>
    </row>
    <row r="55" spans="1:12" ht="12.75">
      <c r="A55" s="5"/>
      <c r="B55" s="31" t="s">
        <v>115</v>
      </c>
      <c r="C55" s="122">
        <f t="shared" si="5"/>
        <v>36.48082525102461</v>
      </c>
      <c r="D55" s="123">
        <f>D52</f>
        <v>15971</v>
      </c>
      <c r="E55" s="117">
        <f>J46</f>
        <v>582635.260084114</v>
      </c>
      <c r="F55" s="124">
        <f t="shared" si="6"/>
        <v>0.14948264740061593</v>
      </c>
      <c r="G55" s="5"/>
      <c r="H55" s="5"/>
      <c r="I55" s="5"/>
      <c r="J55" s="5"/>
      <c r="K55" s="5"/>
      <c r="L55" s="5"/>
    </row>
    <row r="56" spans="1:12" ht="12.75">
      <c r="A56" s="5"/>
      <c r="B56" s="5" t="s">
        <v>116</v>
      </c>
      <c r="C56" s="125">
        <f>SUM(C50:C55)</f>
        <v>244.0472247809166</v>
      </c>
      <c r="D56" s="126"/>
      <c r="E56" s="127">
        <f>SUM(E50:E55)</f>
        <v>3897678.226976019</v>
      </c>
      <c r="F56" s="128">
        <f>SUM(F50:F55)</f>
        <v>1</v>
      </c>
      <c r="G56" s="5"/>
      <c r="H56" s="5"/>
      <c r="I56" s="5"/>
      <c r="J56" s="5"/>
      <c r="K56" s="5"/>
      <c r="L56" s="5"/>
    </row>
    <row r="57" ht="15" customHeight="1"/>
    <row r="58" spans="3:9" ht="12.75">
      <c r="C58" s="131">
        <f>C39</f>
        <v>2006</v>
      </c>
      <c r="D58" s="131">
        <f aca="true" t="shared" si="7" ref="D58:I58">D39</f>
        <v>2007</v>
      </c>
      <c r="E58" s="131">
        <f t="shared" si="7"/>
        <v>2008</v>
      </c>
      <c r="F58" s="131">
        <f t="shared" si="7"/>
        <v>2009</v>
      </c>
      <c r="G58" s="131">
        <f t="shared" si="7"/>
        <v>2010</v>
      </c>
      <c r="H58" s="131">
        <f t="shared" si="7"/>
        <v>2011</v>
      </c>
      <c r="I58" s="131" t="str">
        <f t="shared" si="7"/>
        <v>Later</v>
      </c>
    </row>
    <row r="59" spans="2:9" ht="15.75">
      <c r="B59" s="51" t="s">
        <v>217</v>
      </c>
      <c r="C59" s="131" t="str">
        <f>C40</f>
        <v>Audited Actual</v>
      </c>
      <c r="D59" s="131" t="str">
        <f aca="true" t="shared" si="8" ref="D59:I59">D40</f>
        <v>Audited Actual</v>
      </c>
      <c r="E59" s="131" t="str">
        <f t="shared" si="8"/>
        <v>Actual</v>
      </c>
      <c r="F59" s="131" t="str">
        <f t="shared" si="8"/>
        <v>Forecasted</v>
      </c>
      <c r="G59" s="131" t="str">
        <f t="shared" si="8"/>
        <v>Forecasted</v>
      </c>
      <c r="H59" s="131" t="str">
        <f t="shared" si="8"/>
        <v>Forecasted</v>
      </c>
      <c r="I59" s="131" t="str">
        <f t="shared" si="8"/>
        <v>Forecasted</v>
      </c>
    </row>
    <row r="60" spans="2:9" ht="12.75">
      <c r="B60" s="31" t="s">
        <v>218</v>
      </c>
      <c r="C60" s="132">
        <v>15</v>
      </c>
      <c r="D60" s="132">
        <v>15</v>
      </c>
      <c r="E60" s="132">
        <v>15</v>
      </c>
      <c r="F60" s="132">
        <v>15</v>
      </c>
      <c r="G60" s="132">
        <v>15</v>
      </c>
      <c r="H60" s="132">
        <v>15</v>
      </c>
      <c r="I60" s="132">
        <v>15</v>
      </c>
    </row>
    <row r="61" spans="2:9" ht="12.75">
      <c r="B61" s="31" t="s">
        <v>219</v>
      </c>
      <c r="C61" s="132">
        <v>5</v>
      </c>
      <c r="D61" s="132">
        <v>5</v>
      </c>
      <c r="E61" s="132">
        <v>5</v>
      </c>
      <c r="F61" s="132">
        <v>5</v>
      </c>
      <c r="G61" s="132">
        <v>5</v>
      </c>
      <c r="H61" s="132">
        <v>5</v>
      </c>
      <c r="I61" s="132">
        <v>5</v>
      </c>
    </row>
    <row r="62" spans="2:9" ht="12.75">
      <c r="B62" s="31" t="s">
        <v>220</v>
      </c>
      <c r="C62" s="132">
        <v>5</v>
      </c>
      <c r="D62" s="132">
        <v>5</v>
      </c>
      <c r="E62" s="132">
        <v>5</v>
      </c>
      <c r="F62" s="132">
        <v>5</v>
      </c>
      <c r="G62" s="132">
        <v>5</v>
      </c>
      <c r="H62" s="132">
        <v>5</v>
      </c>
      <c r="I62" s="132">
        <v>5</v>
      </c>
    </row>
    <row r="63" spans="2:9" ht="12.75">
      <c r="B63" s="31" t="s">
        <v>221</v>
      </c>
      <c r="C63" s="132">
        <v>10</v>
      </c>
      <c r="D63" s="132">
        <v>10</v>
      </c>
      <c r="E63" s="132">
        <v>10</v>
      </c>
      <c r="F63" s="132">
        <v>10</v>
      </c>
      <c r="G63" s="132">
        <v>10</v>
      </c>
      <c r="H63" s="132">
        <v>10</v>
      </c>
      <c r="I63" s="132">
        <v>10</v>
      </c>
    </row>
    <row r="64" spans="2:9" ht="12.75">
      <c r="B64" s="31" t="s">
        <v>222</v>
      </c>
      <c r="C64" s="132">
        <v>10</v>
      </c>
      <c r="D64" s="132">
        <v>10</v>
      </c>
      <c r="E64" s="132">
        <v>10</v>
      </c>
      <c r="F64" s="132">
        <v>10</v>
      </c>
      <c r="G64" s="132">
        <v>10</v>
      </c>
      <c r="H64" s="132">
        <v>10</v>
      </c>
      <c r="I64" s="132">
        <v>10</v>
      </c>
    </row>
    <row r="66" spans="3:9" ht="12.75">
      <c r="C66" s="131">
        <f>C58</f>
        <v>2006</v>
      </c>
      <c r="D66" s="131">
        <f aca="true" t="shared" si="9" ref="D66:I66">D58</f>
        <v>2007</v>
      </c>
      <c r="E66" s="131">
        <f t="shared" si="9"/>
        <v>2008</v>
      </c>
      <c r="F66" s="131">
        <f t="shared" si="9"/>
        <v>2009</v>
      </c>
      <c r="G66" s="131">
        <f t="shared" si="9"/>
        <v>2010</v>
      </c>
      <c r="H66" s="131">
        <f t="shared" si="9"/>
        <v>2011</v>
      </c>
      <c r="I66" s="131" t="str">
        <f t="shared" si="9"/>
        <v>Later</v>
      </c>
    </row>
    <row r="67" spans="2:9" ht="15.75">
      <c r="B67" s="51" t="s">
        <v>223</v>
      </c>
      <c r="C67" s="131" t="str">
        <f>C59</f>
        <v>Audited Actual</v>
      </c>
      <c r="D67" s="131" t="str">
        <f aca="true" t="shared" si="10" ref="D67:I67">D59</f>
        <v>Audited Actual</v>
      </c>
      <c r="E67" s="131" t="str">
        <f t="shared" si="10"/>
        <v>Actual</v>
      </c>
      <c r="F67" s="131" t="str">
        <f t="shared" si="10"/>
        <v>Forecasted</v>
      </c>
      <c r="G67" s="131" t="str">
        <f t="shared" si="10"/>
        <v>Forecasted</v>
      </c>
      <c r="H67" s="131" t="str">
        <f t="shared" si="10"/>
        <v>Forecasted</v>
      </c>
      <c r="I67" s="131" t="str">
        <f t="shared" si="10"/>
        <v>Forecasted</v>
      </c>
    </row>
    <row r="68" spans="2:9" ht="12.75">
      <c r="B68" s="7" t="s">
        <v>226</v>
      </c>
      <c r="C68" s="131">
        <v>47</v>
      </c>
      <c r="D68" s="131">
        <v>47</v>
      </c>
      <c r="E68" s="131">
        <v>47</v>
      </c>
      <c r="F68" s="131">
        <v>47</v>
      </c>
      <c r="G68" s="131">
        <v>47</v>
      </c>
      <c r="H68" s="131">
        <v>47</v>
      </c>
      <c r="I68" s="131">
        <v>47</v>
      </c>
    </row>
    <row r="69" spans="2:9" ht="12.75">
      <c r="B69" s="31" t="s">
        <v>8</v>
      </c>
      <c r="C69" s="133">
        <v>0.08</v>
      </c>
      <c r="D69" s="133">
        <v>0.08</v>
      </c>
      <c r="E69" s="133">
        <v>0.08</v>
      </c>
      <c r="F69" s="133">
        <v>0.08</v>
      </c>
      <c r="G69" s="133">
        <v>0.08</v>
      </c>
      <c r="H69" s="133">
        <v>0.08</v>
      </c>
      <c r="I69" s="133">
        <v>0.08</v>
      </c>
    </row>
    <row r="71" spans="2:9" ht="12.75">
      <c r="B71" s="7" t="s">
        <v>226</v>
      </c>
      <c r="C71" s="131">
        <v>45</v>
      </c>
      <c r="D71" s="131">
        <v>50</v>
      </c>
      <c r="E71" s="131">
        <v>50</v>
      </c>
      <c r="F71" s="131">
        <v>50</v>
      </c>
      <c r="G71" s="131">
        <v>50</v>
      </c>
      <c r="H71" s="131">
        <v>50</v>
      </c>
      <c r="I71" s="131">
        <v>50</v>
      </c>
    </row>
    <row r="72" spans="2:9" ht="12.75">
      <c r="B72" s="31" t="s">
        <v>225</v>
      </c>
      <c r="C72" s="133">
        <v>0.45</v>
      </c>
      <c r="D72" s="133">
        <v>0.55</v>
      </c>
      <c r="E72" s="133">
        <v>0.55</v>
      </c>
      <c r="F72" s="133">
        <v>0.55</v>
      </c>
      <c r="G72" s="133">
        <v>0.55</v>
      </c>
      <c r="H72" s="133">
        <v>0.55</v>
      </c>
      <c r="I72" s="133">
        <v>0.55</v>
      </c>
    </row>
    <row r="74" spans="2:9" ht="12.75">
      <c r="B74" s="7" t="s">
        <v>226</v>
      </c>
      <c r="C74" s="131">
        <v>8</v>
      </c>
      <c r="D74" s="131">
        <v>8</v>
      </c>
      <c r="E74" s="131">
        <v>8</v>
      </c>
      <c r="F74" s="131">
        <v>8</v>
      </c>
      <c r="G74" s="131">
        <v>8</v>
      </c>
      <c r="H74" s="131">
        <v>8</v>
      </c>
      <c r="I74" s="131">
        <v>8</v>
      </c>
    </row>
    <row r="75" spans="2:9" ht="12.75">
      <c r="B75" s="31" t="s">
        <v>227</v>
      </c>
      <c r="C75" s="133">
        <v>0.2</v>
      </c>
      <c r="D75" s="133">
        <v>0.2</v>
      </c>
      <c r="E75" s="133">
        <v>0.2</v>
      </c>
      <c r="F75" s="133">
        <v>0.2</v>
      </c>
      <c r="G75" s="133">
        <v>0.2</v>
      </c>
      <c r="H75" s="133">
        <v>0.2</v>
      </c>
      <c r="I75" s="13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A1">
      <pane xSplit="7800" ySplit="495" topLeftCell="P1" activePane="bottomRight" state="split"/>
      <selection pane="topLeft" activeCell="A1" sqref="A1"/>
      <selection pane="topRight" activeCell="C1" sqref="C1"/>
      <selection pane="bottomLeft" activeCell="B36" sqref="B36"/>
      <selection pane="bottomRight" activeCell="Q55" sqref="Q55"/>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88"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5" t="s">
        <v>234</v>
      </c>
      <c r="C1" s="185"/>
      <c r="D1" s="185"/>
      <c r="E1" s="26"/>
      <c r="F1" s="1"/>
      <c r="G1" s="62"/>
    </row>
    <row r="2" spans="1:7" s="3" customFormat="1" ht="6" customHeight="1">
      <c r="A2" s="27"/>
      <c r="B2" s="27"/>
      <c r="C2" s="27"/>
      <c r="D2" s="27"/>
      <c r="E2" s="27"/>
      <c r="F2" s="27"/>
      <c r="G2" s="27"/>
    </row>
    <row r="3" spans="1:7" ht="12.75">
      <c r="A3" s="5"/>
      <c r="B3" s="5"/>
      <c r="C3" s="5"/>
      <c r="D3" s="5"/>
      <c r="E3" s="5"/>
      <c r="F3" s="5"/>
      <c r="G3" s="62"/>
    </row>
    <row r="4" spans="1:7" ht="26.25">
      <c r="A4" s="63" t="s">
        <v>233</v>
      </c>
      <c r="B4" s="5"/>
      <c r="C4" s="5"/>
      <c r="D4" s="5"/>
      <c r="E4" s="5"/>
      <c r="F4" s="5"/>
      <c r="G4" s="62"/>
    </row>
    <row r="5" spans="1:7" ht="13.5" thickBot="1">
      <c r="A5" s="5"/>
      <c r="B5" s="5"/>
      <c r="C5" s="5"/>
      <c r="D5" s="5"/>
      <c r="E5" s="5"/>
      <c r="F5" s="5"/>
      <c r="G5" s="62"/>
    </row>
    <row r="6" spans="1:23" ht="18">
      <c r="A6" s="5"/>
      <c r="B6" s="28" t="s">
        <v>129</v>
      </c>
      <c r="C6" s="189">
        <f>'2. Smart Meter Data'!D4</f>
        <v>2006</v>
      </c>
      <c r="D6" s="190"/>
      <c r="E6" s="191"/>
      <c r="F6" s="189">
        <f>'2. Smart Meter Data'!E4</f>
        <v>2007</v>
      </c>
      <c r="G6" s="190"/>
      <c r="H6" s="191"/>
      <c r="I6" s="189">
        <f>'2. Smart Meter Data'!F4</f>
        <v>2008</v>
      </c>
      <c r="J6" s="190"/>
      <c r="K6" s="191"/>
      <c r="L6" s="189">
        <f>'2. Smart Meter Data'!G4</f>
        <v>2009</v>
      </c>
      <c r="M6" s="190"/>
      <c r="N6" s="191"/>
      <c r="O6" s="189">
        <f>'2. Smart Meter Data'!H4</f>
        <v>2010</v>
      </c>
      <c r="P6" s="190"/>
      <c r="Q6" s="191"/>
      <c r="R6" s="189">
        <f>'2. Smart Meter Data'!I4</f>
        <v>2011</v>
      </c>
      <c r="S6" s="190"/>
      <c r="T6" s="191"/>
      <c r="U6" s="189" t="str">
        <f>'2. Smart Meter Data'!J4</f>
        <v>Later</v>
      </c>
      <c r="V6" s="190"/>
      <c r="W6" s="191"/>
    </row>
    <row r="7" spans="1:23" ht="18.75" thickBot="1">
      <c r="A7" s="5"/>
      <c r="B7" s="28"/>
      <c r="C7" s="186" t="str">
        <f>'2. Smart Meter Data'!D5</f>
        <v>Audited Actual</v>
      </c>
      <c r="D7" s="187"/>
      <c r="E7" s="188"/>
      <c r="F7" s="186" t="str">
        <f>'2. Smart Meter Data'!E5</f>
        <v>Audited Actual</v>
      </c>
      <c r="G7" s="187"/>
      <c r="H7" s="188"/>
      <c r="I7" s="186" t="str">
        <f>'2. Smart Meter Data'!F5</f>
        <v>Actual</v>
      </c>
      <c r="J7" s="187"/>
      <c r="K7" s="188"/>
      <c r="L7" s="186" t="str">
        <f>'2. Smart Meter Data'!G5</f>
        <v>Forecasted</v>
      </c>
      <c r="M7" s="187"/>
      <c r="N7" s="188"/>
      <c r="O7" s="186" t="str">
        <f>'2. Smart Meter Data'!H5</f>
        <v>Forecasted</v>
      </c>
      <c r="P7" s="187"/>
      <c r="Q7" s="188"/>
      <c r="R7" s="186" t="str">
        <f>'2. Smart Meter Data'!I5</f>
        <v>Forecasted</v>
      </c>
      <c r="S7" s="187"/>
      <c r="T7" s="188"/>
      <c r="U7" s="186" t="str">
        <f>'2. Smart Meter Data'!J5</f>
        <v>Forecasted</v>
      </c>
      <c r="V7" s="187"/>
      <c r="W7" s="188"/>
    </row>
    <row r="8" spans="1:23" ht="12.75">
      <c r="A8" s="5"/>
      <c r="B8" s="64" t="s">
        <v>130</v>
      </c>
      <c r="C8" s="68">
        <f>'6. Avg Nt Fix Ass &amp;UCC'!C18</f>
        <v>0</v>
      </c>
      <c r="D8" s="6"/>
      <c r="E8" s="69"/>
      <c r="F8" s="65">
        <f>'6. Avg Nt Fix Ass &amp;UCC'!D18</f>
        <v>0</v>
      </c>
      <c r="G8" s="66"/>
      <c r="H8" s="67"/>
      <c r="I8" s="65">
        <f>'6. Avg Nt Fix Ass &amp;UCC'!E18</f>
        <v>0</v>
      </c>
      <c r="J8" s="66"/>
      <c r="K8" s="67"/>
      <c r="L8" s="68">
        <f>'6. Avg Nt Fix Ass &amp;UCC'!E18</f>
        <v>0</v>
      </c>
      <c r="M8" s="6"/>
      <c r="N8" s="69"/>
      <c r="O8" s="68">
        <f>'6. Avg Nt Fix Ass &amp;UCC'!G18</f>
        <v>1298447.34404954</v>
      </c>
      <c r="P8" s="6"/>
      <c r="Q8" s="69"/>
      <c r="R8" s="68">
        <f>'6. Avg Nt Fix Ass &amp;UCC'!H18</f>
        <v>2518281.6076998576</v>
      </c>
      <c r="S8" s="6"/>
      <c r="T8" s="69"/>
      <c r="U8" s="68">
        <f>'6. Avg Nt Fix Ass &amp;UCC'!I18</f>
        <v>2371236.320416375</v>
      </c>
      <c r="V8" s="6"/>
      <c r="W8" s="69"/>
    </row>
    <row r="9" spans="1:23" ht="12.75">
      <c r="A9" s="5"/>
      <c r="B9" s="64" t="s">
        <v>131</v>
      </c>
      <c r="C9" s="68">
        <f>'6. Avg Nt Fix Ass &amp;UCC'!C33</f>
        <v>0</v>
      </c>
      <c r="D9" s="70"/>
      <c r="E9" s="69"/>
      <c r="F9" s="68">
        <f>'6. Avg Nt Fix Ass &amp;UCC'!D33</f>
        <v>0</v>
      </c>
      <c r="G9" s="70"/>
      <c r="H9" s="69"/>
      <c r="I9" s="68">
        <f>'6. Avg Nt Fix Ass &amp;UCC'!E33</f>
        <v>0</v>
      </c>
      <c r="J9" s="70"/>
      <c r="K9" s="69"/>
      <c r="L9" s="68">
        <f>'6. Avg Nt Fix Ass &amp;UCC'!E33</f>
        <v>0</v>
      </c>
      <c r="M9" s="70"/>
      <c r="N9" s="69"/>
      <c r="O9" s="68">
        <f>'6. Avg Nt Fix Ass &amp;UCC'!G33</f>
        <v>7451.429760000001</v>
      </c>
      <c r="P9" s="70"/>
      <c r="Q9" s="69"/>
      <c r="R9" s="68">
        <f>'6. Avg Nt Fix Ass &amp;UCC'!H33</f>
        <v>13246.986240000002</v>
      </c>
      <c r="S9" s="70"/>
      <c r="T9" s="69"/>
      <c r="U9" s="68">
        <f>'6. Avg Nt Fix Ass &amp;UCC'!I33</f>
        <v>9935.239679999999</v>
      </c>
      <c r="V9" s="70"/>
      <c r="W9" s="69"/>
    </row>
    <row r="10" spans="1:23" ht="12.75">
      <c r="A10" s="5"/>
      <c r="B10" s="64" t="s">
        <v>132</v>
      </c>
      <c r="C10" s="68">
        <f>'6. Avg Nt Fix Ass &amp;UCC'!C48</f>
        <v>0</v>
      </c>
      <c r="D10" s="71"/>
      <c r="E10" s="69"/>
      <c r="F10" s="68">
        <f>'6. Avg Nt Fix Ass &amp;UCC'!D48</f>
        <v>0</v>
      </c>
      <c r="G10" s="71"/>
      <c r="H10" s="69"/>
      <c r="I10" s="68">
        <f>'6. Avg Nt Fix Ass &amp;UCC'!E48</f>
        <v>0</v>
      </c>
      <c r="J10" s="71"/>
      <c r="K10" s="69"/>
      <c r="L10" s="68">
        <f>'6. Avg Nt Fix Ass &amp;UCC'!FE8</f>
        <v>0</v>
      </c>
      <c r="M10" s="71"/>
      <c r="N10" s="69"/>
      <c r="O10" s="68">
        <f>'6. Avg Nt Fix Ass &amp;UCC'!G48</f>
        <v>244876.03344</v>
      </c>
      <c r="P10" s="71"/>
      <c r="Q10" s="69"/>
      <c r="R10" s="68">
        <f>'6. Avg Nt Fix Ass &amp;UCC'!H48</f>
        <v>435335.17056</v>
      </c>
      <c r="S10" s="71"/>
      <c r="T10" s="69"/>
      <c r="U10" s="68">
        <f>'6. Avg Nt Fix Ass &amp;UCC'!I48</f>
        <v>326501.37792</v>
      </c>
      <c r="V10" s="71"/>
      <c r="W10" s="69"/>
    </row>
    <row r="11" spans="1:23" ht="12.75">
      <c r="A11" s="5"/>
      <c r="B11" s="64" t="s">
        <v>133</v>
      </c>
      <c r="C11" s="68">
        <f>'6. Avg Nt Fix Ass &amp;UCC'!C63</f>
        <v>0</v>
      </c>
      <c r="D11" s="71"/>
      <c r="E11" s="69"/>
      <c r="F11" s="68">
        <f>'6. Avg Nt Fix Ass &amp;UCC'!D63</f>
        <v>0</v>
      </c>
      <c r="G11" s="71"/>
      <c r="H11" s="69"/>
      <c r="I11" s="68">
        <f>'6. Avg Nt Fix Ass &amp;UCC'!E63</f>
        <v>0</v>
      </c>
      <c r="J11" s="71"/>
      <c r="K11" s="69"/>
      <c r="L11" s="68">
        <f>'6. Avg Nt Fix Ass &amp;UCC'!F63</f>
        <v>0</v>
      </c>
      <c r="M11" s="71"/>
      <c r="N11" s="69"/>
      <c r="O11" s="68">
        <f>'6. Avg Nt Fix Ass &amp;UCC'!G63</f>
        <v>0</v>
      </c>
      <c r="P11" s="71"/>
      <c r="Q11" s="69"/>
      <c r="R11" s="68">
        <f>'6. Avg Nt Fix Ass &amp;UCC'!H63</f>
        <v>0</v>
      </c>
      <c r="S11" s="71"/>
      <c r="T11" s="69"/>
      <c r="U11" s="68">
        <f>'6. Avg Nt Fix Ass &amp;UCC'!I63</f>
        <v>0</v>
      </c>
      <c r="V11" s="71"/>
      <c r="W11" s="69"/>
    </row>
    <row r="12" spans="1:23" ht="12.75">
      <c r="A12" s="5"/>
      <c r="B12" s="64" t="s">
        <v>134</v>
      </c>
      <c r="C12" s="68">
        <f>'6. Avg Nt Fix Ass &amp;UCC'!C78</f>
        <v>0</v>
      </c>
      <c r="D12" s="71"/>
      <c r="E12" s="69"/>
      <c r="F12" s="68">
        <f>'6. Avg Nt Fix Ass &amp;UCC'!D78</f>
        <v>0</v>
      </c>
      <c r="G12" s="71"/>
      <c r="H12" s="69"/>
      <c r="I12" s="68">
        <f>'6. Avg Nt Fix Ass &amp;UCC'!E78</f>
        <v>0</v>
      </c>
      <c r="J12" s="71"/>
      <c r="K12" s="69"/>
      <c r="L12" s="68">
        <f>'6. Avg Nt Fix Ass &amp;UCC'!F78</f>
        <v>0</v>
      </c>
      <c r="M12" s="71"/>
      <c r="N12" s="69"/>
      <c r="O12" s="68">
        <f>'6. Avg Nt Fix Ass &amp;UCC'!G78</f>
        <v>0</v>
      </c>
      <c r="P12" s="71"/>
      <c r="Q12" s="69"/>
      <c r="R12" s="68">
        <f>'6. Avg Nt Fix Ass &amp;UCC'!H78</f>
        <v>0</v>
      </c>
      <c r="S12" s="71"/>
      <c r="T12" s="69"/>
      <c r="U12" s="68">
        <f>'6. Avg Nt Fix Ass &amp;UCC'!I78</f>
        <v>0</v>
      </c>
      <c r="V12" s="71"/>
      <c r="W12" s="69"/>
    </row>
    <row r="13" spans="1:23" ht="12.75">
      <c r="A13" s="5"/>
      <c r="B13" s="64" t="s">
        <v>135</v>
      </c>
      <c r="C13" s="72">
        <f>SUM(C8:C12)</f>
        <v>0</v>
      </c>
      <c r="D13" s="71">
        <f>C13</f>
        <v>0</v>
      </c>
      <c r="E13" s="69"/>
      <c r="F13" s="72">
        <f>SUM(F8:F12)</f>
        <v>0</v>
      </c>
      <c r="G13" s="71">
        <f>F13</f>
        <v>0</v>
      </c>
      <c r="H13" s="69"/>
      <c r="I13" s="72">
        <f>SUM(I8:I12)</f>
        <v>0</v>
      </c>
      <c r="J13" s="71">
        <f>I13</f>
        <v>0</v>
      </c>
      <c r="K13" s="69"/>
      <c r="L13" s="72">
        <f>SUM(L8:L12)</f>
        <v>0</v>
      </c>
      <c r="M13" s="71">
        <f>L13</f>
        <v>0</v>
      </c>
      <c r="N13" s="69"/>
      <c r="O13" s="72">
        <f>SUM(O8:O12)</f>
        <v>1550774.80724954</v>
      </c>
      <c r="P13" s="71">
        <f>O13</f>
        <v>1550774.80724954</v>
      </c>
      <c r="Q13" s="69"/>
      <c r="R13" s="72">
        <f>SUM(R8:R12)</f>
        <v>2966863.7644998576</v>
      </c>
      <c r="S13" s="71">
        <f>R13</f>
        <v>2966863.7644998576</v>
      </c>
      <c r="T13" s="69"/>
      <c r="U13" s="72">
        <f>SUM(U8:U12)</f>
        <v>2707672.938016375</v>
      </c>
      <c r="V13" s="71">
        <f>U13</f>
        <v>2707672.938016375</v>
      </c>
      <c r="W13" s="69"/>
    </row>
    <row r="14" spans="1:23" ht="12.75">
      <c r="A14" s="5"/>
      <c r="B14" s="64"/>
      <c r="C14" s="73"/>
      <c r="D14" s="6"/>
      <c r="E14" s="69"/>
      <c r="F14" s="73"/>
      <c r="G14" s="6"/>
      <c r="H14" s="69"/>
      <c r="I14" s="73"/>
      <c r="J14" s="6"/>
      <c r="K14" s="69"/>
      <c r="L14" s="73"/>
      <c r="M14" s="6"/>
      <c r="N14" s="69"/>
      <c r="O14" s="73"/>
      <c r="P14" s="6"/>
      <c r="Q14" s="69"/>
      <c r="R14" s="73"/>
      <c r="S14" s="6"/>
      <c r="T14" s="69"/>
      <c r="U14" s="73"/>
      <c r="V14" s="6"/>
      <c r="W14" s="69"/>
    </row>
    <row r="15" spans="1:23" ht="18">
      <c r="A15" s="5"/>
      <c r="B15" s="28" t="s">
        <v>136</v>
      </c>
      <c r="C15" s="73"/>
      <c r="D15" s="6"/>
      <c r="E15" s="69"/>
      <c r="F15" s="73"/>
      <c r="G15" s="6"/>
      <c r="H15" s="69"/>
      <c r="I15" s="73"/>
      <c r="J15" s="6"/>
      <c r="K15" s="69"/>
      <c r="L15" s="73"/>
      <c r="M15" s="6"/>
      <c r="N15" s="69"/>
      <c r="O15" s="73"/>
      <c r="P15" s="6"/>
      <c r="Q15" s="69"/>
      <c r="R15" s="73"/>
      <c r="S15" s="6"/>
      <c r="T15" s="69"/>
      <c r="U15" s="73"/>
      <c r="V15" s="6"/>
      <c r="W15" s="69"/>
    </row>
    <row r="16" spans="1:23" ht="12.75">
      <c r="A16" s="5"/>
      <c r="B16" s="64" t="s">
        <v>118</v>
      </c>
      <c r="C16" s="74">
        <f>E33</f>
        <v>0</v>
      </c>
      <c r="D16" s="71"/>
      <c r="E16" s="75"/>
      <c r="F16" s="74">
        <f>H33</f>
        <v>0</v>
      </c>
      <c r="G16" s="71"/>
      <c r="H16" s="75"/>
      <c r="I16" s="74">
        <f>K33</f>
        <v>0</v>
      </c>
      <c r="J16" s="71"/>
      <c r="K16" s="75"/>
      <c r="L16" s="74">
        <f>N33</f>
        <v>0</v>
      </c>
      <c r="M16" s="71"/>
      <c r="N16" s="75"/>
      <c r="O16" s="74">
        <f>Q33</f>
        <v>213244.43092416003</v>
      </c>
      <c r="P16" s="71"/>
      <c r="Q16" s="69"/>
      <c r="R16" s="74">
        <f>T33</f>
        <v>179732.8248440832</v>
      </c>
      <c r="S16" s="71"/>
      <c r="T16" s="69"/>
      <c r="U16" s="74">
        <f>W33</f>
        <v>189658.0043158708</v>
      </c>
      <c r="V16" s="71"/>
      <c r="W16" s="69"/>
    </row>
    <row r="17" spans="1:23" ht="12.75">
      <c r="A17" s="5"/>
      <c r="B17" s="64" t="str">
        <f>"Working Capital  %"</f>
        <v>Working Capital  %</v>
      </c>
      <c r="C17" s="74">
        <f>C16*'3.  LDC Assumptions and Data'!$C$23</f>
        <v>0</v>
      </c>
      <c r="D17" s="71">
        <f>C17</f>
        <v>0</v>
      </c>
      <c r="E17" s="75"/>
      <c r="F17" s="74">
        <f>F16*'3.  LDC Assumptions and Data'!$D$23</f>
        <v>0</v>
      </c>
      <c r="G17" s="71">
        <f>F17</f>
        <v>0</v>
      </c>
      <c r="H17" s="75"/>
      <c r="I17" s="74">
        <f>I16*'3.  LDC Assumptions and Data'!$E$23</f>
        <v>0</v>
      </c>
      <c r="J17" s="71">
        <f>I17</f>
        <v>0</v>
      </c>
      <c r="K17" s="75"/>
      <c r="L17" s="74">
        <f>L16*'3.  LDC Assumptions and Data'!$F$23</f>
        <v>0</v>
      </c>
      <c r="M17" s="71">
        <f>L17</f>
        <v>0</v>
      </c>
      <c r="N17" s="75"/>
      <c r="O17" s="74">
        <f>O16*'3.  LDC Assumptions and Data'!$G$23</f>
        <v>31986.664638624003</v>
      </c>
      <c r="P17" s="71">
        <f>O17</f>
        <v>31986.664638624003</v>
      </c>
      <c r="Q17" s="69"/>
      <c r="R17" s="74">
        <f>R16*'3.  LDC Assumptions and Data'!$H$23</f>
        <v>26959.92372661248</v>
      </c>
      <c r="S17" s="71">
        <f>R17</f>
        <v>26959.92372661248</v>
      </c>
      <c r="T17" s="69"/>
      <c r="U17" s="74">
        <f>U16*'3.  LDC Assumptions and Data'!$I$23</f>
        <v>28448.70064738062</v>
      </c>
      <c r="V17" s="71">
        <f>U17</f>
        <v>28448.70064738062</v>
      </c>
      <c r="W17" s="69"/>
    </row>
    <row r="18" spans="1:23" ht="12.75">
      <c r="A18" s="5"/>
      <c r="B18" s="64"/>
      <c r="C18" s="74"/>
      <c r="D18" s="71"/>
      <c r="E18" s="75"/>
      <c r="F18" s="74"/>
      <c r="G18" s="71"/>
      <c r="H18" s="75"/>
      <c r="I18" s="74"/>
      <c r="J18" s="71"/>
      <c r="K18" s="75"/>
      <c r="L18" s="74"/>
      <c r="M18" s="71"/>
      <c r="N18" s="75"/>
      <c r="O18" s="74"/>
      <c r="P18" s="71"/>
      <c r="Q18" s="69"/>
      <c r="R18" s="74"/>
      <c r="S18" s="71"/>
      <c r="T18" s="69"/>
      <c r="U18" s="74"/>
      <c r="V18" s="71"/>
      <c r="W18" s="69"/>
    </row>
    <row r="19" spans="1:23" ht="15.75">
      <c r="A19" s="5"/>
      <c r="B19" s="51" t="s">
        <v>137</v>
      </c>
      <c r="C19" s="74"/>
      <c r="D19" s="76">
        <f>SUM(D9:D17)</f>
        <v>0</v>
      </c>
      <c r="E19" s="75"/>
      <c r="F19" s="74"/>
      <c r="G19" s="76">
        <f>SUM(G9:G17)</f>
        <v>0</v>
      </c>
      <c r="H19" s="75"/>
      <c r="I19" s="74"/>
      <c r="J19" s="76">
        <f>SUM(J9:J17)</f>
        <v>0</v>
      </c>
      <c r="K19" s="75"/>
      <c r="L19" s="74"/>
      <c r="M19" s="76">
        <f>SUM(M9:M17)</f>
        <v>0</v>
      </c>
      <c r="N19" s="75"/>
      <c r="O19" s="74"/>
      <c r="P19" s="76">
        <f>SUM(P9:P17)</f>
        <v>1582761.471888164</v>
      </c>
      <c r="Q19" s="69"/>
      <c r="R19" s="74"/>
      <c r="S19" s="76">
        <f>SUM(S9:S17)</f>
        <v>2993823.6882264703</v>
      </c>
      <c r="T19" s="69"/>
      <c r="U19" s="74"/>
      <c r="V19" s="76">
        <f>SUM(V9:V17)</f>
        <v>2736121.6386637557</v>
      </c>
      <c r="W19" s="69"/>
    </row>
    <row r="20" spans="1:23" ht="12.75">
      <c r="A20" s="5"/>
      <c r="B20" s="64"/>
      <c r="C20" s="73"/>
      <c r="D20" s="6"/>
      <c r="E20" s="69"/>
      <c r="F20" s="73"/>
      <c r="G20" s="6"/>
      <c r="H20" s="69"/>
      <c r="I20" s="73"/>
      <c r="J20" s="6"/>
      <c r="K20" s="69"/>
      <c r="L20" s="73"/>
      <c r="M20" s="6"/>
      <c r="N20" s="69"/>
      <c r="O20" s="73"/>
      <c r="P20" s="6"/>
      <c r="Q20" s="69"/>
      <c r="R20" s="73"/>
      <c r="S20" s="6"/>
      <c r="T20" s="69"/>
      <c r="U20" s="73"/>
      <c r="V20" s="6"/>
      <c r="W20" s="69"/>
    </row>
    <row r="21" spans="1:23" ht="18">
      <c r="A21" s="5"/>
      <c r="B21" s="28" t="s">
        <v>119</v>
      </c>
      <c r="C21" s="73"/>
      <c r="D21" s="6"/>
      <c r="E21" s="69"/>
      <c r="F21" s="73"/>
      <c r="G21" s="6"/>
      <c r="H21" s="69"/>
      <c r="I21" s="73"/>
      <c r="J21" s="6"/>
      <c r="K21" s="69"/>
      <c r="L21" s="73"/>
      <c r="M21" s="6"/>
      <c r="N21" s="69"/>
      <c r="O21" s="73"/>
      <c r="P21" s="6"/>
      <c r="Q21" s="69"/>
      <c r="R21" s="73"/>
      <c r="S21" s="6"/>
      <c r="T21" s="69"/>
      <c r="U21" s="73"/>
      <c r="V21" s="6"/>
      <c r="W21" s="69"/>
    </row>
    <row r="22" spans="1:23" ht="12.75">
      <c r="A22" s="5"/>
      <c r="B22" s="2" t="s">
        <v>255</v>
      </c>
      <c r="C22" s="73"/>
      <c r="D22" s="6"/>
      <c r="E22" s="69"/>
      <c r="F22" s="77"/>
      <c r="G22" s="6"/>
      <c r="H22" s="69"/>
      <c r="I22" s="77">
        <f>'3.  LDC Assumptions and Data'!$E$14</f>
        <v>0.04</v>
      </c>
      <c r="J22" s="6"/>
      <c r="K22" s="69"/>
      <c r="L22" s="77">
        <f>'3.  LDC Assumptions and Data'!$F14</f>
        <v>0.04</v>
      </c>
      <c r="M22" s="6"/>
      <c r="N22" s="69"/>
      <c r="O22" s="77">
        <f>'3.  LDC Assumptions and Data'!$G14</f>
        <v>0.04</v>
      </c>
      <c r="P22" s="176">
        <f>+P19*O22</f>
        <v>63310.458875526565</v>
      </c>
      <c r="Q22" s="69"/>
      <c r="R22" s="77">
        <f>'3.  LDC Assumptions and Data'!$H14</f>
        <v>0.04</v>
      </c>
      <c r="S22" s="176">
        <f>+S19*R22</f>
        <v>119752.94752905882</v>
      </c>
      <c r="T22" s="69"/>
      <c r="U22" s="77">
        <f>'3.  LDC Assumptions and Data'!$I14</f>
        <v>0.04</v>
      </c>
      <c r="V22" s="176">
        <f>+V19*U22</f>
        <v>109444.86554655024</v>
      </c>
      <c r="W22" s="69"/>
    </row>
    <row r="23" spans="1:23" ht="12.75">
      <c r="A23" s="5"/>
      <c r="B23" s="2" t="s">
        <v>253</v>
      </c>
      <c r="C23" s="77">
        <f>'3.  LDC Assumptions and Data'!$C$15</f>
        <v>0.5</v>
      </c>
      <c r="D23" s="71">
        <f>D19*C23</f>
        <v>0</v>
      </c>
      <c r="E23" s="69"/>
      <c r="F23" s="77">
        <f>'3.  LDC Assumptions and Data'!$D$15</f>
        <v>0.5</v>
      </c>
      <c r="G23" s="71">
        <f>G19*F23</f>
        <v>0</v>
      </c>
      <c r="H23" s="69"/>
      <c r="I23" s="77">
        <f>'3.  LDC Assumptions and Data'!$E$15</f>
        <v>0.49299999999999994</v>
      </c>
      <c r="J23" s="71">
        <f>J19*I23</f>
        <v>0</v>
      </c>
      <c r="K23" s="69"/>
      <c r="L23" s="77">
        <f>'3.  LDC Assumptions and Data'!$F15</f>
        <v>0.527</v>
      </c>
      <c r="M23" s="71">
        <f>M19*L23</f>
        <v>0</v>
      </c>
      <c r="N23" s="69"/>
      <c r="O23" s="77">
        <f>'3.  LDC Assumptions and Data'!$G15</f>
        <v>0.5599999999999999</v>
      </c>
      <c r="P23" s="71">
        <f>P19*O23</f>
        <v>886346.4242573718</v>
      </c>
      <c r="Q23" s="69"/>
      <c r="R23" s="77">
        <f>'3.  LDC Assumptions and Data'!$H15</f>
        <v>0.5599999999999999</v>
      </c>
      <c r="S23" s="71">
        <f>S19*R23</f>
        <v>1676541.2654068233</v>
      </c>
      <c r="T23" s="69"/>
      <c r="U23" s="77">
        <f>'3.  LDC Assumptions and Data'!$I15</f>
        <v>0.5599999999999999</v>
      </c>
      <c r="V23" s="71">
        <f>V19*U23</f>
        <v>1532228.117651703</v>
      </c>
      <c r="W23" s="69"/>
    </row>
    <row r="24" spans="1:23" ht="12.75">
      <c r="A24" s="5"/>
      <c r="B24" s="2" t="s">
        <v>254</v>
      </c>
      <c r="C24" s="77">
        <f>'3.  LDC Assumptions and Data'!$C$16</f>
        <v>0.5</v>
      </c>
      <c r="D24" s="71">
        <f>D19*C24</f>
        <v>0</v>
      </c>
      <c r="E24" s="69"/>
      <c r="F24" s="77">
        <f>'3.  LDC Assumptions and Data'!$D$16</f>
        <v>0.5</v>
      </c>
      <c r="G24" s="71">
        <f>G19*F24</f>
        <v>0</v>
      </c>
      <c r="H24" s="69"/>
      <c r="I24" s="77">
        <f>'3.  LDC Assumptions and Data'!$E$16</f>
        <v>0.46700000000000014</v>
      </c>
      <c r="J24" s="71">
        <f>J19*I24</f>
        <v>0</v>
      </c>
      <c r="K24" s="69"/>
      <c r="L24" s="77">
        <f>'3.  LDC Assumptions and Data'!$F$16</f>
        <v>0.433</v>
      </c>
      <c r="M24" s="71">
        <f>M19*L24</f>
        <v>0</v>
      </c>
      <c r="N24" s="69"/>
      <c r="O24" s="77">
        <f>'3.  LDC Assumptions and Data'!$G$16</f>
        <v>0.4000000000000001</v>
      </c>
      <c r="P24" s="71">
        <f>P19*O24</f>
        <v>633104.5887552657</v>
      </c>
      <c r="Q24" s="69"/>
      <c r="R24" s="77">
        <f>'3.  LDC Assumptions and Data'!$H$16</f>
        <v>0.4000000000000001</v>
      </c>
      <c r="S24" s="71">
        <f>S19*R24</f>
        <v>1197529.4752905883</v>
      </c>
      <c r="T24" s="69"/>
      <c r="U24" s="77">
        <f>'3.  LDC Assumptions and Data'!$I$16</f>
        <v>0.4000000000000001</v>
      </c>
      <c r="V24" s="71">
        <f>V19*U24</f>
        <v>1094448.6554655025</v>
      </c>
      <c r="W24" s="69"/>
    </row>
    <row r="25" spans="1:23" ht="12.75">
      <c r="A25" s="5"/>
      <c r="B25" s="64"/>
      <c r="C25" s="78"/>
      <c r="D25" s="76">
        <f>SUM(D23:D24)</f>
        <v>0</v>
      </c>
      <c r="E25" s="69"/>
      <c r="F25" s="78"/>
      <c r="G25" s="76">
        <f>SUM(G23:G24)</f>
        <v>0</v>
      </c>
      <c r="H25" s="69"/>
      <c r="I25" s="78"/>
      <c r="J25" s="76">
        <f>SUM(J23:J24)</f>
        <v>0</v>
      </c>
      <c r="K25" s="69"/>
      <c r="L25" s="78"/>
      <c r="M25" s="76">
        <f>SUM(M23:M24)</f>
        <v>0</v>
      </c>
      <c r="N25" s="69"/>
      <c r="O25" s="78"/>
      <c r="P25" s="76">
        <f>SUM(P22:P24)</f>
        <v>1582761.471888164</v>
      </c>
      <c r="Q25" s="69"/>
      <c r="R25" s="78"/>
      <c r="S25" s="76">
        <f>SUM(S22:S24)</f>
        <v>2993823.6882264707</v>
      </c>
      <c r="T25" s="69"/>
      <c r="U25" s="78"/>
      <c r="V25" s="76">
        <f>SUM(V22:V24)</f>
        <v>2736121.6386637557</v>
      </c>
      <c r="W25" s="69"/>
    </row>
    <row r="26" spans="1:23" ht="12.75">
      <c r="A26" s="5"/>
      <c r="B26" s="64"/>
      <c r="C26" s="78"/>
      <c r="D26" s="71"/>
      <c r="E26" s="69"/>
      <c r="F26" s="78"/>
      <c r="G26" s="71"/>
      <c r="H26" s="69"/>
      <c r="I26" s="78"/>
      <c r="J26" s="71"/>
      <c r="K26" s="69"/>
      <c r="L26" s="78"/>
      <c r="M26" s="71"/>
      <c r="N26" s="69"/>
      <c r="O26" s="78"/>
      <c r="P26" s="71"/>
      <c r="Q26" s="69"/>
      <c r="R26" s="78"/>
      <c r="S26" s="71"/>
      <c r="T26" s="69"/>
      <c r="U26" s="78"/>
      <c r="V26" s="71"/>
      <c r="W26" s="69"/>
    </row>
    <row r="27" spans="1:23" ht="12.75">
      <c r="A27" s="5"/>
      <c r="B27" s="2" t="s">
        <v>257</v>
      </c>
      <c r="C27" s="77"/>
      <c r="D27" s="6"/>
      <c r="E27" s="69"/>
      <c r="F27" s="78"/>
      <c r="G27" s="6"/>
      <c r="H27" s="69"/>
      <c r="I27" s="77">
        <f>'3.  LDC Assumptions and Data'!$E$18</f>
        <v>0.0447</v>
      </c>
      <c r="J27" s="6"/>
      <c r="K27" s="69"/>
      <c r="L27" s="77">
        <f>'3.  LDC Assumptions and Data'!$F18</f>
        <v>0.0113</v>
      </c>
      <c r="M27" s="6"/>
      <c r="N27" s="69"/>
      <c r="O27" s="77">
        <f>'3.  LDC Assumptions and Data'!$G18</f>
        <v>0.0113</v>
      </c>
      <c r="P27" s="71">
        <f>P22*O27</f>
        <v>715.4081852934502</v>
      </c>
      <c r="Q27" s="69"/>
      <c r="R27" s="77">
        <f>'3.  LDC Assumptions and Data'!$H18</f>
        <v>0.0113</v>
      </c>
      <c r="S27" s="71">
        <f>S22*R27</f>
        <v>1353.2083070783644</v>
      </c>
      <c r="T27" s="69"/>
      <c r="U27" s="77">
        <f>'3.  LDC Assumptions and Data'!$I18</f>
        <v>0.0113</v>
      </c>
      <c r="V27" s="71">
        <f>V22*U27</f>
        <v>1236.7269806760175</v>
      </c>
      <c r="W27" s="69"/>
    </row>
    <row r="28" spans="1:23" ht="12.75">
      <c r="A28" s="5"/>
      <c r="B28" s="64" t="s">
        <v>201</v>
      </c>
      <c r="C28" s="77">
        <f>'3.  LDC Assumptions and Data'!$C$19</f>
        <v>0.0725</v>
      </c>
      <c r="D28" s="71">
        <f>D23*C28</f>
        <v>0</v>
      </c>
      <c r="E28" s="75"/>
      <c r="F28" s="77">
        <f>'3.  LDC Assumptions and Data'!$D$19</f>
        <v>0.0725</v>
      </c>
      <c r="G28" s="71">
        <f>G23*F28</f>
        <v>0</v>
      </c>
      <c r="H28" s="75"/>
      <c r="I28" s="77">
        <f>'3.  LDC Assumptions and Data'!$E$19</f>
        <v>0.0725</v>
      </c>
      <c r="J28" s="71">
        <f>J23*I28</f>
        <v>0</v>
      </c>
      <c r="K28" s="75"/>
      <c r="L28" s="77">
        <f>'3.  LDC Assumptions and Data'!$F19</f>
        <v>0.0725</v>
      </c>
      <c r="M28" s="71">
        <f>M23*L28</f>
        <v>0</v>
      </c>
      <c r="N28" s="75"/>
      <c r="O28" s="77">
        <f>'3.  LDC Assumptions and Data'!$G19</f>
        <v>0.0725</v>
      </c>
      <c r="P28" s="71">
        <f>P23*O28</f>
        <v>64260.11575865945</v>
      </c>
      <c r="Q28" s="75"/>
      <c r="R28" s="77">
        <f>'3.  LDC Assumptions and Data'!$H19</f>
        <v>0.0725</v>
      </c>
      <c r="S28" s="71">
        <f>S23*R28</f>
        <v>121549.24174199467</v>
      </c>
      <c r="T28" s="75"/>
      <c r="U28" s="77">
        <f>'3.  LDC Assumptions and Data'!$I19</f>
        <v>0.0725</v>
      </c>
      <c r="V28" s="71">
        <f>V23*U28</f>
        <v>111086.53852974846</v>
      </c>
      <c r="W28" s="75"/>
    </row>
    <row r="29" spans="1:23" ht="12.75">
      <c r="A29" s="5"/>
      <c r="B29" s="64" t="s">
        <v>202</v>
      </c>
      <c r="C29" s="77">
        <f>'3.  LDC Assumptions and Data'!$C$20</f>
        <v>0.09</v>
      </c>
      <c r="D29" s="71">
        <f>D24*C29</f>
        <v>0</v>
      </c>
      <c r="E29" s="75"/>
      <c r="F29" s="77">
        <f>'3.  LDC Assumptions and Data'!$D$20</f>
        <v>0.09</v>
      </c>
      <c r="G29" s="71">
        <f>G24*F29</f>
        <v>0</v>
      </c>
      <c r="H29" s="75"/>
      <c r="I29" s="77">
        <f>'3.  LDC Assumptions and Data'!$E$20</f>
        <v>0.09</v>
      </c>
      <c r="J29" s="71">
        <f>J24*I29</f>
        <v>0</v>
      </c>
      <c r="K29" s="75"/>
      <c r="L29" s="77">
        <f>'3.  LDC Assumptions and Data'!$F$20</f>
        <v>0.09</v>
      </c>
      <c r="M29" s="71">
        <f>M24*L29</f>
        <v>0</v>
      </c>
      <c r="N29" s="75"/>
      <c r="O29" s="77">
        <f>'3.  LDC Assumptions and Data'!$G$20</f>
        <v>0.09</v>
      </c>
      <c r="P29" s="71">
        <f>P24*O29</f>
        <v>56979.41298797391</v>
      </c>
      <c r="Q29" s="75"/>
      <c r="R29" s="77">
        <f>'3.  LDC Assumptions and Data'!$H$20</f>
        <v>0.09</v>
      </c>
      <c r="S29" s="71">
        <f>S24*R29</f>
        <v>107777.65277615294</v>
      </c>
      <c r="T29" s="75"/>
      <c r="U29" s="77">
        <f>'3.  LDC Assumptions and Data'!$I$20</f>
        <v>0.09</v>
      </c>
      <c r="V29" s="71">
        <f>V24*U29</f>
        <v>98500.37899189522</v>
      </c>
      <c r="W29" s="75"/>
    </row>
    <row r="30" spans="1:23" ht="15.75">
      <c r="A30" s="5"/>
      <c r="B30" s="51" t="s">
        <v>119</v>
      </c>
      <c r="C30" s="73"/>
      <c r="D30" s="76">
        <f>SUM(D28:D29)</f>
        <v>0</v>
      </c>
      <c r="E30" s="75">
        <f>D30</f>
        <v>0</v>
      </c>
      <c r="F30" s="73"/>
      <c r="G30" s="76">
        <f>SUM(G28:G29)</f>
        <v>0</v>
      </c>
      <c r="H30" s="75">
        <f>G30</f>
        <v>0</v>
      </c>
      <c r="I30" s="73"/>
      <c r="J30" s="76">
        <f>SUM(J28:J29)</f>
        <v>0</v>
      </c>
      <c r="K30" s="75">
        <f>J30</f>
        <v>0</v>
      </c>
      <c r="L30" s="73"/>
      <c r="M30" s="76">
        <f>SUM(M28:M29)</f>
        <v>0</v>
      </c>
      <c r="N30" s="75">
        <f>M30</f>
        <v>0</v>
      </c>
      <c r="O30" s="73"/>
      <c r="P30" s="76">
        <f>SUM(P27:P29)</f>
        <v>121954.93693192682</v>
      </c>
      <c r="Q30" s="75">
        <f>P30</f>
        <v>121954.93693192682</v>
      </c>
      <c r="R30" s="73"/>
      <c r="S30" s="76">
        <f>SUM(S27:S29)</f>
        <v>230680.10282522597</v>
      </c>
      <c r="T30" s="75">
        <f>S30</f>
        <v>230680.10282522597</v>
      </c>
      <c r="U30" s="73"/>
      <c r="V30" s="76">
        <f>SUM(V27:V29)</f>
        <v>210823.6445023197</v>
      </c>
      <c r="W30" s="75">
        <f>V30</f>
        <v>210823.6445023197</v>
      </c>
    </row>
    <row r="31" spans="1:23" ht="15.75">
      <c r="A31" s="5"/>
      <c r="B31" s="51"/>
      <c r="C31" s="73"/>
      <c r="D31" s="70"/>
      <c r="E31" s="79"/>
      <c r="F31" s="73"/>
      <c r="G31" s="70"/>
      <c r="H31" s="79"/>
      <c r="I31" s="73"/>
      <c r="J31" s="70"/>
      <c r="K31" s="79"/>
      <c r="L31" s="73"/>
      <c r="M31" s="70"/>
      <c r="N31" s="79"/>
      <c r="O31" s="73"/>
      <c r="P31" s="70"/>
      <c r="Q31" s="79"/>
      <c r="R31" s="73"/>
      <c r="S31" s="70"/>
      <c r="T31" s="79"/>
      <c r="U31" s="73"/>
      <c r="V31" s="70"/>
      <c r="W31" s="79"/>
    </row>
    <row r="32" spans="1:23" ht="18">
      <c r="A32" s="5"/>
      <c r="B32" s="28" t="s">
        <v>120</v>
      </c>
      <c r="C32" s="73"/>
      <c r="D32" s="70"/>
      <c r="E32" s="79"/>
      <c r="F32" s="73"/>
      <c r="G32" s="70"/>
      <c r="H32" s="79"/>
      <c r="I32" s="73"/>
      <c r="J32" s="70"/>
      <c r="K32" s="79"/>
      <c r="L32" s="73"/>
      <c r="M32" s="70"/>
      <c r="N32" s="79"/>
      <c r="O32" s="73"/>
      <c r="P32" s="70"/>
      <c r="Q32" s="79"/>
      <c r="R32" s="73"/>
      <c r="S32" s="70"/>
      <c r="T32" s="79"/>
      <c r="U32" s="73"/>
      <c r="V32" s="70"/>
      <c r="W32" s="79"/>
    </row>
    <row r="33" spans="1:23" ht="12.75">
      <c r="A33" s="5"/>
      <c r="B33" s="56" t="s">
        <v>203</v>
      </c>
      <c r="C33" s="73"/>
      <c r="D33" s="71"/>
      <c r="E33" s="80">
        <f>'3.  LDC Assumptions and Data'!C46</f>
        <v>0</v>
      </c>
      <c r="F33" s="74"/>
      <c r="G33" s="71"/>
      <c r="H33" s="80">
        <f>'3.  LDC Assumptions and Data'!D46</f>
        <v>0</v>
      </c>
      <c r="I33" s="74"/>
      <c r="J33" s="71"/>
      <c r="K33" s="80">
        <f>'3.  LDC Assumptions and Data'!E46</f>
        <v>0</v>
      </c>
      <c r="L33" s="74"/>
      <c r="M33" s="71"/>
      <c r="N33" s="80">
        <f>'3.  LDC Assumptions and Data'!F46</f>
        <v>0</v>
      </c>
      <c r="O33" s="74"/>
      <c r="P33" s="71"/>
      <c r="Q33" s="80">
        <f>'3.  LDC Assumptions and Data'!G46</f>
        <v>213244.43092416003</v>
      </c>
      <c r="R33" s="74"/>
      <c r="S33" s="71"/>
      <c r="T33" s="80">
        <f>'3.  LDC Assumptions and Data'!H46</f>
        <v>179732.8248440832</v>
      </c>
      <c r="U33" s="74"/>
      <c r="V33" s="71"/>
      <c r="W33" s="80">
        <f>'3.  LDC Assumptions and Data'!I46</f>
        <v>189658.0043158708</v>
      </c>
    </row>
    <row r="34" spans="1:23" ht="12.75">
      <c r="A34" s="5"/>
      <c r="B34" s="64"/>
      <c r="C34" s="73"/>
      <c r="D34" s="70"/>
      <c r="E34" s="79"/>
      <c r="F34" s="73"/>
      <c r="G34" s="70"/>
      <c r="H34" s="79"/>
      <c r="I34" s="73"/>
      <c r="J34" s="70"/>
      <c r="K34" s="79"/>
      <c r="L34" s="73"/>
      <c r="M34" s="70"/>
      <c r="N34" s="79"/>
      <c r="O34" s="73"/>
      <c r="P34" s="70"/>
      <c r="Q34" s="79"/>
      <c r="R34" s="73"/>
      <c r="S34" s="70"/>
      <c r="T34" s="79"/>
      <c r="U34" s="73"/>
      <c r="V34" s="70"/>
      <c r="W34" s="79"/>
    </row>
    <row r="35" spans="1:23" ht="18">
      <c r="A35" s="5"/>
      <c r="B35" s="28" t="s">
        <v>122</v>
      </c>
      <c r="C35" s="73"/>
      <c r="D35" s="70"/>
      <c r="E35" s="79"/>
      <c r="F35" s="73"/>
      <c r="G35" s="70"/>
      <c r="H35" s="79"/>
      <c r="I35" s="73"/>
      <c r="J35" s="70"/>
      <c r="K35" s="79"/>
      <c r="L35" s="73"/>
      <c r="M35" s="70"/>
      <c r="N35" s="79"/>
      <c r="O35" s="73"/>
      <c r="P35" s="70"/>
      <c r="Q35" s="79"/>
      <c r="R35" s="73"/>
      <c r="S35" s="70"/>
      <c r="T35" s="79"/>
      <c r="U35" s="73"/>
      <c r="V35" s="70"/>
      <c r="W35" s="79"/>
    </row>
    <row r="36" spans="1:23" ht="12.75">
      <c r="A36" s="5"/>
      <c r="B36" s="56" t="s">
        <v>138</v>
      </c>
      <c r="C36" s="73"/>
      <c r="D36" s="81">
        <f>SUM('6. Avg Nt Fix Ass &amp;UCC'!C13:C13)</f>
        <v>0</v>
      </c>
      <c r="E36" s="75"/>
      <c r="F36" s="74"/>
      <c r="G36" s="81">
        <f>SUM('6. Avg Nt Fix Ass &amp;UCC'!D13:D13)</f>
        <v>0</v>
      </c>
      <c r="H36" s="75"/>
      <c r="I36" s="74"/>
      <c r="J36" s="81">
        <f>SUM('6. Avg Nt Fix Ass &amp;UCC'!E13:E13)</f>
        <v>0</v>
      </c>
      <c r="K36" s="75"/>
      <c r="L36" s="74"/>
      <c r="M36" s="81">
        <f>SUM('6. Avg Nt Fix Ass &amp;UCC'!E13:E13)</f>
        <v>0</v>
      </c>
      <c r="N36" s="75"/>
      <c r="O36" s="74"/>
      <c r="P36" s="81">
        <f>SUM('6. Avg Nt Fix Ass &amp;UCC'!G13:G13)</f>
        <v>89548.09269307174</v>
      </c>
      <c r="Q36" s="75"/>
      <c r="R36" s="74"/>
      <c r="S36" s="81">
        <f>SUM('6. Avg Nt Fix Ass &amp;UCC'!H13:H13)</f>
        <v>179850.32416502963</v>
      </c>
      <c r="T36" s="75"/>
      <c r="U36" s="74"/>
      <c r="V36" s="81">
        <f>SUM('6. Avg Nt Fix Ass &amp;UCC'!I13:I13)</f>
        <v>182112.74050168804</v>
      </c>
      <c r="W36" s="75"/>
    </row>
    <row r="37" spans="1:23" ht="12.75">
      <c r="A37" s="5"/>
      <c r="B37" s="56" t="s">
        <v>139</v>
      </c>
      <c r="C37" s="73"/>
      <c r="D37" s="81">
        <f>SUM('6. Avg Nt Fix Ass &amp;UCC'!C28:C28)</f>
        <v>0</v>
      </c>
      <c r="E37" s="75"/>
      <c r="F37" s="74"/>
      <c r="G37" s="81">
        <f>SUM('6. Avg Nt Fix Ass &amp;UCC'!D28:D28)</f>
        <v>0</v>
      </c>
      <c r="H37" s="75"/>
      <c r="I37" s="74"/>
      <c r="J37" s="81">
        <f>SUM('6. Avg Nt Fix Ass &amp;UCC'!E28:E28)</f>
        <v>0</v>
      </c>
      <c r="K37" s="75"/>
      <c r="L37" s="74"/>
      <c r="M37" s="81">
        <f>SUM('6. Avg Nt Fix Ass &amp;UCC'!E28:E28)</f>
        <v>0</v>
      </c>
      <c r="N37" s="75"/>
      <c r="O37" s="74"/>
      <c r="P37" s="81">
        <f>SUM('6. Avg Nt Fix Ass &amp;UCC'!G28:G28)</f>
        <v>1655.8732800000002</v>
      </c>
      <c r="Q37" s="75"/>
      <c r="R37" s="74"/>
      <c r="S37" s="81">
        <f>SUM('6. Avg Nt Fix Ass &amp;UCC'!H28:H28)</f>
        <v>3311.7465600000005</v>
      </c>
      <c r="T37" s="75"/>
      <c r="U37" s="74"/>
      <c r="V37" s="81">
        <f>SUM('6. Avg Nt Fix Ass &amp;UCC'!I28:I28)</f>
        <v>3311.7465600000005</v>
      </c>
      <c r="W37" s="75"/>
    </row>
    <row r="38" spans="1:23" ht="12.75">
      <c r="A38" s="5"/>
      <c r="B38" s="56" t="s">
        <v>140</v>
      </c>
      <c r="C38" s="73"/>
      <c r="D38" s="81">
        <f>SUM('6. Avg Nt Fix Ass &amp;UCC'!C43:C43)</f>
        <v>0</v>
      </c>
      <c r="E38" s="75"/>
      <c r="F38" s="74"/>
      <c r="G38" s="81">
        <f>SUM('6. Avg Nt Fix Ass &amp;UCC'!D43:D43)</f>
        <v>0</v>
      </c>
      <c r="H38" s="75"/>
      <c r="I38" s="74"/>
      <c r="J38" s="81">
        <f>SUM('6. Avg Nt Fix Ass &amp;UCC'!E43:E43)</f>
        <v>0</v>
      </c>
      <c r="K38" s="75"/>
      <c r="L38" s="74"/>
      <c r="M38" s="81">
        <f>SUM('6. Avg Nt Fix Ass &amp;UCC'!E43:E43)</f>
        <v>0</v>
      </c>
      <c r="N38" s="75"/>
      <c r="O38" s="74"/>
      <c r="P38" s="81">
        <f>SUM('6. Avg Nt Fix Ass &amp;UCC'!G43:G43)</f>
        <v>54416.89632</v>
      </c>
      <c r="Q38" s="75"/>
      <c r="R38" s="74"/>
      <c r="S38" s="81">
        <f>SUM('6. Avg Nt Fix Ass &amp;UCC'!H43:H43)</f>
        <v>108833.79264</v>
      </c>
      <c r="T38" s="75"/>
      <c r="U38" s="74"/>
      <c r="V38" s="81">
        <f>SUM('6. Avg Nt Fix Ass &amp;UCC'!I43:I43)</f>
        <v>108833.79264</v>
      </c>
      <c r="W38" s="75"/>
    </row>
    <row r="39" spans="1:23" ht="12.75">
      <c r="A39" s="5"/>
      <c r="B39" s="56" t="s">
        <v>141</v>
      </c>
      <c r="C39" s="73"/>
      <c r="D39" s="81">
        <f>SUM('6. Avg Nt Fix Ass &amp;UCC'!C58:C58)</f>
        <v>0</v>
      </c>
      <c r="E39" s="75"/>
      <c r="F39" s="74"/>
      <c r="G39" s="81">
        <f>SUM('6. Avg Nt Fix Ass &amp;UCC'!D58:D58)</f>
        <v>0</v>
      </c>
      <c r="H39" s="75"/>
      <c r="I39" s="74"/>
      <c r="J39" s="81">
        <f>SUM('6. Avg Nt Fix Ass &amp;UCC'!E58:E58)</f>
        <v>0</v>
      </c>
      <c r="K39" s="75"/>
      <c r="L39" s="74"/>
      <c r="M39" s="81">
        <f>SUM('6. Avg Nt Fix Ass &amp;UCC'!F58:F58)</f>
        <v>0</v>
      </c>
      <c r="N39" s="75"/>
      <c r="O39" s="74"/>
      <c r="P39" s="81">
        <f>SUM('6. Avg Nt Fix Ass &amp;UCC'!G58:G58)</f>
        <v>0</v>
      </c>
      <c r="Q39" s="75"/>
      <c r="R39" s="74"/>
      <c r="S39" s="81">
        <f>SUM('6. Avg Nt Fix Ass &amp;UCC'!H58:H58)</f>
        <v>0</v>
      </c>
      <c r="T39" s="75"/>
      <c r="U39" s="74"/>
      <c r="V39" s="81">
        <f>SUM('6. Avg Nt Fix Ass &amp;UCC'!I58:I58)</f>
        <v>0</v>
      </c>
      <c r="W39" s="75"/>
    </row>
    <row r="40" spans="1:23" ht="12.75">
      <c r="A40" s="5"/>
      <c r="B40" s="56" t="s">
        <v>142</v>
      </c>
      <c r="C40" s="73"/>
      <c r="D40" s="81">
        <f>SUM('6. Avg Nt Fix Ass &amp;UCC'!C73:C73)</f>
        <v>0</v>
      </c>
      <c r="E40" s="75"/>
      <c r="F40" s="74"/>
      <c r="G40" s="81">
        <f>SUM('6. Avg Nt Fix Ass &amp;UCC'!D73:D73)</f>
        <v>0</v>
      </c>
      <c r="H40" s="75"/>
      <c r="I40" s="74"/>
      <c r="J40" s="81">
        <f>SUM('6. Avg Nt Fix Ass &amp;UCC'!E73:E73)</f>
        <v>0</v>
      </c>
      <c r="K40" s="75"/>
      <c r="L40" s="74"/>
      <c r="M40" s="81">
        <f>SUM('6. Avg Nt Fix Ass &amp;UCC'!F73:F73)</f>
        <v>0</v>
      </c>
      <c r="N40" s="75"/>
      <c r="O40" s="74"/>
      <c r="P40" s="81">
        <f>SUM('6. Avg Nt Fix Ass &amp;UCC'!G73:G73)</f>
        <v>0</v>
      </c>
      <c r="Q40" s="75"/>
      <c r="R40" s="74"/>
      <c r="S40" s="81">
        <f>SUM('6. Avg Nt Fix Ass &amp;UCC'!H73:H73)</f>
        <v>0</v>
      </c>
      <c r="T40" s="75"/>
      <c r="U40" s="74"/>
      <c r="V40" s="81">
        <f>SUM('6. Avg Nt Fix Ass &amp;UCC'!I73:I73)</f>
        <v>0</v>
      </c>
      <c r="W40" s="75"/>
    </row>
    <row r="41" spans="1:23" ht="15.75">
      <c r="A41" s="5"/>
      <c r="B41" s="51" t="s">
        <v>143</v>
      </c>
      <c r="C41" s="73"/>
      <c r="D41" s="71"/>
      <c r="E41" s="83">
        <f>SUM(D36:D40)</f>
        <v>0</v>
      </c>
      <c r="F41" s="154"/>
      <c r="G41" s="155"/>
      <c r="H41" s="83">
        <f>SUM(G36:G40)</f>
        <v>0</v>
      </c>
      <c r="I41" s="154"/>
      <c r="J41" s="155"/>
      <c r="K41" s="83">
        <f>SUM(J36:J40)</f>
        <v>0</v>
      </c>
      <c r="L41" s="154"/>
      <c r="M41" s="155"/>
      <c r="N41" s="83">
        <f>SUM(M36:M40)</f>
        <v>0</v>
      </c>
      <c r="O41" s="154"/>
      <c r="P41" s="155"/>
      <c r="Q41" s="83">
        <f>SUM(P36:P40)</f>
        <v>145620.86229307175</v>
      </c>
      <c r="R41" s="154"/>
      <c r="S41" s="155"/>
      <c r="T41" s="83">
        <f>SUM(S36:S40)</f>
        <v>291995.8633650296</v>
      </c>
      <c r="U41" s="154"/>
      <c r="V41" s="155"/>
      <c r="W41" s="83">
        <f>SUM(V36:V40)</f>
        <v>294258.27970168804</v>
      </c>
    </row>
    <row r="42" spans="1:23" ht="12.75">
      <c r="A42" s="5"/>
      <c r="B42" s="64"/>
      <c r="C42" s="73"/>
      <c r="D42" s="71"/>
      <c r="E42" s="83"/>
      <c r="F42" s="156"/>
      <c r="G42" s="157"/>
      <c r="H42" s="158"/>
      <c r="I42" s="156"/>
      <c r="J42" s="157"/>
      <c r="K42" s="158"/>
      <c r="L42" s="156"/>
      <c r="M42" s="157"/>
      <c r="N42" s="158"/>
      <c r="O42" s="156"/>
      <c r="P42" s="157"/>
      <c r="Q42" s="158"/>
      <c r="R42" s="156"/>
      <c r="S42" s="157"/>
      <c r="T42" s="158"/>
      <c r="U42" s="156"/>
      <c r="V42" s="157"/>
      <c r="W42" s="158"/>
    </row>
    <row r="43" spans="1:23" ht="15.75">
      <c r="A43" s="5"/>
      <c r="B43" s="51" t="s">
        <v>123</v>
      </c>
      <c r="C43" s="73"/>
      <c r="D43" s="71"/>
      <c r="E43" s="82">
        <f>SUM(E30,E41,E33)</f>
        <v>0</v>
      </c>
      <c r="F43" s="74"/>
      <c r="G43" s="71"/>
      <c r="H43" s="82">
        <f>SUM(H30,H41,H33)</f>
        <v>0</v>
      </c>
      <c r="I43" s="74"/>
      <c r="J43" s="71"/>
      <c r="K43" s="82">
        <f>SUM(K30,K41,K33)</f>
        <v>0</v>
      </c>
      <c r="L43" s="74"/>
      <c r="M43" s="71"/>
      <c r="N43" s="82">
        <f>SUM(N30,N41,N33)</f>
        <v>0</v>
      </c>
      <c r="O43" s="74"/>
      <c r="P43" s="71"/>
      <c r="Q43" s="82">
        <f>SUM(Q30,Q41,Q33)</f>
        <v>480820.2301491586</v>
      </c>
      <c r="R43" s="74"/>
      <c r="S43" s="71"/>
      <c r="T43" s="82">
        <f>SUM(T30,T41,T33)</f>
        <v>702408.7910343388</v>
      </c>
      <c r="U43" s="74"/>
      <c r="V43" s="71"/>
      <c r="W43" s="82">
        <f>SUM(W30,W41,W33)</f>
        <v>694739.9285198785</v>
      </c>
    </row>
    <row r="44" spans="1:23" ht="15.75">
      <c r="A44" s="5"/>
      <c r="B44" s="51"/>
      <c r="C44" s="73"/>
      <c r="D44" s="71"/>
      <c r="E44" s="75"/>
      <c r="F44" s="74"/>
      <c r="G44" s="71"/>
      <c r="H44" s="75"/>
      <c r="I44" s="74"/>
      <c r="J44" s="71"/>
      <c r="K44" s="75"/>
      <c r="L44" s="74"/>
      <c r="M44" s="71"/>
      <c r="N44" s="75"/>
      <c r="O44" s="74"/>
      <c r="P44" s="71"/>
      <c r="Q44" s="75"/>
      <c r="R44" s="74"/>
      <c r="S44" s="71"/>
      <c r="T44" s="75"/>
      <c r="U44" s="74"/>
      <c r="V44" s="71"/>
      <c r="W44" s="75"/>
    </row>
    <row r="45" spans="1:23" ht="18">
      <c r="A45" s="5"/>
      <c r="B45" s="28" t="s">
        <v>144</v>
      </c>
      <c r="C45" s="73"/>
      <c r="D45" s="71"/>
      <c r="E45" s="75"/>
      <c r="F45" s="74"/>
      <c r="G45" s="71"/>
      <c r="H45" s="75"/>
      <c r="I45" s="74"/>
      <c r="J45" s="71"/>
      <c r="K45" s="75"/>
      <c r="L45" s="74"/>
      <c r="M45" s="71"/>
      <c r="N45" s="75"/>
      <c r="O45" s="74"/>
      <c r="P45" s="71"/>
      <c r="Q45" s="75"/>
      <c r="R45" s="74"/>
      <c r="S45" s="71"/>
      <c r="T45" s="75"/>
      <c r="U45" s="74"/>
      <c r="V45" s="71"/>
      <c r="W45" s="75"/>
    </row>
    <row r="46" spans="1:23" ht="12.75">
      <c r="A46" s="5"/>
      <c r="B46" s="56" t="s">
        <v>121</v>
      </c>
      <c r="C46" s="73"/>
      <c r="D46" s="71"/>
      <c r="E46" s="75">
        <f>-E33</f>
        <v>0</v>
      </c>
      <c r="F46" s="74"/>
      <c r="G46" s="71"/>
      <c r="H46" s="75">
        <f>-H33</f>
        <v>0</v>
      </c>
      <c r="I46" s="74"/>
      <c r="J46" s="71"/>
      <c r="K46" s="75">
        <f>-K33</f>
        <v>0</v>
      </c>
      <c r="L46" s="74"/>
      <c r="M46" s="71"/>
      <c r="N46" s="75">
        <f>-N33</f>
        <v>0</v>
      </c>
      <c r="O46" s="74"/>
      <c r="P46" s="71"/>
      <c r="Q46" s="75">
        <f>-Q33</f>
        <v>-213244.43092416003</v>
      </c>
      <c r="R46" s="74"/>
      <c r="S46" s="71"/>
      <c r="T46" s="75">
        <f>-T33</f>
        <v>-179732.8248440832</v>
      </c>
      <c r="U46" s="74"/>
      <c r="V46" s="71"/>
      <c r="W46" s="75">
        <f>-W33</f>
        <v>-189658.0043158708</v>
      </c>
    </row>
    <row r="47" spans="1:23" ht="12.75">
      <c r="A47" s="5"/>
      <c r="B47" s="56" t="s">
        <v>145</v>
      </c>
      <c r="C47" s="73"/>
      <c r="D47" s="71"/>
      <c r="E47" s="75">
        <f>-E41</f>
        <v>0</v>
      </c>
      <c r="F47" s="74"/>
      <c r="G47" s="71"/>
      <c r="H47" s="75">
        <f>-H41</f>
        <v>0</v>
      </c>
      <c r="I47" s="74"/>
      <c r="J47" s="71"/>
      <c r="K47" s="75">
        <f>-K41</f>
        <v>0</v>
      </c>
      <c r="L47" s="74"/>
      <c r="M47" s="71"/>
      <c r="N47" s="75">
        <f>-N41</f>
        <v>0</v>
      </c>
      <c r="O47" s="74"/>
      <c r="P47" s="71"/>
      <c r="Q47" s="75">
        <f>-Q41</f>
        <v>-145620.86229307175</v>
      </c>
      <c r="R47" s="74"/>
      <c r="S47" s="71"/>
      <c r="T47" s="75">
        <f>-T41</f>
        <v>-291995.8633650296</v>
      </c>
      <c r="U47" s="74"/>
      <c r="V47" s="71"/>
      <c r="W47" s="75">
        <f>-W41</f>
        <v>-294258.27970168804</v>
      </c>
    </row>
    <row r="48" spans="1:23" ht="12.75">
      <c r="A48" s="5"/>
      <c r="B48" s="56" t="s">
        <v>146</v>
      </c>
      <c r="C48" s="73"/>
      <c r="D48" s="71"/>
      <c r="E48" s="75">
        <f>-D28</f>
        <v>0</v>
      </c>
      <c r="F48" s="74"/>
      <c r="G48" s="71"/>
      <c r="H48" s="75">
        <f>-G28</f>
        <v>0</v>
      </c>
      <c r="I48" s="74"/>
      <c r="J48" s="71"/>
      <c r="K48" s="75">
        <f>-J28</f>
        <v>0</v>
      </c>
      <c r="L48" s="74"/>
      <c r="M48" s="71"/>
      <c r="N48" s="75">
        <f>-M28</f>
        <v>0</v>
      </c>
      <c r="O48" s="74"/>
      <c r="P48" s="71"/>
      <c r="Q48" s="75">
        <f>-P28</f>
        <v>-64260.11575865945</v>
      </c>
      <c r="R48" s="74"/>
      <c r="S48" s="71"/>
      <c r="T48" s="75">
        <f>-S28</f>
        <v>-121549.24174199467</v>
      </c>
      <c r="U48" s="74"/>
      <c r="V48" s="71"/>
      <c r="W48" s="75">
        <f>-V28</f>
        <v>-111086.53852974846</v>
      </c>
    </row>
    <row r="49" spans="1:23" ht="15.75">
      <c r="A49" s="5"/>
      <c r="B49" s="51" t="s">
        <v>147</v>
      </c>
      <c r="C49" s="156"/>
      <c r="D49" s="155"/>
      <c r="E49" s="159">
        <f>SUM(E43:E48)</f>
        <v>0</v>
      </c>
      <c r="F49" s="154"/>
      <c r="G49" s="155"/>
      <c r="H49" s="159">
        <f>SUM(H43:H48)</f>
        <v>0</v>
      </c>
      <c r="I49" s="154"/>
      <c r="J49" s="155"/>
      <c r="K49" s="159">
        <f>SUM(K43:K48)</f>
        <v>0</v>
      </c>
      <c r="L49" s="154"/>
      <c r="M49" s="155"/>
      <c r="N49" s="159">
        <f>SUM(N43:N48)</f>
        <v>0</v>
      </c>
      <c r="O49" s="154"/>
      <c r="P49" s="155"/>
      <c r="Q49" s="159">
        <f>SUM(Q43:Q48)</f>
        <v>57694.821173267366</v>
      </c>
      <c r="R49" s="154"/>
      <c r="S49" s="155"/>
      <c r="T49" s="159">
        <f>SUM(T43:T48)</f>
        <v>109130.8610832313</v>
      </c>
      <c r="U49" s="154"/>
      <c r="V49" s="155"/>
      <c r="W49" s="159">
        <f>SUM(W43:W48)</f>
        <v>99737.10597257123</v>
      </c>
    </row>
    <row r="50" spans="1:23" ht="15.75">
      <c r="A50" s="5"/>
      <c r="B50" s="51"/>
      <c r="C50" s="73"/>
      <c r="D50" s="71"/>
      <c r="E50" s="83"/>
      <c r="F50" s="74"/>
      <c r="G50" s="71"/>
      <c r="H50" s="83"/>
      <c r="I50" s="74"/>
      <c r="J50" s="71"/>
      <c r="K50" s="83"/>
      <c r="L50" s="74"/>
      <c r="M50" s="71"/>
      <c r="N50" s="83"/>
      <c r="O50" s="74"/>
      <c r="P50" s="71"/>
      <c r="Q50" s="83"/>
      <c r="R50" s="74"/>
      <c r="S50" s="71"/>
      <c r="T50" s="83"/>
      <c r="U50" s="74"/>
      <c r="V50" s="71"/>
      <c r="W50" s="83"/>
    </row>
    <row r="51" spans="1:23" ht="15.75">
      <c r="A51" s="5"/>
      <c r="B51" s="51" t="s">
        <v>204</v>
      </c>
      <c r="C51" s="73"/>
      <c r="D51" s="71"/>
      <c r="E51" s="80">
        <f>'5. PILs'!C42</f>
        <v>0</v>
      </c>
      <c r="F51" s="74"/>
      <c r="G51" s="71"/>
      <c r="H51" s="80">
        <f>'5. PILs'!D42</f>
        <v>0</v>
      </c>
      <c r="I51" s="74"/>
      <c r="J51" s="71"/>
      <c r="K51" s="80">
        <f>'5. PILs'!E42</f>
        <v>0</v>
      </c>
      <c r="L51" s="74"/>
      <c r="M51" s="71"/>
      <c r="N51" s="80">
        <f>'5. PILs'!E42</f>
        <v>0</v>
      </c>
      <c r="O51" s="74"/>
      <c r="P51" s="71"/>
      <c r="Q51" s="80">
        <f>'5. PILs'!G42</f>
        <v>-23873.273344611884</v>
      </c>
      <c r="R51" s="74"/>
      <c r="S51" s="71"/>
      <c r="T51" s="80">
        <f>'5. PILs'!H42</f>
        <v>-13028.202894285061</v>
      </c>
      <c r="U51" s="74"/>
      <c r="V51" s="71"/>
      <c r="W51" s="80">
        <f>'5. PILs'!I42</f>
        <v>40852.84723724125</v>
      </c>
    </row>
    <row r="52" spans="1:23" ht="12.75">
      <c r="A52" s="5"/>
      <c r="B52" s="64"/>
      <c r="C52" s="73"/>
      <c r="D52" s="71"/>
      <c r="E52" s="83"/>
      <c r="F52" s="74"/>
      <c r="G52" s="71"/>
      <c r="H52" s="83"/>
      <c r="I52" s="74"/>
      <c r="J52" s="71"/>
      <c r="K52" s="83"/>
      <c r="L52" s="74"/>
      <c r="M52" s="71"/>
      <c r="N52" s="83"/>
      <c r="O52" s="74"/>
      <c r="P52" s="71"/>
      <c r="Q52" s="83"/>
      <c r="R52" s="74"/>
      <c r="S52" s="71"/>
      <c r="T52" s="83"/>
      <c r="U52" s="74"/>
      <c r="V52" s="71"/>
      <c r="W52" s="83"/>
    </row>
    <row r="53" spans="1:23" ht="12.75">
      <c r="A53" s="5"/>
      <c r="B53" s="64" t="str">
        <f>B43</f>
        <v>Revenue Requirement Before PILs</v>
      </c>
      <c r="C53" s="73"/>
      <c r="D53" s="71"/>
      <c r="E53" s="83">
        <f>E43</f>
        <v>0</v>
      </c>
      <c r="F53" s="74"/>
      <c r="G53" s="71"/>
      <c r="H53" s="83">
        <f>H43</f>
        <v>0</v>
      </c>
      <c r="I53" s="74"/>
      <c r="J53" s="71"/>
      <c r="K53" s="83">
        <f>K43</f>
        <v>0</v>
      </c>
      <c r="L53" s="74"/>
      <c r="M53" s="71"/>
      <c r="N53" s="83">
        <f>N43</f>
        <v>0</v>
      </c>
      <c r="O53" s="74"/>
      <c r="P53" s="71"/>
      <c r="Q53" s="83">
        <f>Q43</f>
        <v>480820.2301491586</v>
      </c>
      <c r="R53" s="74"/>
      <c r="S53" s="71"/>
      <c r="T53" s="83">
        <f>T43</f>
        <v>702408.7910343388</v>
      </c>
      <c r="U53" s="74"/>
      <c r="V53" s="71"/>
      <c r="W53" s="83">
        <f>W43</f>
        <v>694739.9285198785</v>
      </c>
    </row>
    <row r="54" spans="1:23" ht="12.75">
      <c r="A54" s="5"/>
      <c r="B54" s="64" t="s">
        <v>148</v>
      </c>
      <c r="C54" s="73"/>
      <c r="D54" s="71"/>
      <c r="E54" s="83">
        <f>E51</f>
        <v>0</v>
      </c>
      <c r="F54" s="74"/>
      <c r="G54" s="71"/>
      <c r="H54" s="83">
        <f>H51</f>
        <v>0</v>
      </c>
      <c r="I54" s="74"/>
      <c r="J54" s="71"/>
      <c r="K54" s="83">
        <f>K51</f>
        <v>0</v>
      </c>
      <c r="L54" s="74"/>
      <c r="M54" s="71"/>
      <c r="N54" s="83">
        <f>N51</f>
        <v>0</v>
      </c>
      <c r="O54" s="74"/>
      <c r="P54" s="71"/>
      <c r="Q54" s="83">
        <f>Q51</f>
        <v>-23873.273344611884</v>
      </c>
      <c r="R54" s="74"/>
      <c r="S54" s="71"/>
      <c r="T54" s="83">
        <f>T51</f>
        <v>-13028.202894285061</v>
      </c>
      <c r="U54" s="74"/>
      <c r="V54" s="71"/>
      <c r="W54" s="83">
        <f>W51</f>
        <v>40852.84723724125</v>
      </c>
    </row>
    <row r="55" spans="1:23" ht="16.5" thickBot="1">
      <c r="A55" s="5"/>
      <c r="B55" s="51" t="s">
        <v>124</v>
      </c>
      <c r="C55" s="73"/>
      <c r="D55" s="71"/>
      <c r="E55" s="84">
        <f>SUM(E53:E54)</f>
        <v>0</v>
      </c>
      <c r="F55" s="74"/>
      <c r="G55" s="71"/>
      <c r="H55" s="84">
        <f>SUM(H53:H54)</f>
        <v>0</v>
      </c>
      <c r="I55" s="74"/>
      <c r="J55" s="71"/>
      <c r="K55" s="84">
        <f>SUM(K53:K54)</f>
        <v>0</v>
      </c>
      <c r="L55" s="74"/>
      <c r="M55" s="71"/>
      <c r="N55" s="84">
        <f>SUM(N53:N54)</f>
        <v>0</v>
      </c>
      <c r="O55" s="74"/>
      <c r="P55" s="71"/>
      <c r="Q55" s="84">
        <f>SUM(Q53:Q54)</f>
        <v>456946.95680454676</v>
      </c>
      <c r="R55" s="74"/>
      <c r="S55" s="71"/>
      <c r="T55" s="84">
        <f>SUM(T53:T54)</f>
        <v>689380.5881400537</v>
      </c>
      <c r="U55" s="74"/>
      <c r="V55" s="71"/>
      <c r="W55" s="84">
        <f>SUM(W53:W54)</f>
        <v>735592.7757571198</v>
      </c>
    </row>
    <row r="56" spans="1:23" ht="13.5" thickBot="1">
      <c r="A56" s="5"/>
      <c r="B56" s="64"/>
      <c r="C56" s="85"/>
      <c r="D56" s="87"/>
      <c r="E56" s="137"/>
      <c r="F56" s="86"/>
      <c r="G56" s="87"/>
      <c r="H56" s="137"/>
      <c r="I56" s="86"/>
      <c r="J56" s="87"/>
      <c r="K56" s="137"/>
      <c r="L56" s="74"/>
      <c r="M56" s="71"/>
      <c r="N56" s="75"/>
      <c r="O56" s="74"/>
      <c r="P56" s="71"/>
      <c r="Q56" s="75"/>
      <c r="R56" s="74"/>
      <c r="S56" s="71"/>
      <c r="T56" s="75"/>
      <c r="U56" s="74"/>
      <c r="V56" s="71"/>
      <c r="W56" s="75"/>
    </row>
    <row r="57" spans="1:7" ht="67.5" customHeight="1">
      <c r="A57" s="5"/>
      <c r="B57" s="64"/>
      <c r="C57" s="5"/>
      <c r="D57" s="5"/>
      <c r="E57" s="5"/>
      <c r="F57"/>
      <c r="G57" s="62"/>
    </row>
    <row r="58" spans="1:7" ht="12.75">
      <c r="A58" s="5"/>
      <c r="B58" s="5"/>
      <c r="C58" s="5"/>
      <c r="D58" s="5"/>
      <c r="E58" s="5"/>
      <c r="F58" s="5"/>
      <c r="G58" s="62"/>
    </row>
    <row r="59" spans="1:7" ht="12.75">
      <c r="A59" s="5"/>
      <c r="B59" s="5"/>
      <c r="C59" s="5"/>
      <c r="D59" s="5"/>
      <c r="E59" s="5"/>
      <c r="F59" s="5"/>
      <c r="G59" s="62"/>
    </row>
    <row r="60" spans="1:7" ht="21.75" customHeight="1">
      <c r="A60" s="5"/>
      <c r="B60" s="5"/>
      <c r="C60" s="5"/>
      <c r="D60" s="5"/>
      <c r="E60" s="5"/>
      <c r="F60" s="5"/>
      <c r="G60" s="62"/>
    </row>
    <row r="61" spans="1:7" ht="45.75" customHeight="1">
      <c r="A61" s="5"/>
      <c r="B61" s="64"/>
      <c r="C61" s="5"/>
      <c r="D61" s="5"/>
      <c r="E61" s="5"/>
      <c r="F61" s="5"/>
      <c r="G61" s="62"/>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fitToHeight="1" fitToWidth="1" horizontalDpi="600" verticalDpi="600" orientation="landscape" scale="2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
      <selection activeCell="G13" sqref="G13"/>
    </sheetView>
  </sheetViews>
  <sheetFormatPr defaultColWidth="9.140625" defaultRowHeight="12.75"/>
  <cols>
    <col min="1" max="1" width="16.28125" style="7" customWidth="1"/>
    <col min="2" max="2" width="33.00390625" style="7" bestFit="1" customWidth="1"/>
    <col min="3" max="4" width="13.28125" style="7" bestFit="1" customWidth="1"/>
    <col min="5" max="5" width="12.00390625" style="7" bestFit="1" customWidth="1"/>
    <col min="6" max="8" width="14.00390625" style="7" bestFit="1" customWidth="1"/>
    <col min="9" max="9" width="15.28125" style="7" bestFit="1" customWidth="1"/>
    <col min="10" max="16384" width="9.140625" style="7" customWidth="1"/>
  </cols>
  <sheetData>
    <row r="1" spans="1:6" s="3" customFormat="1" ht="21" customHeight="1">
      <c r="A1" s="1"/>
      <c r="B1" s="185" t="s">
        <v>149</v>
      </c>
      <c r="C1" s="185"/>
      <c r="D1" s="185"/>
      <c r="E1" s="185"/>
      <c r="F1" s="1"/>
    </row>
    <row r="2" spans="1:7" s="3" customFormat="1" ht="6" customHeight="1">
      <c r="A2" s="27"/>
      <c r="B2" s="27"/>
      <c r="C2" s="27"/>
      <c r="D2" s="27"/>
      <c r="E2" s="27"/>
      <c r="F2" s="27"/>
      <c r="G2" s="27"/>
    </row>
    <row r="3" spans="1:6" ht="12.75">
      <c r="A3" s="5"/>
      <c r="B3" s="5"/>
      <c r="C3" s="5"/>
      <c r="D3" s="5"/>
      <c r="E3" s="5"/>
      <c r="F3" s="5"/>
    </row>
    <row r="4" spans="1:6" ht="26.25">
      <c r="A4" s="5"/>
      <c r="B4" s="63" t="s">
        <v>150</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151</v>
      </c>
      <c r="C7" s="24" t="str">
        <f>'2. Smart Meter Data'!D5</f>
        <v>Audited Actual</v>
      </c>
      <c r="D7" s="24" t="str">
        <f>'2. Smart Meter Data'!E5</f>
        <v>Audited Actual</v>
      </c>
      <c r="E7" s="24" t="str">
        <f>'2. Smart Meter Data'!F5</f>
        <v>Actual</v>
      </c>
      <c r="F7" s="24" t="str">
        <f>'2. Smart Meter Data'!G5</f>
        <v>Forecasted</v>
      </c>
      <c r="G7" s="24" t="str">
        <f>'2. Smart Meter Data'!H5</f>
        <v>Forecasted</v>
      </c>
      <c r="H7" s="24" t="str">
        <f>'2. Smart Meter Data'!I5</f>
        <v>Forecasted</v>
      </c>
      <c r="I7" s="24" t="str">
        <f>'2. Smart Meter Data'!J5</f>
        <v>Forecasted</v>
      </c>
    </row>
    <row r="8" spans="1:9" ht="12.75">
      <c r="A8" s="5"/>
      <c r="B8" s="5" t="s">
        <v>152</v>
      </c>
      <c r="C8" s="89">
        <f>'4. Smart Meter Rev Req'!E49</f>
        <v>0</v>
      </c>
      <c r="D8" s="89">
        <f>'4. Smart Meter Rev Req'!H49</f>
        <v>0</v>
      </c>
      <c r="E8" s="89">
        <f>'4. Smart Meter Rev Req'!K49</f>
        <v>0</v>
      </c>
      <c r="F8" s="89">
        <f>'4. Smart Meter Rev Req'!N49</f>
        <v>0</v>
      </c>
      <c r="G8" s="89">
        <f>'4. Smart Meter Rev Req'!Q49</f>
        <v>57694.821173267366</v>
      </c>
      <c r="H8" s="89">
        <f>'4. Smart Meter Rev Req'!T49</f>
        <v>109130.8610832313</v>
      </c>
      <c r="I8" s="89">
        <f>'4. Smart Meter Rev Req'!W49</f>
        <v>99737.10597257123</v>
      </c>
    </row>
    <row r="9" spans="1:9" ht="12.75">
      <c r="A9" s="5"/>
      <c r="B9" s="5" t="s">
        <v>205</v>
      </c>
      <c r="C9" s="89">
        <f>-'4. Smart Meter Rev Req'!E47</f>
        <v>0</v>
      </c>
      <c r="D9" s="89">
        <f>-'4. Smart Meter Rev Req'!H47</f>
        <v>0</v>
      </c>
      <c r="E9" s="89">
        <f>-'4. Smart Meter Rev Req'!K47</f>
        <v>0</v>
      </c>
      <c r="F9" s="89">
        <f>-'4. Smart Meter Rev Req'!N47</f>
        <v>0</v>
      </c>
      <c r="G9" s="89">
        <f>-'4. Smart Meter Rev Req'!Q47</f>
        <v>145620.86229307175</v>
      </c>
      <c r="H9" s="89">
        <f>-'4. Smart Meter Rev Req'!T47</f>
        <v>291995.8633650296</v>
      </c>
      <c r="I9" s="89">
        <f>-'4. Smart Meter Rev Req'!W47</f>
        <v>294258.27970168804</v>
      </c>
    </row>
    <row r="10" spans="1:9" ht="12.75">
      <c r="A10" s="5"/>
      <c r="B10" s="5" t="s">
        <v>230</v>
      </c>
      <c r="C10" s="89">
        <f>-'6. Avg Nt Fix Ass &amp;UCC'!C93</f>
        <v>0</v>
      </c>
      <c r="D10" s="89">
        <f>-'6. Avg Nt Fix Ass &amp;UCC'!D93</f>
        <v>0</v>
      </c>
      <c r="E10" s="89">
        <f>-'6. Avg Nt Fix Ass &amp;UCC'!E93</f>
        <v>0</v>
      </c>
      <c r="F10" s="89">
        <f>-'6. Avg Nt Fix Ass &amp;UCC'!F93</f>
        <v>0</v>
      </c>
      <c r="G10" s="89">
        <f>-'6. Avg Nt Fix Ass &amp;UCC'!G93</f>
        <v>-107457.71123168609</v>
      </c>
      <c r="H10" s="89">
        <f>-'6. Avg Nt Fix Ass &amp;UCC'!H93</f>
        <v>-207223.77209950064</v>
      </c>
      <c r="I10" s="89">
        <f>-'6. Avg Nt Fix Ass &amp;UCC'!I93</f>
        <v>-193360.7699355307</v>
      </c>
    </row>
    <row r="11" spans="1:9" ht="12.75">
      <c r="A11" s="5"/>
      <c r="B11" s="5" t="s">
        <v>232</v>
      </c>
      <c r="C11" s="89">
        <f>-'6. Avg Nt Fix Ass &amp;UCC'!C107</f>
        <v>0</v>
      </c>
      <c r="D11" s="89">
        <f>-'6. Avg Nt Fix Ass &amp;UCC'!D107</f>
        <v>0</v>
      </c>
      <c r="E11" s="89">
        <f>-'6. Avg Nt Fix Ass &amp;UCC'!E107</f>
        <v>0</v>
      </c>
      <c r="F11" s="89">
        <f>-'6. Avg Nt Fix Ass &amp;UCC'!F107</f>
        <v>0</v>
      </c>
      <c r="G11" s="89">
        <f>-'6. Avg Nt Fix Ass &amp;UCC'!G107</f>
        <v>-154200.1164</v>
      </c>
      <c r="H11" s="89">
        <f>-'6. Avg Nt Fix Ass &amp;UCC'!H107</f>
        <v>-223590.16878</v>
      </c>
      <c r="I11" s="89">
        <f>-'6. Avg Nt Fix Ass &amp;UCC'!I107</f>
        <v>-100615.575951</v>
      </c>
    </row>
    <row r="12" spans="1:9" ht="12.75">
      <c r="A12" s="5"/>
      <c r="B12" s="5" t="s">
        <v>231</v>
      </c>
      <c r="C12" s="89">
        <f>-'6. Avg Nt Fix Ass &amp;UCC'!C121</f>
        <v>0</v>
      </c>
      <c r="D12" s="89">
        <f>-'6. Avg Nt Fix Ass &amp;UCC'!D121</f>
        <v>0</v>
      </c>
      <c r="E12" s="89">
        <f>-'6. Avg Nt Fix Ass &amp;UCC'!E121</f>
        <v>0</v>
      </c>
      <c r="F12" s="89">
        <f>-'6. Avg Nt Fix Ass &amp;UCC'!F121</f>
        <v>0</v>
      </c>
      <c r="G12" s="89">
        <f>-'6. Avg Nt Fix Ass &amp;UCC'!G121</f>
        <v>0</v>
      </c>
      <c r="H12" s="89">
        <f>-'6. Avg Nt Fix Ass &amp;UCC'!H121</f>
        <v>0</v>
      </c>
      <c r="I12" s="89">
        <f>-'6. Avg Nt Fix Ass &amp;UCC'!I121</f>
        <v>0</v>
      </c>
    </row>
    <row r="13" spans="1:9" ht="12.75">
      <c r="A13" s="5"/>
      <c r="B13" s="5" t="s">
        <v>153</v>
      </c>
      <c r="C13" s="76">
        <f aca="true" t="shared" si="0" ref="C13:I13">SUM(C8:C12)</f>
        <v>0</v>
      </c>
      <c r="D13" s="76">
        <f t="shared" si="0"/>
        <v>0</v>
      </c>
      <c r="E13" s="76">
        <f t="shared" si="0"/>
        <v>0</v>
      </c>
      <c r="F13" s="76">
        <f t="shared" si="0"/>
        <v>0</v>
      </c>
      <c r="G13" s="76">
        <f>SUM(G8:G12)</f>
        <v>-58342.14416534695</v>
      </c>
      <c r="H13" s="76">
        <f t="shared" si="0"/>
        <v>-29687.216431239736</v>
      </c>
      <c r="I13" s="76">
        <f t="shared" si="0"/>
        <v>100019.03978772857</v>
      </c>
    </row>
    <row r="14" spans="1:9" ht="12.75">
      <c r="A14" s="5"/>
      <c r="B14" s="5" t="s">
        <v>206</v>
      </c>
      <c r="C14" s="136">
        <f>'3.  LDC Assumptions and Data'!C26</f>
        <v>0.3612</v>
      </c>
      <c r="D14" s="136">
        <f>'3.  LDC Assumptions and Data'!D26</f>
        <v>0.3612</v>
      </c>
      <c r="E14" s="136">
        <f>'3.  LDC Assumptions and Data'!E26</f>
        <v>0.335</v>
      </c>
      <c r="F14" s="136">
        <f>'3.  LDC Assumptions and Data'!F26</f>
        <v>0.33</v>
      </c>
      <c r="G14" s="136">
        <f>'3.  LDC Assumptions and Data'!G26</f>
        <v>0.3099</v>
      </c>
      <c r="H14" s="136">
        <f>'3.  LDC Assumptions and Data'!H26</f>
        <v>0.305</v>
      </c>
      <c r="I14" s="136">
        <f>'3.  LDC Assumptions and Data'!I26</f>
        <v>0.29</v>
      </c>
    </row>
    <row r="15" spans="1:9" ht="12.75">
      <c r="A15" s="5"/>
      <c r="B15" s="5" t="s">
        <v>154</v>
      </c>
      <c r="C15" s="76">
        <f aca="true" t="shared" si="1" ref="C15:I15">C13*C14</f>
        <v>0</v>
      </c>
      <c r="D15" s="76">
        <f t="shared" si="1"/>
        <v>0</v>
      </c>
      <c r="E15" s="76">
        <f t="shared" si="1"/>
        <v>0</v>
      </c>
      <c r="F15" s="76">
        <f t="shared" si="1"/>
        <v>0</v>
      </c>
      <c r="G15" s="76">
        <f>G13*G14</f>
        <v>-18080.23047684102</v>
      </c>
      <c r="H15" s="76">
        <f t="shared" si="1"/>
        <v>-9054.601011528119</v>
      </c>
      <c r="I15" s="76">
        <f t="shared" si="1"/>
        <v>29005.521538441284</v>
      </c>
    </row>
    <row r="16" spans="1:7" ht="12.75">
      <c r="A16" s="5"/>
      <c r="B16" s="5"/>
      <c r="C16" s="5"/>
      <c r="D16" s="5"/>
      <c r="E16" s="5"/>
      <c r="F16" s="5"/>
      <c r="G16" s="5"/>
    </row>
    <row r="17" spans="1:7" ht="12.75">
      <c r="A17" s="5"/>
      <c r="B17" s="34" t="s">
        <v>155</v>
      </c>
      <c r="C17" s="5"/>
      <c r="D17" s="5"/>
      <c r="E17" s="5"/>
      <c r="F17" s="5"/>
      <c r="G17" s="5"/>
    </row>
    <row r="18" spans="1:9" ht="12.75">
      <c r="A18" s="5"/>
      <c r="B18" s="64" t="s">
        <v>117</v>
      </c>
      <c r="C18" s="89">
        <f>'6. Avg Nt Fix Ass &amp;UCC'!C17</f>
        <v>0</v>
      </c>
      <c r="D18" s="89">
        <f>'6. Avg Nt Fix Ass &amp;UCC'!D17</f>
        <v>0</v>
      </c>
      <c r="E18" s="89">
        <f>'6. Avg Nt Fix Ass &amp;UCC'!E17</f>
        <v>0</v>
      </c>
      <c r="F18" s="89">
        <f>'6. Avg Nt Fix Ass &amp;UCC'!F17</f>
        <v>0</v>
      </c>
      <c r="G18" s="89">
        <f>'6. Avg Nt Fix Ass &amp;UCC'!G17</f>
        <v>2596894.68809908</v>
      </c>
      <c r="H18" s="89">
        <f>'6. Avg Nt Fix Ass &amp;UCC'!H17</f>
        <v>2439668.527300635</v>
      </c>
      <c r="I18" s="89">
        <f>'6. Avg Nt Fix Ass &amp;UCC'!I17</f>
        <v>2302804.1135321152</v>
      </c>
    </row>
    <row r="19" spans="1:9" ht="12.75">
      <c r="A19" s="5"/>
      <c r="B19" s="64" t="s">
        <v>99</v>
      </c>
      <c r="C19" s="89">
        <f>'6. Avg Nt Fix Ass &amp;UCC'!C32</f>
        <v>0</v>
      </c>
      <c r="D19" s="89">
        <f>'6. Avg Nt Fix Ass &amp;UCC'!D32</f>
        <v>0</v>
      </c>
      <c r="E19" s="89">
        <f>'6. Avg Nt Fix Ass &amp;UCC'!E32</f>
        <v>0</v>
      </c>
      <c r="F19" s="89">
        <f>'6. Avg Nt Fix Ass &amp;UCC'!F32</f>
        <v>0</v>
      </c>
      <c r="G19" s="89">
        <f>'6. Avg Nt Fix Ass &amp;UCC'!G32</f>
        <v>14902.859520000002</v>
      </c>
      <c r="H19" s="89">
        <f>'6. Avg Nt Fix Ass &amp;UCC'!H32</f>
        <v>11591.11296</v>
      </c>
      <c r="I19" s="89">
        <f>'6. Avg Nt Fix Ass &amp;UCC'!I32</f>
        <v>8279.366399999999</v>
      </c>
    </row>
    <row r="20" spans="1:9" ht="12.75">
      <c r="A20" s="5"/>
      <c r="B20" s="64" t="s">
        <v>100</v>
      </c>
      <c r="C20" s="81">
        <f>'6. Avg Nt Fix Ass &amp;UCC'!C47</f>
        <v>0</v>
      </c>
      <c r="D20" s="81">
        <f>'6. Avg Nt Fix Ass &amp;UCC'!D47</f>
        <v>0</v>
      </c>
      <c r="E20" s="81">
        <f>'6. Avg Nt Fix Ass &amp;UCC'!E47</f>
        <v>0</v>
      </c>
      <c r="F20" s="81">
        <f>'6. Avg Nt Fix Ass &amp;UCC'!F47</f>
        <v>0</v>
      </c>
      <c r="G20" s="81">
        <f>'6. Avg Nt Fix Ass &amp;UCC'!G47</f>
        <v>489752.06688</v>
      </c>
      <c r="H20" s="81">
        <f>'6. Avg Nt Fix Ass &amp;UCC'!H47</f>
        <v>380918.27424</v>
      </c>
      <c r="I20" s="81">
        <f>'6. Avg Nt Fix Ass &amp;UCC'!I47</f>
        <v>272084.4816</v>
      </c>
    </row>
    <row r="21" spans="1:9" ht="12.75">
      <c r="A21" s="5"/>
      <c r="B21" s="64" t="s">
        <v>11</v>
      </c>
      <c r="C21" s="81">
        <f>'6. Avg Nt Fix Ass &amp;UCC'!C62</f>
        <v>0</v>
      </c>
      <c r="D21" s="81">
        <f>'6. Avg Nt Fix Ass &amp;UCC'!D62</f>
        <v>0</v>
      </c>
      <c r="E21" s="81">
        <f>'6. Avg Nt Fix Ass &amp;UCC'!E62</f>
        <v>0</v>
      </c>
      <c r="F21" s="81">
        <f>'6. Avg Nt Fix Ass &amp;UCC'!F62</f>
        <v>0</v>
      </c>
      <c r="G21" s="81">
        <f>'6. Avg Nt Fix Ass &amp;UCC'!G62</f>
        <v>0</v>
      </c>
      <c r="H21" s="81">
        <f>'6. Avg Nt Fix Ass &amp;UCC'!H62</f>
        <v>0</v>
      </c>
      <c r="I21" s="81">
        <f>'6. Avg Nt Fix Ass &amp;UCC'!I62</f>
        <v>0</v>
      </c>
    </row>
    <row r="22" spans="1:9" ht="12.75">
      <c r="A22" s="5"/>
      <c r="B22" s="64" t="s">
        <v>13</v>
      </c>
      <c r="C22" s="90">
        <f>'6. Avg Nt Fix Ass &amp;UCC'!C77</f>
        <v>0</v>
      </c>
      <c r="D22" s="90">
        <f>'6. Avg Nt Fix Ass &amp;UCC'!D77</f>
        <v>0</v>
      </c>
      <c r="E22" s="90">
        <f>'6. Avg Nt Fix Ass &amp;UCC'!E77</f>
        <v>0</v>
      </c>
      <c r="F22" s="90">
        <f>'6. Avg Nt Fix Ass &amp;UCC'!F77</f>
        <v>0</v>
      </c>
      <c r="G22" s="90">
        <f>'6. Avg Nt Fix Ass &amp;UCC'!G77</f>
        <v>0</v>
      </c>
      <c r="H22" s="90">
        <f>'6. Avg Nt Fix Ass &amp;UCC'!H77</f>
        <v>0</v>
      </c>
      <c r="I22" s="90">
        <f>'6. Avg Nt Fix Ass &amp;UCC'!I77</f>
        <v>0</v>
      </c>
    </row>
    <row r="23" spans="1:9" ht="12.75">
      <c r="A23" s="5"/>
      <c r="B23" s="5" t="s">
        <v>156</v>
      </c>
      <c r="C23" s="57">
        <f aca="true" t="shared" si="2" ref="C23:I23">SUM(C18:C20)</f>
        <v>0</v>
      </c>
      <c r="D23" s="57">
        <f t="shared" si="2"/>
        <v>0</v>
      </c>
      <c r="E23" s="57">
        <f t="shared" si="2"/>
        <v>0</v>
      </c>
      <c r="F23" s="57">
        <f t="shared" si="2"/>
        <v>0</v>
      </c>
      <c r="G23" s="57">
        <f t="shared" si="2"/>
        <v>3101549.61449908</v>
      </c>
      <c r="H23" s="57">
        <f t="shared" si="2"/>
        <v>2832177.914500635</v>
      </c>
      <c r="I23" s="57">
        <f t="shared" si="2"/>
        <v>2583167.9615321155</v>
      </c>
    </row>
    <row r="24" spans="1:9" ht="12.75">
      <c r="A24" s="5"/>
      <c r="B24" s="5" t="s">
        <v>157</v>
      </c>
      <c r="C24" s="57">
        <v>0</v>
      </c>
      <c r="D24" s="57">
        <v>0</v>
      </c>
      <c r="E24" s="57">
        <v>0</v>
      </c>
      <c r="F24" s="57">
        <v>0</v>
      </c>
      <c r="G24" s="57">
        <v>0</v>
      </c>
      <c r="H24" s="57">
        <v>0</v>
      </c>
      <c r="I24" s="57">
        <v>0</v>
      </c>
    </row>
    <row r="25" spans="1:9" ht="12.75">
      <c r="A25" s="5"/>
      <c r="B25" s="5" t="s">
        <v>158</v>
      </c>
      <c r="C25" s="76">
        <f aca="true" t="shared" si="3" ref="C25:I25">C23-C24</f>
        <v>0</v>
      </c>
      <c r="D25" s="76">
        <f t="shared" si="3"/>
        <v>0</v>
      </c>
      <c r="E25" s="76">
        <f t="shared" si="3"/>
        <v>0</v>
      </c>
      <c r="F25" s="76">
        <f t="shared" si="3"/>
        <v>0</v>
      </c>
      <c r="G25" s="76">
        <f t="shared" si="3"/>
        <v>3101549.61449908</v>
      </c>
      <c r="H25" s="76">
        <f t="shared" si="3"/>
        <v>2832177.914500635</v>
      </c>
      <c r="I25" s="76">
        <f t="shared" si="3"/>
        <v>2583167.9615321155</v>
      </c>
    </row>
    <row r="26" spans="1:9" ht="12.75">
      <c r="A26" s="5"/>
      <c r="B26" s="5" t="s">
        <v>159</v>
      </c>
      <c r="C26" s="91">
        <v>0.003</v>
      </c>
      <c r="D26" s="143">
        <v>0.00225</v>
      </c>
      <c r="E26" s="143">
        <v>0.00225</v>
      </c>
      <c r="F26" s="143">
        <v>0.00225</v>
      </c>
      <c r="G26" s="143">
        <f>0.15%/2</f>
        <v>0.00075</v>
      </c>
      <c r="H26" s="91">
        <v>0</v>
      </c>
      <c r="I26" s="91">
        <v>0</v>
      </c>
    </row>
    <row r="27" spans="1:9" ht="12.75">
      <c r="A27" s="5"/>
      <c r="B27" s="5" t="s">
        <v>160</v>
      </c>
      <c r="C27" s="76">
        <f aca="true" t="shared" si="4" ref="C27:I27">C25*C26</f>
        <v>0</v>
      </c>
      <c r="D27" s="76">
        <f t="shared" si="4"/>
        <v>0</v>
      </c>
      <c r="E27" s="76">
        <f t="shared" si="4"/>
        <v>0</v>
      </c>
      <c r="F27" s="76">
        <f t="shared" si="4"/>
        <v>0</v>
      </c>
      <c r="G27" s="76">
        <f t="shared" si="4"/>
        <v>2326.16221087431</v>
      </c>
      <c r="H27" s="76">
        <f t="shared" si="4"/>
        <v>0</v>
      </c>
      <c r="I27" s="76">
        <f t="shared" si="4"/>
        <v>0</v>
      </c>
    </row>
    <row r="28" spans="1:7" ht="12.75">
      <c r="A28" s="5"/>
      <c r="B28" s="5"/>
      <c r="C28" s="5"/>
      <c r="D28" s="5"/>
      <c r="E28" s="5"/>
      <c r="F28" s="5"/>
      <c r="G28" s="5"/>
    </row>
    <row r="29" spans="1:7" ht="12.75">
      <c r="A29" s="5"/>
      <c r="B29" s="5"/>
      <c r="C29" s="5"/>
      <c r="D29" s="5"/>
      <c r="E29" s="5"/>
      <c r="F29" s="5"/>
      <c r="G29" s="5"/>
    </row>
    <row r="30" spans="1:7" ht="15.75">
      <c r="A30" s="5"/>
      <c r="B30" s="92" t="s">
        <v>161</v>
      </c>
      <c r="C30" s="5"/>
      <c r="D30" s="5"/>
      <c r="E30" s="5"/>
      <c r="F30" s="5"/>
      <c r="G30" s="5"/>
    </row>
    <row r="31" spans="1:9" ht="12.75">
      <c r="A31" s="5"/>
      <c r="B31" s="5"/>
      <c r="C31" s="24" t="s">
        <v>162</v>
      </c>
      <c r="D31" s="24" t="s">
        <v>162</v>
      </c>
      <c r="E31" s="24" t="s">
        <v>162</v>
      </c>
      <c r="F31" s="24" t="s">
        <v>162</v>
      </c>
      <c r="G31" s="24" t="s">
        <v>162</v>
      </c>
      <c r="H31" s="24" t="s">
        <v>162</v>
      </c>
      <c r="I31" s="24" t="s">
        <v>162</v>
      </c>
    </row>
    <row r="32" spans="1:9" ht="12.75">
      <c r="A32" s="5"/>
      <c r="B32" s="5" t="s">
        <v>163</v>
      </c>
      <c r="C32" s="57">
        <f aca="true" t="shared" si="5" ref="C32:I32">C15</f>
        <v>0</v>
      </c>
      <c r="D32" s="57">
        <f t="shared" si="5"/>
        <v>0</v>
      </c>
      <c r="E32" s="57">
        <f t="shared" si="5"/>
        <v>0</v>
      </c>
      <c r="F32" s="57">
        <f t="shared" si="5"/>
        <v>0</v>
      </c>
      <c r="G32" s="57">
        <f t="shared" si="5"/>
        <v>-18080.23047684102</v>
      </c>
      <c r="H32" s="57">
        <f t="shared" si="5"/>
        <v>-9054.601011528119</v>
      </c>
      <c r="I32" s="57">
        <f t="shared" si="5"/>
        <v>29005.521538441284</v>
      </c>
    </row>
    <row r="33" spans="1:9" ht="12.75">
      <c r="A33" s="5"/>
      <c r="B33" s="5" t="s">
        <v>164</v>
      </c>
      <c r="C33" s="57">
        <f aca="true" t="shared" si="6" ref="C33:I33">C27</f>
        <v>0</v>
      </c>
      <c r="D33" s="57">
        <f t="shared" si="6"/>
        <v>0</v>
      </c>
      <c r="E33" s="57">
        <f t="shared" si="6"/>
        <v>0</v>
      </c>
      <c r="F33" s="57">
        <f t="shared" si="6"/>
        <v>0</v>
      </c>
      <c r="G33" s="57">
        <f t="shared" si="6"/>
        <v>2326.16221087431</v>
      </c>
      <c r="H33" s="57">
        <f t="shared" si="6"/>
        <v>0</v>
      </c>
      <c r="I33" s="57">
        <f t="shared" si="6"/>
        <v>0</v>
      </c>
    </row>
    <row r="34" spans="1:9" ht="12.75">
      <c r="A34" s="5"/>
      <c r="B34" s="5" t="s">
        <v>165</v>
      </c>
      <c r="C34" s="76">
        <f aca="true" t="shared" si="7" ref="C34:I34">SUM(C32:C33)</f>
        <v>0</v>
      </c>
      <c r="D34" s="76">
        <f t="shared" si="7"/>
        <v>0</v>
      </c>
      <c r="E34" s="76">
        <f t="shared" si="7"/>
        <v>0</v>
      </c>
      <c r="F34" s="76">
        <f t="shared" si="7"/>
        <v>0</v>
      </c>
      <c r="G34" s="76">
        <f t="shared" si="7"/>
        <v>-15754.06826596671</v>
      </c>
      <c r="H34" s="76">
        <f t="shared" si="7"/>
        <v>-9054.601011528119</v>
      </c>
      <c r="I34" s="76">
        <f t="shared" si="7"/>
        <v>29005.521538441284</v>
      </c>
    </row>
    <row r="35" ht="13.5" customHeight="1"/>
    <row r="36" spans="3:9" ht="12.75">
      <c r="C36" s="24" t="s">
        <v>161</v>
      </c>
      <c r="D36" s="24" t="s">
        <v>161</v>
      </c>
      <c r="E36" s="24" t="s">
        <v>161</v>
      </c>
      <c r="F36" s="24" t="s">
        <v>161</v>
      </c>
      <c r="G36" s="24" t="s">
        <v>161</v>
      </c>
      <c r="H36" s="24" t="s">
        <v>161</v>
      </c>
      <c r="I36" s="24" t="s">
        <v>161</v>
      </c>
    </row>
    <row r="37" spans="3:9" ht="12.75">
      <c r="C37" s="93">
        <f>C14</f>
        <v>0.3612</v>
      </c>
      <c r="D37" s="93">
        <f aca="true" t="shared" si="8" ref="D37:I37">D14</f>
        <v>0.3612</v>
      </c>
      <c r="E37" s="93">
        <f t="shared" si="8"/>
        <v>0.335</v>
      </c>
      <c r="F37" s="93">
        <f t="shared" si="8"/>
        <v>0.33</v>
      </c>
      <c r="G37" s="93">
        <f t="shared" si="8"/>
        <v>0.3099</v>
      </c>
      <c r="H37" s="93">
        <f t="shared" si="8"/>
        <v>0.305</v>
      </c>
      <c r="I37" s="93">
        <f t="shared" si="8"/>
        <v>0.29</v>
      </c>
    </row>
    <row r="39" spans="3:9" ht="25.5">
      <c r="C39" s="94" t="s">
        <v>166</v>
      </c>
      <c r="D39" s="94" t="s">
        <v>166</v>
      </c>
      <c r="E39" s="94" t="s">
        <v>166</v>
      </c>
      <c r="F39" s="94" t="s">
        <v>166</v>
      </c>
      <c r="G39" s="94" t="s">
        <v>166</v>
      </c>
      <c r="H39" s="94" t="s">
        <v>166</v>
      </c>
      <c r="I39" s="94" t="s">
        <v>166</v>
      </c>
    </row>
    <row r="40" spans="2:9" ht="12.75">
      <c r="B40" s="5" t="s">
        <v>163</v>
      </c>
      <c r="C40" s="57">
        <f aca="true" t="shared" si="9" ref="C40:I40">C32/(1-C37)</f>
        <v>0</v>
      </c>
      <c r="D40" s="57">
        <f t="shared" si="9"/>
        <v>0</v>
      </c>
      <c r="E40" s="57">
        <f t="shared" si="9"/>
        <v>0</v>
      </c>
      <c r="F40" s="57">
        <f t="shared" si="9"/>
        <v>0</v>
      </c>
      <c r="G40" s="57">
        <f t="shared" si="9"/>
        <v>-26199.435555486194</v>
      </c>
      <c r="H40" s="57">
        <f t="shared" si="9"/>
        <v>-13028.202894285061</v>
      </c>
      <c r="I40" s="57">
        <f t="shared" si="9"/>
        <v>40852.84723724125</v>
      </c>
    </row>
    <row r="41" spans="2:9" ht="12.75">
      <c r="B41" s="5" t="s">
        <v>164</v>
      </c>
      <c r="C41" s="57">
        <f aca="true" t="shared" si="10" ref="C41:I41">C33</f>
        <v>0</v>
      </c>
      <c r="D41" s="57">
        <f t="shared" si="10"/>
        <v>0</v>
      </c>
      <c r="E41" s="57">
        <f t="shared" si="10"/>
        <v>0</v>
      </c>
      <c r="F41" s="57">
        <f t="shared" si="10"/>
        <v>0</v>
      </c>
      <c r="G41" s="57">
        <f t="shared" si="10"/>
        <v>2326.16221087431</v>
      </c>
      <c r="H41" s="57">
        <f t="shared" si="10"/>
        <v>0</v>
      </c>
      <c r="I41" s="57">
        <f t="shared" si="10"/>
        <v>0</v>
      </c>
    </row>
    <row r="42" spans="2:9" ht="12.75">
      <c r="B42" s="5" t="s">
        <v>165</v>
      </c>
      <c r="C42" s="153">
        <f aca="true" t="shared" si="11" ref="C42:I42">SUM(C40:C41)</f>
        <v>0</v>
      </c>
      <c r="D42" s="153">
        <f t="shared" si="11"/>
        <v>0</v>
      </c>
      <c r="E42" s="153">
        <f t="shared" si="11"/>
        <v>0</v>
      </c>
      <c r="F42" s="153">
        <f t="shared" si="11"/>
        <v>0</v>
      </c>
      <c r="G42" s="153">
        <f t="shared" si="11"/>
        <v>-23873.273344611884</v>
      </c>
      <c r="H42" s="153">
        <f t="shared" si="11"/>
        <v>-13028.202894285061</v>
      </c>
      <c r="I42" s="153">
        <f t="shared" si="11"/>
        <v>40852.84723724125</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9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J127"/>
  <sheetViews>
    <sheetView zoomScalePageLayoutView="0" workbookViewId="0" topLeftCell="A1">
      <pane xSplit="10035" ySplit="675" topLeftCell="A1" activePane="bottomRight" state="split"/>
      <selection pane="topLeft" activeCell="A1" sqref="A1"/>
      <selection pane="topRight" activeCell="C1" sqref="C1"/>
      <selection pane="bottomLeft" activeCell="A2" sqref="A2"/>
      <selection pane="bottomRight" activeCell="H9" sqref="H9"/>
    </sheetView>
  </sheetViews>
  <sheetFormatPr defaultColWidth="9.140625" defaultRowHeight="12.75"/>
  <cols>
    <col min="1" max="1" width="16.57421875" style="7" customWidth="1"/>
    <col min="2" max="2" width="75.28125" style="7" bestFit="1" customWidth="1"/>
    <col min="3" max="7" width="15.00390625" style="7" bestFit="1" customWidth="1"/>
    <col min="8" max="10" width="14.00390625" style="7" bestFit="1" customWidth="1"/>
    <col min="11" max="16384" width="9.140625" style="7" customWidth="1"/>
  </cols>
  <sheetData>
    <row r="1" spans="1:9" s="3" customFormat="1" ht="21" customHeight="1">
      <c r="A1" s="1"/>
      <c r="B1" s="184" t="s">
        <v>224</v>
      </c>
      <c r="C1" s="184"/>
      <c r="D1" s="184"/>
      <c r="E1" s="184"/>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3" t="s">
        <v>167</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24" t="str">
        <f>'2. Smart Meter Data'!J4</f>
        <v>Later</v>
      </c>
    </row>
    <row r="6" spans="1:9" ht="18">
      <c r="A6" s="5"/>
      <c r="B6" s="28" t="s">
        <v>168</v>
      </c>
      <c r="C6" s="24" t="str">
        <f>'2. Smart Meter Data'!D5</f>
        <v>Audited Actual</v>
      </c>
      <c r="D6" s="24" t="str">
        <f>'2. Smart Meter Data'!E5</f>
        <v>Audited Actual</v>
      </c>
      <c r="E6" s="24" t="str">
        <f>'2. Smart Meter Data'!F5</f>
        <v>Actual</v>
      </c>
      <c r="F6" s="24" t="str">
        <f>'2. Smart Meter Data'!G5</f>
        <v>Forecasted</v>
      </c>
      <c r="G6" s="24" t="str">
        <f>'2. Smart Meter Data'!H5</f>
        <v>Forecasted</v>
      </c>
      <c r="H6" s="24" t="str">
        <f>'2. Smart Meter Data'!I5</f>
        <v>Forecasted</v>
      </c>
      <c r="I6" s="24" t="str">
        <f>'2. Smart Meter Data'!J5</f>
        <v>Forecasted</v>
      </c>
    </row>
    <row r="7" spans="1:9" ht="12.75">
      <c r="A7" s="5"/>
      <c r="B7" s="5"/>
      <c r="C7" s="5"/>
      <c r="D7" s="5"/>
      <c r="E7" s="5"/>
      <c r="F7" s="5"/>
      <c r="G7" s="5"/>
      <c r="H7" s="5"/>
      <c r="I7" s="5"/>
    </row>
    <row r="8" spans="1:9" ht="12.75">
      <c r="A8" s="5"/>
      <c r="B8" s="5" t="s">
        <v>169</v>
      </c>
      <c r="C8" s="76">
        <v>0</v>
      </c>
      <c r="D8" s="76">
        <f aca="true" t="shared" si="0" ref="D8:I8">C10</f>
        <v>0</v>
      </c>
      <c r="E8" s="76">
        <f t="shared" si="0"/>
        <v>0</v>
      </c>
      <c r="F8" s="76">
        <f t="shared" si="0"/>
        <v>0</v>
      </c>
      <c r="G8" s="76">
        <f t="shared" si="0"/>
        <v>0</v>
      </c>
      <c r="H8" s="76">
        <f t="shared" si="0"/>
        <v>2686442.780792152</v>
      </c>
      <c r="I8" s="76">
        <f t="shared" si="0"/>
        <v>2709066.944158736</v>
      </c>
    </row>
    <row r="9" spans="1:9" ht="12.75">
      <c r="A9" s="5"/>
      <c r="B9" s="5" t="s">
        <v>207</v>
      </c>
      <c r="C9" s="81">
        <f>'3.  LDC Assumptions and Data'!C31</f>
        <v>0</v>
      </c>
      <c r="D9" s="81">
        <f>'3.  LDC Assumptions and Data'!D31</f>
        <v>0</v>
      </c>
      <c r="E9" s="81">
        <f>'3.  LDC Assumptions and Data'!F31</f>
        <v>0</v>
      </c>
      <c r="F9" s="81">
        <f>'3.  LDC Assumptions and Data'!F31</f>
        <v>0</v>
      </c>
      <c r="G9" s="81">
        <f>'3.  LDC Assumptions and Data'!G31</f>
        <v>2686442.780792152</v>
      </c>
      <c r="H9" s="81">
        <f>'3.  LDC Assumptions and Data'!H31</f>
        <v>22624.163366584322</v>
      </c>
      <c r="I9" s="81">
        <f>'3.  LDC Assumptions and Data'!I31</f>
        <v>45248.326733168644</v>
      </c>
    </row>
    <row r="10" spans="1:9" ht="12.75">
      <c r="A10" s="5"/>
      <c r="B10" s="5" t="s">
        <v>170</v>
      </c>
      <c r="C10" s="76">
        <f aca="true" t="shared" si="1" ref="C10:H10">SUM(C8:C9)</f>
        <v>0</v>
      </c>
      <c r="D10" s="76">
        <f t="shared" si="1"/>
        <v>0</v>
      </c>
      <c r="E10" s="76">
        <f t="shared" si="1"/>
        <v>0</v>
      </c>
      <c r="F10" s="76">
        <f t="shared" si="1"/>
        <v>0</v>
      </c>
      <c r="G10" s="76">
        <f t="shared" si="1"/>
        <v>2686442.780792152</v>
      </c>
      <c r="H10" s="76">
        <f t="shared" si="1"/>
        <v>2709066.944158736</v>
      </c>
      <c r="I10" s="76">
        <f>SUM(I8:I9)</f>
        <v>2754315.270891905</v>
      </c>
    </row>
    <row r="11" spans="1:9" ht="12.75">
      <c r="A11" s="5"/>
      <c r="B11" s="5"/>
      <c r="C11" s="70"/>
      <c r="D11" s="70"/>
      <c r="E11" s="70"/>
      <c r="F11" s="70"/>
      <c r="G11" s="70"/>
      <c r="H11" s="5"/>
      <c r="I11" s="5"/>
    </row>
    <row r="12" spans="1:9" ht="12.75">
      <c r="A12" s="5"/>
      <c r="B12" s="5" t="s">
        <v>171</v>
      </c>
      <c r="C12" s="76">
        <v>0</v>
      </c>
      <c r="D12" s="76">
        <f aca="true" t="shared" si="2" ref="D12:I12">C14</f>
        <v>0</v>
      </c>
      <c r="E12" s="76">
        <f t="shared" si="2"/>
        <v>0</v>
      </c>
      <c r="F12" s="76">
        <f t="shared" si="2"/>
        <v>0</v>
      </c>
      <c r="G12" s="76">
        <f t="shared" si="2"/>
        <v>0</v>
      </c>
      <c r="H12" s="76">
        <f t="shared" si="2"/>
        <v>89548.09269307174</v>
      </c>
      <c r="I12" s="76">
        <f t="shared" si="2"/>
        <v>269398.4168581014</v>
      </c>
    </row>
    <row r="13" spans="1:10" ht="12.75">
      <c r="A13" s="5"/>
      <c r="B13" s="5" t="str">
        <f>"Amortization ("&amp;'3.  LDC Assumptions and Data'!C60&amp;" Years  Straight Line)"</f>
        <v>Amortization (15 Years  Straight Line)</v>
      </c>
      <c r="C13" s="57">
        <f>IF(C12+(C8/'3.  LDC Assumptions and Data'!C60)+(C9/'3.  LDC Assumptions and Data'!C60/2)&lt;C10,(C8/'3.  LDC Assumptions and Data'!C60)+(C9/'3.  LDC Assumptions and Data'!C60/2),C10-C12)</f>
        <v>0</v>
      </c>
      <c r="D13" s="57">
        <f>IF(D12+(D8/'3.  LDC Assumptions and Data'!D60)+(D9/'3.  LDC Assumptions and Data'!D60/2)&lt;D10,(D8/'3.  LDC Assumptions and Data'!D60)+(D9/'3.  LDC Assumptions and Data'!D60/2),D10-D12)</f>
        <v>0</v>
      </c>
      <c r="E13" s="57">
        <f>IF(E12+(E8/'3.  LDC Assumptions and Data'!E60)+(E9/'3.  LDC Assumptions and Data'!E60/2)&lt;E10,(E8/'3.  LDC Assumptions and Data'!E60)+(E9/'3.  LDC Assumptions and Data'!E60/2),E10-E12)</f>
        <v>0</v>
      </c>
      <c r="F13" s="57">
        <f>IF(F12+(F8/'3.  LDC Assumptions and Data'!F60)+(F9/'3.  LDC Assumptions and Data'!F60/2)&lt;F10,(F8/'3.  LDC Assumptions and Data'!F60)+(F9/'3.  LDC Assumptions and Data'!F60/2),F10-F12)</f>
        <v>0</v>
      </c>
      <c r="G13" s="57">
        <f>IF(G12+(G8/'3.  LDC Assumptions and Data'!G60)+(G9/'3.  LDC Assumptions and Data'!G60/2)&lt;G10,(G8/'3.  LDC Assumptions and Data'!G60)+(G9/'3.  LDC Assumptions and Data'!G60/2),G10-G12)</f>
        <v>89548.09269307174</v>
      </c>
      <c r="H13" s="57">
        <f>IF(H12+(H8/'3.  LDC Assumptions and Data'!H60)+(H9/'3.  LDC Assumptions and Data'!H60/2)&lt;H10,(H8/'3.  LDC Assumptions and Data'!H60)+(H9/'3.  LDC Assumptions and Data'!H60/2),H10-H12)</f>
        <v>179850.32416502963</v>
      </c>
      <c r="I13" s="57">
        <f>IF(I12+(I8/'3.  LDC Assumptions and Data'!I60)+(I9/'3.  LDC Assumptions and Data'!I60/2)&lt;I10,(I8/'3.  LDC Assumptions and Data'!I60)+(I9/'3.  LDC Assumptions and Data'!I60/2),I10-I12)</f>
        <v>182112.74050168804</v>
      </c>
      <c r="J13" s="150"/>
    </row>
    <row r="14" spans="1:9" ht="12.75">
      <c r="A14" s="5"/>
      <c r="B14" s="5" t="s">
        <v>172</v>
      </c>
      <c r="C14" s="76">
        <f aca="true" t="shared" si="3" ref="C14:H14">SUM(C12:C13)</f>
        <v>0</v>
      </c>
      <c r="D14" s="76">
        <f t="shared" si="3"/>
        <v>0</v>
      </c>
      <c r="E14" s="76">
        <f t="shared" si="3"/>
        <v>0</v>
      </c>
      <c r="F14" s="76">
        <f t="shared" si="3"/>
        <v>0</v>
      </c>
      <c r="G14" s="76">
        <f t="shared" si="3"/>
        <v>89548.09269307174</v>
      </c>
      <c r="H14" s="76">
        <f t="shared" si="3"/>
        <v>269398.4168581014</v>
      </c>
      <c r="I14" s="76">
        <f>SUM(I12:I13)</f>
        <v>451511.1573597894</v>
      </c>
    </row>
    <row r="15" spans="1:9" ht="12.75">
      <c r="A15" s="5"/>
      <c r="B15" s="5"/>
      <c r="H15" s="5"/>
      <c r="I15" s="5"/>
    </row>
    <row r="16" spans="1:9" ht="16.5" customHeight="1">
      <c r="A16" s="5"/>
      <c r="B16" s="5" t="s">
        <v>173</v>
      </c>
      <c r="C16" s="57">
        <f>0</f>
        <v>0</v>
      </c>
      <c r="D16" s="57">
        <f aca="true" t="shared" si="4" ref="D16:I16">C17</f>
        <v>0</v>
      </c>
      <c r="E16" s="57">
        <f t="shared" si="4"/>
        <v>0</v>
      </c>
      <c r="F16" s="57">
        <f t="shared" si="4"/>
        <v>0</v>
      </c>
      <c r="G16" s="57">
        <f t="shared" si="4"/>
        <v>0</v>
      </c>
      <c r="H16" s="57">
        <f t="shared" si="4"/>
        <v>2596894.68809908</v>
      </c>
      <c r="I16" s="57">
        <f t="shared" si="4"/>
        <v>2439668.527300635</v>
      </c>
    </row>
    <row r="17" spans="1:9" ht="12.75">
      <c r="A17" s="5"/>
      <c r="B17" s="5" t="s">
        <v>174</v>
      </c>
      <c r="C17" s="76">
        <f aca="true" t="shared" si="5" ref="C17:H17">C10-C14</f>
        <v>0</v>
      </c>
      <c r="D17" s="76">
        <f t="shared" si="5"/>
        <v>0</v>
      </c>
      <c r="E17" s="76">
        <f t="shared" si="5"/>
        <v>0</v>
      </c>
      <c r="F17" s="76">
        <f t="shared" si="5"/>
        <v>0</v>
      </c>
      <c r="G17" s="76">
        <f>G10-G14</f>
        <v>2596894.68809908</v>
      </c>
      <c r="H17" s="76">
        <f t="shared" si="5"/>
        <v>2439668.527300635</v>
      </c>
      <c r="I17" s="76">
        <f>I10-I14</f>
        <v>2302804.1135321152</v>
      </c>
    </row>
    <row r="18" spans="1:9" ht="13.5" thickBot="1">
      <c r="A18" s="5"/>
      <c r="B18" s="5" t="s">
        <v>175</v>
      </c>
      <c r="C18" s="96">
        <f aca="true" t="shared" si="6" ref="C18:H18">(C17+C16)/2</f>
        <v>0</v>
      </c>
      <c r="D18" s="96">
        <f t="shared" si="6"/>
        <v>0</v>
      </c>
      <c r="E18" s="96">
        <f t="shared" si="6"/>
        <v>0</v>
      </c>
      <c r="F18" s="96">
        <f t="shared" si="6"/>
        <v>0</v>
      </c>
      <c r="G18" s="96">
        <f>(G17+G16)/2</f>
        <v>1298447.34404954</v>
      </c>
      <c r="H18" s="96">
        <f t="shared" si="6"/>
        <v>2518281.6076998576</v>
      </c>
      <c r="I18" s="96">
        <f>(I17+I16)/2</f>
        <v>2371236.320416375</v>
      </c>
    </row>
    <row r="19" spans="1:9" ht="12.75">
      <c r="A19" s="5"/>
      <c r="B19" s="5"/>
      <c r="C19" s="71"/>
      <c r="D19" s="71"/>
      <c r="E19" s="71"/>
      <c r="F19" s="71"/>
      <c r="G19" s="71"/>
      <c r="H19" s="71"/>
      <c r="I19" s="71"/>
    </row>
    <row r="20" spans="1:9" ht="12.75">
      <c r="A20" s="5"/>
      <c r="B20" s="5"/>
      <c r="C20" s="24">
        <f aca="true" t="shared" si="7" ref="C20:H21">C5</f>
        <v>2006</v>
      </c>
      <c r="D20" s="24">
        <f t="shared" si="7"/>
        <v>2007</v>
      </c>
      <c r="E20" s="24">
        <f t="shared" si="7"/>
        <v>2008</v>
      </c>
      <c r="F20" s="24">
        <f t="shared" si="7"/>
        <v>2009</v>
      </c>
      <c r="G20" s="24">
        <f t="shared" si="7"/>
        <v>2010</v>
      </c>
      <c r="H20" s="24">
        <f t="shared" si="7"/>
        <v>2011</v>
      </c>
      <c r="I20" s="24" t="str">
        <f>I5</f>
        <v>Later</v>
      </c>
    </row>
    <row r="21" spans="1:9" ht="18">
      <c r="A21" s="5"/>
      <c r="B21" s="28" t="s">
        <v>176</v>
      </c>
      <c r="C21" s="24" t="str">
        <f t="shared" si="7"/>
        <v>Audited Actual</v>
      </c>
      <c r="D21" s="24" t="str">
        <f t="shared" si="7"/>
        <v>Audited Actual</v>
      </c>
      <c r="E21" s="24" t="str">
        <f t="shared" si="7"/>
        <v>Actual</v>
      </c>
      <c r="F21" s="24" t="str">
        <f t="shared" si="7"/>
        <v>Forecasted</v>
      </c>
      <c r="G21" s="24" t="str">
        <f t="shared" si="7"/>
        <v>Forecasted</v>
      </c>
      <c r="H21" s="24" t="str">
        <f t="shared" si="7"/>
        <v>Forecasted</v>
      </c>
      <c r="I21" s="24" t="str">
        <f>I6</f>
        <v>Forecasted</v>
      </c>
    </row>
    <row r="22" spans="1:9" ht="12.75">
      <c r="A22" s="5"/>
      <c r="B22" s="5"/>
      <c r="C22" s="5"/>
      <c r="D22" s="5"/>
      <c r="E22" s="5"/>
      <c r="F22" s="5"/>
      <c r="G22" s="5"/>
      <c r="H22" s="5"/>
      <c r="I22" s="5"/>
    </row>
    <row r="23" spans="1:9" ht="12.75">
      <c r="A23" s="5"/>
      <c r="B23" s="5" t="s">
        <v>169</v>
      </c>
      <c r="C23" s="76">
        <v>0</v>
      </c>
      <c r="D23" s="76">
        <f aca="true" t="shared" si="8" ref="D23:I23">C25</f>
        <v>0</v>
      </c>
      <c r="E23" s="76">
        <f t="shared" si="8"/>
        <v>0</v>
      </c>
      <c r="F23" s="76">
        <f t="shared" si="8"/>
        <v>0</v>
      </c>
      <c r="G23" s="76">
        <f t="shared" si="8"/>
        <v>0</v>
      </c>
      <c r="H23" s="76">
        <f t="shared" si="8"/>
        <v>16558.7328</v>
      </c>
      <c r="I23" s="76">
        <f t="shared" si="8"/>
        <v>16558.7328</v>
      </c>
    </row>
    <row r="24" spans="1:9" ht="12.75">
      <c r="A24" s="5"/>
      <c r="B24" s="5" t="s">
        <v>208</v>
      </c>
      <c r="C24" s="81">
        <f>'3.  LDC Assumptions and Data'!C32</f>
        <v>0</v>
      </c>
      <c r="D24" s="81">
        <f>'3.  LDC Assumptions and Data'!D32</f>
        <v>0</v>
      </c>
      <c r="E24" s="81">
        <f>'3.  LDC Assumptions and Data'!F32</f>
        <v>0</v>
      </c>
      <c r="F24" s="81">
        <f>'3.  LDC Assumptions and Data'!F32</f>
        <v>0</v>
      </c>
      <c r="G24" s="81">
        <f>'3.  LDC Assumptions and Data'!G32</f>
        <v>16558.7328</v>
      </c>
      <c r="H24" s="81">
        <f>'3.  LDC Assumptions and Data'!H32</f>
        <v>0</v>
      </c>
      <c r="I24" s="81">
        <f>'3.  LDC Assumptions and Data'!I32</f>
        <v>0</v>
      </c>
    </row>
    <row r="25" spans="1:9" ht="12.75">
      <c r="A25" s="5"/>
      <c r="B25" s="5" t="s">
        <v>170</v>
      </c>
      <c r="C25" s="76">
        <f aca="true" t="shared" si="9" ref="C25:H25">SUM(C23:C24)</f>
        <v>0</v>
      </c>
      <c r="D25" s="76">
        <f t="shared" si="9"/>
        <v>0</v>
      </c>
      <c r="E25" s="76">
        <f t="shared" si="9"/>
        <v>0</v>
      </c>
      <c r="F25" s="76">
        <f t="shared" si="9"/>
        <v>0</v>
      </c>
      <c r="G25" s="76">
        <f t="shared" si="9"/>
        <v>16558.7328</v>
      </c>
      <c r="H25" s="76">
        <f t="shared" si="9"/>
        <v>16558.7328</v>
      </c>
      <c r="I25" s="76">
        <f>SUM(I23:I24)</f>
        <v>16558.7328</v>
      </c>
    </row>
    <row r="26" spans="1:9" ht="12.75">
      <c r="A26" s="5"/>
      <c r="B26" s="5"/>
      <c r="C26" s="71"/>
      <c r="D26" s="71"/>
      <c r="E26" s="71"/>
      <c r="F26" s="71"/>
      <c r="G26" s="71"/>
      <c r="H26" s="5"/>
      <c r="I26" s="5"/>
    </row>
    <row r="27" spans="1:9" ht="12.75">
      <c r="A27" s="5"/>
      <c r="B27" s="5" t="s">
        <v>171</v>
      </c>
      <c r="C27" s="76">
        <v>0</v>
      </c>
      <c r="D27" s="76">
        <f aca="true" t="shared" si="10" ref="D27:I27">C29</f>
        <v>0</v>
      </c>
      <c r="E27" s="76">
        <f t="shared" si="10"/>
        <v>0</v>
      </c>
      <c r="F27" s="76">
        <f t="shared" si="10"/>
        <v>0</v>
      </c>
      <c r="G27" s="76">
        <f t="shared" si="10"/>
        <v>0</v>
      </c>
      <c r="H27" s="76">
        <f t="shared" si="10"/>
        <v>1655.8732800000002</v>
      </c>
      <c r="I27" s="76">
        <f t="shared" si="10"/>
        <v>4967.619840000001</v>
      </c>
    </row>
    <row r="28" spans="1:9" ht="12.75">
      <c r="A28" s="5"/>
      <c r="B28" s="5" t="str">
        <f>"Amortization ("&amp;'3.  LDC Assumptions and Data'!C61&amp;" Years  Straight Line)"</f>
        <v>Amortization (5 Years  Straight Line)</v>
      </c>
      <c r="C28" s="57">
        <f>IF(C27+(C23/'3.  LDC Assumptions and Data'!C61)+(C24/'3.  LDC Assumptions and Data'!C61/2)&lt;C25,(C23/'3.  LDC Assumptions and Data'!C61)+(C24/'3.  LDC Assumptions and Data'!C61/2),C25-C27)</f>
        <v>0</v>
      </c>
      <c r="D28" s="57">
        <f>IF(D27+(D23/'3.  LDC Assumptions and Data'!C61)+(D24/'3.  LDC Assumptions and Data'!C61/2)&lt;D25,(D23/'3.  LDC Assumptions and Data'!C61)+(D24/'3.  LDC Assumptions and Data'!C61/2),D25-D27)</f>
        <v>0</v>
      </c>
      <c r="E28" s="57">
        <f>IF(E27+(E23/'3.  LDC Assumptions and Data'!C61)+(E24/'3.  LDC Assumptions and Data'!C61/2)&lt;E25,(E23/'3.  LDC Assumptions and Data'!C61)+(E24/'3.  LDC Assumptions and Data'!C61/2),E25-E27)</f>
        <v>0</v>
      </c>
      <c r="F28" s="57">
        <f>IF(F27+(F23/'3.  LDC Assumptions and Data'!C61)+(F24/'3.  LDC Assumptions and Data'!C61/2)&lt;F25,(F23/'3.  LDC Assumptions and Data'!C61)+(F24/'3.  LDC Assumptions and Data'!C61/2),F25-F27)</f>
        <v>0</v>
      </c>
      <c r="G28" s="57">
        <f>IF(G27+(G23/'3.  LDC Assumptions and Data'!C61)+(G24/'3.  LDC Assumptions and Data'!C61/2)&lt;G25,(G23/'3.  LDC Assumptions and Data'!C61)+(G24/'3.  LDC Assumptions and Data'!C61/2),G25-G27)</f>
        <v>1655.8732800000002</v>
      </c>
      <c r="H28" s="57">
        <f>IF(H27+(H23/'3.  LDC Assumptions and Data'!D61)+(H24/'3.  LDC Assumptions and Data'!D61/2)&lt;H25,(H23/'3.  LDC Assumptions and Data'!D61)+(H24/'3.  LDC Assumptions and Data'!D61/2),H25-H27)</f>
        <v>3311.7465600000005</v>
      </c>
      <c r="I28" s="57">
        <f>IF(I27+(I23/'3.  LDC Assumptions and Data'!E61)+(I24/'3.  LDC Assumptions and Data'!E61/2)&lt;I25,(I23/'3.  LDC Assumptions and Data'!E61)+(I24/'3.  LDC Assumptions and Data'!E61/2),I25-I27)</f>
        <v>3311.7465600000005</v>
      </c>
    </row>
    <row r="29" spans="1:9" ht="12.75">
      <c r="A29" s="5"/>
      <c r="B29" s="5" t="s">
        <v>172</v>
      </c>
      <c r="C29" s="76">
        <f aca="true" t="shared" si="11" ref="C29:H29">SUM(C27:C28)</f>
        <v>0</v>
      </c>
      <c r="D29" s="76">
        <f t="shared" si="11"/>
        <v>0</v>
      </c>
      <c r="E29" s="76">
        <f t="shared" si="11"/>
        <v>0</v>
      </c>
      <c r="F29" s="76">
        <f t="shared" si="11"/>
        <v>0</v>
      </c>
      <c r="G29" s="76">
        <f t="shared" si="11"/>
        <v>1655.8732800000002</v>
      </c>
      <c r="H29" s="76">
        <f t="shared" si="11"/>
        <v>4967.619840000001</v>
      </c>
      <c r="I29" s="76">
        <f>SUM(I27:I28)</f>
        <v>8279.366400000003</v>
      </c>
    </row>
    <row r="30" spans="1:9" ht="12.75">
      <c r="A30" s="5"/>
      <c r="B30" s="5"/>
      <c r="H30" s="5"/>
      <c r="I30" s="5"/>
    </row>
    <row r="31" spans="1:9" ht="12.75">
      <c r="A31" s="5"/>
      <c r="B31" s="5" t="s">
        <v>173</v>
      </c>
      <c r="C31" s="57">
        <f>0</f>
        <v>0</v>
      </c>
      <c r="D31" s="57">
        <f aca="true" t="shared" si="12" ref="D31:I31">C32</f>
        <v>0</v>
      </c>
      <c r="E31" s="57">
        <f t="shared" si="12"/>
        <v>0</v>
      </c>
      <c r="F31" s="57">
        <f t="shared" si="12"/>
        <v>0</v>
      </c>
      <c r="G31" s="57">
        <f t="shared" si="12"/>
        <v>0</v>
      </c>
      <c r="H31" s="57">
        <f t="shared" si="12"/>
        <v>14902.859520000002</v>
      </c>
      <c r="I31" s="57">
        <f t="shared" si="12"/>
        <v>11591.11296</v>
      </c>
    </row>
    <row r="32" spans="1:9" ht="12.75">
      <c r="A32" s="5"/>
      <c r="B32" s="64" t="s">
        <v>174</v>
      </c>
      <c r="C32" s="151">
        <f aca="true" t="shared" si="13" ref="C32:H32">C25-C29</f>
        <v>0</v>
      </c>
      <c r="D32" s="151">
        <f t="shared" si="13"/>
        <v>0</v>
      </c>
      <c r="E32" s="151">
        <f t="shared" si="13"/>
        <v>0</v>
      </c>
      <c r="F32" s="151">
        <f t="shared" si="13"/>
        <v>0</v>
      </c>
      <c r="G32" s="151">
        <f t="shared" si="13"/>
        <v>14902.859520000002</v>
      </c>
      <c r="H32" s="151">
        <f t="shared" si="13"/>
        <v>11591.11296</v>
      </c>
      <c r="I32" s="151">
        <f>I25-I29</f>
        <v>8279.366399999999</v>
      </c>
    </row>
    <row r="33" spans="1:9" ht="13.5" thickBot="1">
      <c r="A33" s="5"/>
      <c r="B33" s="64" t="s">
        <v>175</v>
      </c>
      <c r="C33" s="152">
        <f aca="true" t="shared" si="14" ref="C33:H33">(C32+C31)/2</f>
        <v>0</v>
      </c>
      <c r="D33" s="152">
        <f t="shared" si="14"/>
        <v>0</v>
      </c>
      <c r="E33" s="152">
        <f t="shared" si="14"/>
        <v>0</v>
      </c>
      <c r="F33" s="152">
        <f t="shared" si="14"/>
        <v>0</v>
      </c>
      <c r="G33" s="152">
        <f t="shared" si="14"/>
        <v>7451.429760000001</v>
      </c>
      <c r="H33" s="152">
        <f t="shared" si="14"/>
        <v>13246.986240000002</v>
      </c>
      <c r="I33" s="152">
        <f>(I32+I31)/2</f>
        <v>9935.239679999999</v>
      </c>
    </row>
    <row r="34" spans="1:9" ht="12.75">
      <c r="A34" s="5"/>
      <c r="B34" s="5"/>
      <c r="C34" s="5"/>
      <c r="D34" s="5"/>
      <c r="E34" s="5"/>
      <c r="F34" s="5"/>
      <c r="G34" s="5"/>
      <c r="H34" s="5"/>
      <c r="I34" s="5"/>
    </row>
    <row r="35" spans="1:9" ht="12.75">
      <c r="A35" s="5"/>
      <c r="B35" s="5"/>
      <c r="C35" s="24">
        <f aca="true" t="shared" si="15" ref="C35:H36">C20</f>
        <v>2006</v>
      </c>
      <c r="D35" s="24">
        <f t="shared" si="15"/>
        <v>2007</v>
      </c>
      <c r="E35" s="24">
        <f t="shared" si="15"/>
        <v>2008</v>
      </c>
      <c r="F35" s="24">
        <f t="shared" si="15"/>
        <v>2009</v>
      </c>
      <c r="G35" s="24">
        <f t="shared" si="15"/>
        <v>2010</v>
      </c>
      <c r="H35" s="24">
        <f t="shared" si="15"/>
        <v>2011</v>
      </c>
      <c r="I35" s="24" t="str">
        <f>I20</f>
        <v>Later</v>
      </c>
    </row>
    <row r="36" spans="1:9" ht="18">
      <c r="A36" s="5"/>
      <c r="B36" s="28" t="s">
        <v>177</v>
      </c>
      <c r="C36" s="24" t="str">
        <f t="shared" si="15"/>
        <v>Audited Actual</v>
      </c>
      <c r="D36" s="24" t="str">
        <f t="shared" si="15"/>
        <v>Audited Actual</v>
      </c>
      <c r="E36" s="24" t="str">
        <f t="shared" si="15"/>
        <v>Actual</v>
      </c>
      <c r="F36" s="24" t="str">
        <f t="shared" si="15"/>
        <v>Forecasted</v>
      </c>
      <c r="G36" s="24" t="str">
        <f t="shared" si="15"/>
        <v>Forecasted</v>
      </c>
      <c r="H36" s="24" t="str">
        <f t="shared" si="15"/>
        <v>Forecasted</v>
      </c>
      <c r="I36" s="24" t="str">
        <f>I21</f>
        <v>Forecasted</v>
      </c>
    </row>
    <row r="37" spans="1:9" ht="12.75">
      <c r="A37" s="5"/>
      <c r="B37" s="5"/>
      <c r="C37" s="5"/>
      <c r="D37" s="5"/>
      <c r="E37" s="5"/>
      <c r="F37" s="5"/>
      <c r="G37" s="5"/>
      <c r="H37" s="5"/>
      <c r="I37" s="5"/>
    </row>
    <row r="38" spans="1:9" ht="12.75">
      <c r="A38" s="5"/>
      <c r="B38" s="5" t="s">
        <v>169</v>
      </c>
      <c r="C38" s="76">
        <v>0</v>
      </c>
      <c r="D38" s="76">
        <f aca="true" t="shared" si="16" ref="D38:I38">C40</f>
        <v>0</v>
      </c>
      <c r="E38" s="76">
        <f t="shared" si="16"/>
        <v>0</v>
      </c>
      <c r="F38" s="76">
        <f t="shared" si="16"/>
        <v>0</v>
      </c>
      <c r="G38" s="76">
        <f t="shared" si="16"/>
        <v>0</v>
      </c>
      <c r="H38" s="76">
        <f t="shared" si="16"/>
        <v>544168.9632</v>
      </c>
      <c r="I38" s="76">
        <f t="shared" si="16"/>
        <v>544168.9632</v>
      </c>
    </row>
    <row r="39" spans="1:9" ht="12.75">
      <c r="A39" s="5"/>
      <c r="B39" s="5" t="s">
        <v>207</v>
      </c>
      <c r="C39" s="81">
        <f>'3.  LDC Assumptions and Data'!C33</f>
        <v>0</v>
      </c>
      <c r="D39" s="81">
        <f>'3.  LDC Assumptions and Data'!D33</f>
        <v>0</v>
      </c>
      <c r="E39" s="81">
        <f>'3.  LDC Assumptions and Data'!F33</f>
        <v>0</v>
      </c>
      <c r="F39" s="81">
        <f>'3.  LDC Assumptions and Data'!F33</f>
        <v>0</v>
      </c>
      <c r="G39" s="81">
        <f>'3.  LDC Assumptions and Data'!G33</f>
        <v>544168.9632</v>
      </c>
      <c r="H39" s="81">
        <f>'3.  LDC Assumptions and Data'!H33</f>
        <v>0</v>
      </c>
      <c r="I39" s="81">
        <f>'3.  LDC Assumptions and Data'!I33</f>
        <v>0</v>
      </c>
    </row>
    <row r="40" spans="1:10" ht="12.75">
      <c r="A40" s="5"/>
      <c r="B40" s="5" t="s">
        <v>170</v>
      </c>
      <c r="C40" s="76">
        <f aca="true" t="shared" si="17" ref="C40:H40">SUM(C38:C39)</f>
        <v>0</v>
      </c>
      <c r="D40" s="76">
        <f t="shared" si="17"/>
        <v>0</v>
      </c>
      <c r="E40" s="76">
        <f t="shared" si="17"/>
        <v>0</v>
      </c>
      <c r="F40" s="76">
        <f t="shared" si="17"/>
        <v>0</v>
      </c>
      <c r="G40" s="76">
        <f t="shared" si="17"/>
        <v>544168.9632</v>
      </c>
      <c r="H40" s="76">
        <f t="shared" si="17"/>
        <v>544168.9632</v>
      </c>
      <c r="I40" s="76">
        <f>SUM(I38:I39)</f>
        <v>544168.9632</v>
      </c>
      <c r="J40" s="150"/>
    </row>
    <row r="41" spans="1:9" ht="12.75">
      <c r="A41" s="5"/>
      <c r="B41" s="5"/>
      <c r="C41" s="71"/>
      <c r="D41" s="71"/>
      <c r="E41" s="71"/>
      <c r="F41" s="71"/>
      <c r="G41" s="71"/>
      <c r="H41" s="5"/>
      <c r="I41" s="5"/>
    </row>
    <row r="42" spans="1:9" ht="12.75">
      <c r="A42" s="5"/>
      <c r="B42" s="5" t="s">
        <v>171</v>
      </c>
      <c r="C42" s="76">
        <v>0</v>
      </c>
      <c r="D42" s="76">
        <f aca="true" t="shared" si="18" ref="D42:I42">C44</f>
        <v>0</v>
      </c>
      <c r="E42" s="76">
        <f t="shared" si="18"/>
        <v>0</v>
      </c>
      <c r="F42" s="76">
        <f t="shared" si="18"/>
        <v>0</v>
      </c>
      <c r="G42" s="76">
        <f t="shared" si="18"/>
        <v>0</v>
      </c>
      <c r="H42" s="76">
        <f t="shared" si="18"/>
        <v>54416.89632</v>
      </c>
      <c r="I42" s="76">
        <f t="shared" si="18"/>
        <v>163250.68896</v>
      </c>
    </row>
    <row r="43" spans="1:9" ht="12.75">
      <c r="A43" s="5"/>
      <c r="B43" s="5" t="str">
        <f>"Amortization Year 1 ("&amp;'3.  LDC Assumptions and Data'!C62&amp;" Years Straight Line)"</f>
        <v>Amortization Year 1 (5 Years Straight Line)</v>
      </c>
      <c r="C43" s="57">
        <f>IF(C42+(C38/'3.  LDC Assumptions and Data'!C62)+(C39/'3.  LDC Assumptions and Data'!C62/2)&lt;C40,(C38/'3.  LDC Assumptions and Data'!C62)+(C39/'3.  LDC Assumptions and Data'!C62/2),C40-C42)</f>
        <v>0</v>
      </c>
      <c r="D43" s="57">
        <f>IF(D42+(D38/'3.  LDC Assumptions and Data'!C62)+(D39/'3.  LDC Assumptions and Data'!C62/2)&lt;D40,(D38/'3.  LDC Assumptions and Data'!C62)+(D39/'3.  LDC Assumptions and Data'!C62/2),D40-D42)</f>
        <v>0</v>
      </c>
      <c r="E43" s="57">
        <f>IF(E42+(E38/'3.  LDC Assumptions and Data'!C62)+(E39/'3.  LDC Assumptions and Data'!C62/2)&lt;E40,(E38/'3.  LDC Assumptions and Data'!C62)+(E39/'3.  LDC Assumptions and Data'!C62/2),E40-E42)</f>
        <v>0</v>
      </c>
      <c r="F43" s="57">
        <f>IF(F42+(F38/'3.  LDC Assumptions and Data'!C62)+(F39/'3.  LDC Assumptions and Data'!C62/2)&lt;F40,(F38/'3.  LDC Assumptions and Data'!C62)+(F39/'3.  LDC Assumptions and Data'!C62/2),F40-F42)</f>
        <v>0</v>
      </c>
      <c r="G43" s="57">
        <f>IF(G42+(G38/'3.  LDC Assumptions and Data'!C62)+(G39/'3.  LDC Assumptions and Data'!C62/2)&lt;G40,(G38/'3.  LDC Assumptions and Data'!C62)+(G39/'3.  LDC Assumptions and Data'!C62/2),G40-G42)</f>
        <v>54416.89632</v>
      </c>
      <c r="H43" s="57">
        <f>IF(H42+(H38/'3.  LDC Assumptions and Data'!D62)+(H39/'3.  LDC Assumptions and Data'!D62/2)&lt;H40,(H38/'3.  LDC Assumptions and Data'!D62)+(H39/'3.  LDC Assumptions and Data'!D62/2),H40-H42)</f>
        <v>108833.79264</v>
      </c>
      <c r="I43" s="57">
        <f>IF(I42+(I38/'3.  LDC Assumptions and Data'!E62)+(I39/'3.  LDC Assumptions and Data'!E62/2)&lt;I40,(I38/'3.  LDC Assumptions and Data'!E62)+(I39/'3.  LDC Assumptions and Data'!E62/2),I40-I42)</f>
        <v>108833.79264</v>
      </c>
    </row>
    <row r="44" spans="1:9" ht="12.75">
      <c r="A44" s="5"/>
      <c r="B44" s="5" t="s">
        <v>172</v>
      </c>
      <c r="C44" s="76">
        <f aca="true" t="shared" si="19" ref="C44:H44">SUM(C42:C43)</f>
        <v>0</v>
      </c>
      <c r="D44" s="76">
        <f t="shared" si="19"/>
        <v>0</v>
      </c>
      <c r="E44" s="76">
        <f t="shared" si="19"/>
        <v>0</v>
      </c>
      <c r="F44" s="76">
        <f t="shared" si="19"/>
        <v>0</v>
      </c>
      <c r="G44" s="76">
        <f t="shared" si="19"/>
        <v>54416.89632</v>
      </c>
      <c r="H44" s="76">
        <f t="shared" si="19"/>
        <v>163250.68896</v>
      </c>
      <c r="I44" s="76">
        <f>SUM(I42:I43)</f>
        <v>272084.4816</v>
      </c>
    </row>
    <row r="45" spans="1:9" ht="12.75">
      <c r="A45" s="5"/>
      <c r="B45" s="5"/>
      <c r="H45" s="5"/>
      <c r="I45" s="5"/>
    </row>
    <row r="46" spans="1:9" ht="12.75">
      <c r="A46" s="5"/>
      <c r="B46" s="5" t="s">
        <v>173</v>
      </c>
      <c r="C46" s="57">
        <f>0</f>
        <v>0</v>
      </c>
      <c r="D46" s="57">
        <f aca="true" t="shared" si="20" ref="D46:I46">C47</f>
        <v>0</v>
      </c>
      <c r="E46" s="57">
        <f t="shared" si="20"/>
        <v>0</v>
      </c>
      <c r="F46" s="57">
        <f t="shared" si="20"/>
        <v>0</v>
      </c>
      <c r="G46" s="57">
        <f t="shared" si="20"/>
        <v>0</v>
      </c>
      <c r="H46" s="57">
        <f t="shared" si="20"/>
        <v>489752.06688</v>
      </c>
      <c r="I46" s="57">
        <f t="shared" si="20"/>
        <v>380918.27424</v>
      </c>
    </row>
    <row r="47" spans="1:9" ht="12.75">
      <c r="A47" s="64"/>
      <c r="B47" s="64" t="s">
        <v>174</v>
      </c>
      <c r="C47" s="151">
        <f aca="true" t="shared" si="21" ref="C47:H47">C40-C44</f>
        <v>0</v>
      </c>
      <c r="D47" s="151">
        <f t="shared" si="21"/>
        <v>0</v>
      </c>
      <c r="E47" s="151">
        <f t="shared" si="21"/>
        <v>0</v>
      </c>
      <c r="F47" s="151">
        <f t="shared" si="21"/>
        <v>0</v>
      </c>
      <c r="G47" s="151">
        <f t="shared" si="21"/>
        <v>489752.06688</v>
      </c>
      <c r="H47" s="151">
        <f t="shared" si="21"/>
        <v>380918.27424</v>
      </c>
      <c r="I47" s="151">
        <f>I40-I44</f>
        <v>272084.4816</v>
      </c>
    </row>
    <row r="48" spans="1:9" ht="13.5" thickBot="1">
      <c r="A48" s="64"/>
      <c r="B48" s="64" t="s">
        <v>175</v>
      </c>
      <c r="C48" s="152">
        <f aca="true" t="shared" si="22" ref="C48:H48">(C47+C46)/2</f>
        <v>0</v>
      </c>
      <c r="D48" s="152">
        <f t="shared" si="22"/>
        <v>0</v>
      </c>
      <c r="E48" s="152">
        <f t="shared" si="22"/>
        <v>0</v>
      </c>
      <c r="F48" s="152">
        <f t="shared" si="22"/>
        <v>0</v>
      </c>
      <c r="G48" s="152">
        <f t="shared" si="22"/>
        <v>244876.03344</v>
      </c>
      <c r="H48" s="152">
        <f t="shared" si="22"/>
        <v>435335.17056</v>
      </c>
      <c r="I48" s="152">
        <f>(I47+I46)/2</f>
        <v>326501.37792</v>
      </c>
    </row>
    <row r="49" spans="1:9" ht="12.75">
      <c r="A49" s="5"/>
      <c r="B49" s="5"/>
      <c r="C49" s="70"/>
      <c r="D49" s="70"/>
      <c r="E49" s="5"/>
      <c r="F49" s="5"/>
      <c r="G49" s="5"/>
      <c r="H49" s="5"/>
      <c r="I49" s="5"/>
    </row>
    <row r="50" spans="1:9" ht="12.75">
      <c r="A50" s="5"/>
      <c r="B50" s="5"/>
      <c r="C50" s="24">
        <f aca="true" t="shared" si="23" ref="C50:H51">C35</f>
        <v>2006</v>
      </c>
      <c r="D50" s="24">
        <f t="shared" si="23"/>
        <v>2007</v>
      </c>
      <c r="E50" s="24">
        <f t="shared" si="23"/>
        <v>2008</v>
      </c>
      <c r="F50" s="24">
        <f t="shared" si="23"/>
        <v>2009</v>
      </c>
      <c r="G50" s="24">
        <f t="shared" si="23"/>
        <v>2010</v>
      </c>
      <c r="H50" s="24">
        <f t="shared" si="23"/>
        <v>2011</v>
      </c>
      <c r="I50" s="24" t="str">
        <f>I35</f>
        <v>Later</v>
      </c>
    </row>
    <row r="51" spans="1:9" ht="18">
      <c r="A51" s="5"/>
      <c r="B51" s="28" t="s">
        <v>178</v>
      </c>
      <c r="C51" s="24" t="str">
        <f t="shared" si="23"/>
        <v>Audited Actual</v>
      </c>
      <c r="D51" s="24" t="str">
        <f t="shared" si="23"/>
        <v>Audited Actual</v>
      </c>
      <c r="E51" s="24" t="str">
        <f t="shared" si="23"/>
        <v>Actual</v>
      </c>
      <c r="F51" s="24" t="str">
        <f t="shared" si="23"/>
        <v>Forecasted</v>
      </c>
      <c r="G51" s="24" t="str">
        <f t="shared" si="23"/>
        <v>Forecasted</v>
      </c>
      <c r="H51" s="24" t="str">
        <f t="shared" si="23"/>
        <v>Forecasted</v>
      </c>
      <c r="I51" s="24" t="str">
        <f>I36</f>
        <v>Forecasted</v>
      </c>
    </row>
    <row r="52" spans="1:9" ht="12.75">
      <c r="A52" s="5"/>
      <c r="B52" s="5"/>
      <c r="C52" s="5"/>
      <c r="D52" s="5"/>
      <c r="E52" s="5"/>
      <c r="F52" s="5"/>
      <c r="G52" s="5"/>
      <c r="H52" s="5"/>
      <c r="I52" s="5"/>
    </row>
    <row r="53" spans="1:9" ht="12.75">
      <c r="A53" s="5"/>
      <c r="B53" s="5" t="s">
        <v>169</v>
      </c>
      <c r="C53" s="76">
        <v>0</v>
      </c>
      <c r="D53" s="76">
        <f aca="true" t="shared" si="24" ref="D53:I53">C55</f>
        <v>0</v>
      </c>
      <c r="E53" s="76">
        <f t="shared" si="24"/>
        <v>0</v>
      </c>
      <c r="F53" s="76">
        <f t="shared" si="24"/>
        <v>0</v>
      </c>
      <c r="G53" s="76">
        <f t="shared" si="24"/>
        <v>0</v>
      </c>
      <c r="H53" s="76">
        <f t="shared" si="24"/>
        <v>0</v>
      </c>
      <c r="I53" s="76">
        <f t="shared" si="24"/>
        <v>0</v>
      </c>
    </row>
    <row r="54" spans="1:9" ht="12.75">
      <c r="A54" s="5"/>
      <c r="B54" s="5" t="s">
        <v>207</v>
      </c>
      <c r="C54" s="81">
        <f>'3.  LDC Assumptions and Data'!C34</f>
        <v>0</v>
      </c>
      <c r="D54" s="81">
        <f>'3.  LDC Assumptions and Data'!D34</f>
        <v>0</v>
      </c>
      <c r="E54" s="81">
        <f>'3.  LDC Assumptions and Data'!F34</f>
        <v>0</v>
      </c>
      <c r="F54" s="81">
        <f>'3.  LDC Assumptions and Data'!G34</f>
        <v>0</v>
      </c>
      <c r="G54" s="81">
        <f>'3.  LDC Assumptions and Data'!H34</f>
        <v>0</v>
      </c>
      <c r="H54" s="81">
        <f>'3.  LDC Assumptions and Data'!I34</f>
        <v>0</v>
      </c>
      <c r="I54" s="81">
        <f>'3.  LDC Assumptions and Data'!J34</f>
        <v>0</v>
      </c>
    </row>
    <row r="55" spans="1:9" ht="12.75">
      <c r="A55" s="5"/>
      <c r="B55" s="5" t="s">
        <v>170</v>
      </c>
      <c r="C55" s="76">
        <f aca="true" t="shared" si="25" ref="C55:H55">SUM(C53:C54)</f>
        <v>0</v>
      </c>
      <c r="D55" s="76">
        <f t="shared" si="25"/>
        <v>0</v>
      </c>
      <c r="E55" s="76">
        <f t="shared" si="25"/>
        <v>0</v>
      </c>
      <c r="F55" s="76">
        <f t="shared" si="25"/>
        <v>0</v>
      </c>
      <c r="G55" s="76">
        <f t="shared" si="25"/>
        <v>0</v>
      </c>
      <c r="H55" s="76">
        <f t="shared" si="25"/>
        <v>0</v>
      </c>
      <c r="I55" s="76">
        <f>SUM(I53:I54)</f>
        <v>0</v>
      </c>
    </row>
    <row r="56" spans="1:9" ht="12.75">
      <c r="A56" s="5"/>
      <c r="B56" s="5"/>
      <c r="C56" s="71"/>
      <c r="D56" s="71"/>
      <c r="E56" s="71"/>
      <c r="F56" s="71"/>
      <c r="G56" s="71"/>
      <c r="H56" s="5"/>
      <c r="I56" s="5"/>
    </row>
    <row r="57" spans="1:9" ht="12.75">
      <c r="A57" s="5"/>
      <c r="B57" s="5" t="s">
        <v>171</v>
      </c>
      <c r="C57" s="76">
        <v>0</v>
      </c>
      <c r="D57" s="76">
        <f aca="true" t="shared" si="26" ref="D57:I57">C59</f>
        <v>0</v>
      </c>
      <c r="E57" s="76">
        <f t="shared" si="26"/>
        <v>0</v>
      </c>
      <c r="F57" s="76">
        <f t="shared" si="26"/>
        <v>0</v>
      </c>
      <c r="G57" s="76">
        <f t="shared" si="26"/>
        <v>0</v>
      </c>
      <c r="H57" s="76">
        <f t="shared" si="26"/>
        <v>0</v>
      </c>
      <c r="I57" s="76">
        <f t="shared" si="26"/>
        <v>0</v>
      </c>
    </row>
    <row r="58" spans="1:9" ht="12.75">
      <c r="A58" s="5"/>
      <c r="B58" s="5" t="str">
        <f>"Amortization Year 1 ("&amp;'3.  LDC Assumptions and Data'!C63&amp;" Years Straight Line)"</f>
        <v>Amortization Year 1 (10 Years Straight Line)</v>
      </c>
      <c r="C58" s="57">
        <f>IF(C57+(C53/'3.  LDC Assumptions and Data'!C63)+(C54/'3.  LDC Assumptions and Data'!C63/2)&lt;C55,(C53/'3.  LDC Assumptions and Data'!C63)+(C54/'3.  LDC Assumptions and Data'!C63/2),C55-C57)</f>
        <v>0</v>
      </c>
      <c r="D58" s="57">
        <f>IF(D57+(D53/'3.  LDC Assumptions and Data'!C63)+(D54/'3.  LDC Assumptions and Data'!C63/2)&lt;D55,(D53/'3.  LDC Assumptions and Data'!C63)+(D54/'3.  LDC Assumptions and Data'!C63/2),D55-D57)</f>
        <v>0</v>
      </c>
      <c r="E58" s="57">
        <f>IF(E57+(E53/'3.  LDC Assumptions and Data'!C63)+(E54/'3.  LDC Assumptions and Data'!C63/2)&lt;E55,(E53/'3.  LDC Assumptions and Data'!C63)+(E54/'3.  LDC Assumptions and Data'!C63/2),E55-E57)</f>
        <v>0</v>
      </c>
      <c r="F58" s="57">
        <f>IF(F57+(F53/'3.  LDC Assumptions and Data'!C63)+(F54/'3.  LDC Assumptions and Data'!C63/2)&lt;F55,(F53/'3.  LDC Assumptions and Data'!C63)+(F54/'3.  LDC Assumptions and Data'!C63/2),F55-F57)</f>
        <v>0</v>
      </c>
      <c r="G58" s="57">
        <f>IF(G57+(G53/'3.  LDC Assumptions and Data'!C63)+(G54/'3.  LDC Assumptions and Data'!C63/2)&lt;G55,(G53/'3.  LDC Assumptions and Data'!C63)+(G54/'3.  LDC Assumptions and Data'!C63/2),G55-G57)</f>
        <v>0</v>
      </c>
      <c r="H58" s="57">
        <f>IF(H57+(H53/'3.  LDC Assumptions and Data'!D63)+(H54/'3.  LDC Assumptions and Data'!D63/2)&lt;H55,(H53/'3.  LDC Assumptions and Data'!D63)+(H54/'3.  LDC Assumptions and Data'!D63/2),H55-H57)</f>
        <v>0</v>
      </c>
      <c r="I58" s="57">
        <f>IF(I57+(I53/'3.  LDC Assumptions and Data'!E63)+(I54/'3.  LDC Assumptions and Data'!E63/2)&lt;I55,(I53/'3.  LDC Assumptions and Data'!E63)+(I54/'3.  LDC Assumptions and Data'!E63/2),I55-I57)</f>
        <v>0</v>
      </c>
    </row>
    <row r="59" spans="1:9" ht="12.75">
      <c r="A59" s="5"/>
      <c r="B59" s="5" t="s">
        <v>172</v>
      </c>
      <c r="C59" s="76">
        <f aca="true" t="shared" si="27" ref="C59:H59">SUM(C57:C58)</f>
        <v>0</v>
      </c>
      <c r="D59" s="76">
        <f t="shared" si="27"/>
        <v>0</v>
      </c>
      <c r="E59" s="76">
        <f t="shared" si="27"/>
        <v>0</v>
      </c>
      <c r="F59" s="76">
        <f t="shared" si="27"/>
        <v>0</v>
      </c>
      <c r="G59" s="76">
        <f t="shared" si="27"/>
        <v>0</v>
      </c>
      <c r="H59" s="76">
        <f t="shared" si="27"/>
        <v>0</v>
      </c>
      <c r="I59" s="76">
        <f>SUM(I57:I58)</f>
        <v>0</v>
      </c>
    </row>
    <row r="60" spans="1:9" ht="12.75">
      <c r="A60" s="5"/>
      <c r="B60" s="5"/>
      <c r="H60" s="5"/>
      <c r="I60" s="5"/>
    </row>
    <row r="61" spans="1:9" ht="12.75">
      <c r="A61" s="5"/>
      <c r="B61" s="5" t="s">
        <v>173</v>
      </c>
      <c r="C61" s="57">
        <f>0</f>
        <v>0</v>
      </c>
      <c r="D61" s="57">
        <f aca="true" t="shared" si="28" ref="D61:I61">C62</f>
        <v>0</v>
      </c>
      <c r="E61" s="57">
        <f t="shared" si="28"/>
        <v>0</v>
      </c>
      <c r="F61" s="57">
        <f t="shared" si="28"/>
        <v>0</v>
      </c>
      <c r="G61" s="57">
        <f t="shared" si="28"/>
        <v>0</v>
      </c>
      <c r="H61" s="57">
        <f t="shared" si="28"/>
        <v>0</v>
      </c>
      <c r="I61" s="57">
        <f t="shared" si="28"/>
        <v>0</v>
      </c>
    </row>
    <row r="62" spans="1:9" ht="12.75">
      <c r="A62" s="5"/>
      <c r="B62" s="5" t="s">
        <v>174</v>
      </c>
      <c r="C62" s="76">
        <f aca="true" t="shared" si="29" ref="C62:H62">C55-C59</f>
        <v>0</v>
      </c>
      <c r="D62" s="95">
        <f t="shared" si="29"/>
        <v>0</v>
      </c>
      <c r="E62" s="95">
        <f t="shared" si="29"/>
        <v>0</v>
      </c>
      <c r="F62" s="95">
        <f t="shared" si="29"/>
        <v>0</v>
      </c>
      <c r="G62" s="95">
        <f t="shared" si="29"/>
        <v>0</v>
      </c>
      <c r="H62" s="95">
        <f t="shared" si="29"/>
        <v>0</v>
      </c>
      <c r="I62" s="95">
        <f>I55-I59</f>
        <v>0</v>
      </c>
    </row>
    <row r="63" spans="1:9" ht="13.5" thickBot="1">
      <c r="A63" s="5"/>
      <c r="B63" s="5" t="s">
        <v>175</v>
      </c>
      <c r="C63" s="96">
        <f aca="true" t="shared" si="30" ref="C63:H63">(C62+C61)/2</f>
        <v>0</v>
      </c>
      <c r="D63" s="97">
        <f t="shared" si="30"/>
        <v>0</v>
      </c>
      <c r="E63" s="97">
        <f t="shared" si="30"/>
        <v>0</v>
      </c>
      <c r="F63" s="97">
        <f t="shared" si="30"/>
        <v>0</v>
      </c>
      <c r="G63" s="97">
        <f t="shared" si="30"/>
        <v>0</v>
      </c>
      <c r="H63" s="97">
        <f t="shared" si="30"/>
        <v>0</v>
      </c>
      <c r="I63" s="97">
        <f>(I62+I61)/2</f>
        <v>0</v>
      </c>
    </row>
    <row r="64" spans="1:9" ht="12.75">
      <c r="A64" s="5"/>
      <c r="B64" s="5"/>
      <c r="C64" s="70"/>
      <c r="D64" s="70"/>
      <c r="E64" s="5"/>
      <c r="F64" s="5"/>
      <c r="G64" s="5"/>
      <c r="H64" s="5"/>
      <c r="I64" s="5"/>
    </row>
    <row r="65" spans="1:9" ht="12.75">
      <c r="A65" s="5"/>
      <c r="B65" s="5"/>
      <c r="C65" s="24">
        <f aca="true" t="shared" si="31" ref="C65:H66">C50</f>
        <v>2006</v>
      </c>
      <c r="D65" s="24">
        <f t="shared" si="31"/>
        <v>2007</v>
      </c>
      <c r="E65" s="24">
        <f t="shared" si="31"/>
        <v>2008</v>
      </c>
      <c r="F65" s="24">
        <f t="shared" si="31"/>
        <v>2009</v>
      </c>
      <c r="G65" s="24">
        <f t="shared" si="31"/>
        <v>2010</v>
      </c>
      <c r="H65" s="24">
        <f t="shared" si="31"/>
        <v>2011</v>
      </c>
      <c r="I65" s="24" t="str">
        <f>I50</f>
        <v>Later</v>
      </c>
    </row>
    <row r="66" spans="1:9" ht="18">
      <c r="A66" s="5"/>
      <c r="B66" s="28" t="s">
        <v>179</v>
      </c>
      <c r="C66" s="24" t="str">
        <f t="shared" si="31"/>
        <v>Audited Actual</v>
      </c>
      <c r="D66" s="24" t="str">
        <f t="shared" si="31"/>
        <v>Audited Actual</v>
      </c>
      <c r="E66" s="24" t="str">
        <f t="shared" si="31"/>
        <v>Actual</v>
      </c>
      <c r="F66" s="24" t="str">
        <f t="shared" si="31"/>
        <v>Forecasted</v>
      </c>
      <c r="G66" s="24" t="str">
        <f t="shared" si="31"/>
        <v>Forecasted</v>
      </c>
      <c r="H66" s="24" t="str">
        <f t="shared" si="31"/>
        <v>Forecasted</v>
      </c>
      <c r="I66" s="24" t="str">
        <f>I51</f>
        <v>Forecasted</v>
      </c>
    </row>
    <row r="67" spans="1:9" ht="12.75">
      <c r="A67" s="5"/>
      <c r="B67" s="5"/>
      <c r="C67" s="5"/>
      <c r="D67" s="5"/>
      <c r="E67" s="5"/>
      <c r="F67" s="5"/>
      <c r="G67" s="5"/>
      <c r="H67" s="5"/>
      <c r="I67" s="5"/>
    </row>
    <row r="68" spans="1:9" ht="12.75">
      <c r="A68" s="5"/>
      <c r="B68" s="5" t="s">
        <v>169</v>
      </c>
      <c r="C68" s="76">
        <v>0</v>
      </c>
      <c r="D68" s="76">
        <f aca="true" t="shared" si="32" ref="D68:I68">C70</f>
        <v>0</v>
      </c>
      <c r="E68" s="76">
        <f t="shared" si="32"/>
        <v>0</v>
      </c>
      <c r="F68" s="76">
        <f t="shared" si="32"/>
        <v>0</v>
      </c>
      <c r="G68" s="76">
        <f t="shared" si="32"/>
        <v>0</v>
      </c>
      <c r="H68" s="76">
        <f t="shared" si="32"/>
        <v>0</v>
      </c>
      <c r="I68" s="76">
        <f t="shared" si="32"/>
        <v>0</v>
      </c>
    </row>
    <row r="69" spans="1:9" ht="12.75">
      <c r="A69" s="5"/>
      <c r="B69" s="5" t="s">
        <v>207</v>
      </c>
      <c r="C69" s="81">
        <f>'3.  LDC Assumptions and Data'!C35</f>
        <v>0</v>
      </c>
      <c r="D69" s="81">
        <f>'3.  LDC Assumptions and Data'!D35</f>
        <v>0</v>
      </c>
      <c r="E69" s="81">
        <f>'3.  LDC Assumptions and Data'!F35</f>
        <v>0</v>
      </c>
      <c r="F69" s="81">
        <f>'3.  LDC Assumptions and Data'!G35</f>
        <v>0</v>
      </c>
      <c r="G69" s="81">
        <f>'3.  LDC Assumptions and Data'!H35</f>
        <v>0</v>
      </c>
      <c r="H69" s="81">
        <f>'3.  LDC Assumptions and Data'!I35</f>
        <v>0</v>
      </c>
      <c r="I69" s="81">
        <f>'3.  LDC Assumptions and Data'!J35</f>
        <v>0</v>
      </c>
    </row>
    <row r="70" spans="1:9" ht="12.75">
      <c r="A70" s="5"/>
      <c r="B70" s="5" t="s">
        <v>170</v>
      </c>
      <c r="C70" s="76">
        <f aca="true" t="shared" si="33" ref="C70:H70">SUM(C68:C69)</f>
        <v>0</v>
      </c>
      <c r="D70" s="76">
        <f t="shared" si="33"/>
        <v>0</v>
      </c>
      <c r="E70" s="76">
        <f t="shared" si="33"/>
        <v>0</v>
      </c>
      <c r="F70" s="76">
        <f t="shared" si="33"/>
        <v>0</v>
      </c>
      <c r="G70" s="76">
        <f t="shared" si="33"/>
        <v>0</v>
      </c>
      <c r="H70" s="76">
        <f t="shared" si="33"/>
        <v>0</v>
      </c>
      <c r="I70" s="76">
        <f>SUM(I68:I69)</f>
        <v>0</v>
      </c>
    </row>
    <row r="71" spans="1:9" ht="12.75">
      <c r="A71" s="5"/>
      <c r="B71" s="5"/>
      <c r="C71" s="71"/>
      <c r="D71" s="71"/>
      <c r="E71" s="71"/>
      <c r="F71" s="71"/>
      <c r="G71" s="71"/>
      <c r="H71" s="71"/>
      <c r="I71" s="71"/>
    </row>
    <row r="72" spans="1:9" ht="12.75">
      <c r="A72" s="5"/>
      <c r="B72" s="5" t="s">
        <v>171</v>
      </c>
      <c r="C72" s="76">
        <v>0</v>
      </c>
      <c r="D72" s="76">
        <f aca="true" t="shared" si="34" ref="D72:I72">C74</f>
        <v>0</v>
      </c>
      <c r="E72" s="76">
        <f t="shared" si="34"/>
        <v>0</v>
      </c>
      <c r="F72" s="76">
        <f t="shared" si="34"/>
        <v>0</v>
      </c>
      <c r="G72" s="76">
        <f t="shared" si="34"/>
        <v>0</v>
      </c>
      <c r="H72" s="76">
        <f t="shared" si="34"/>
        <v>0</v>
      </c>
      <c r="I72" s="76">
        <f t="shared" si="34"/>
        <v>0</v>
      </c>
    </row>
    <row r="73" spans="1:9" ht="12.75">
      <c r="A73" s="5"/>
      <c r="B73" s="5" t="str">
        <f>"Amortization Year 1 ("&amp;'3.  LDC Assumptions and Data'!C64&amp;" Years Straight Line)"</f>
        <v>Amortization Year 1 (10 Years Straight Line)</v>
      </c>
      <c r="C73" s="57">
        <f>IF(C72+(C68/'3.  LDC Assumptions and Data'!C64)+(C69/'3.  LDC Assumptions and Data'!C64/2)&lt;C70,(C68/'3.  LDC Assumptions and Data'!C64)+(C69/'3.  LDC Assumptions and Data'!C64/2),C70-C72)</f>
        <v>0</v>
      </c>
      <c r="D73" s="57">
        <f>IF(D72+(D68/'3.  LDC Assumptions and Data'!C64)+(D69/'3.  LDC Assumptions and Data'!C64/2)&lt;D70,(D68/'3.  LDC Assumptions and Data'!C64)+(D69/'3.  LDC Assumptions and Data'!C64/2),D70-D72)</f>
        <v>0</v>
      </c>
      <c r="E73" s="57">
        <f>IF(E72+(E68/'3.  LDC Assumptions and Data'!C64)+(E69/'3.  LDC Assumptions and Data'!C64/2)&lt;E70,(E68/'3.  LDC Assumptions and Data'!C64)+(E69/'3.  LDC Assumptions and Data'!C64/2),E70-E72)</f>
        <v>0</v>
      </c>
      <c r="F73" s="57">
        <f>IF(F72+(F68/'3.  LDC Assumptions and Data'!C64)+(F69/'3.  LDC Assumptions and Data'!C64/2)&lt;F70,(F68/'3.  LDC Assumptions and Data'!C64)+(F69/'3.  LDC Assumptions and Data'!C64/2),F70-F72)</f>
        <v>0</v>
      </c>
      <c r="G73" s="57">
        <f>IF(G72+(G68/'3.  LDC Assumptions and Data'!C64)+(G69/'3.  LDC Assumptions and Data'!C64/2)&lt;G70,(G68/'3.  LDC Assumptions and Data'!C64)+(G69/'3.  LDC Assumptions and Data'!C64/2),G70-G72)</f>
        <v>0</v>
      </c>
      <c r="H73" s="57">
        <f>IF(H72+(H68/'3.  LDC Assumptions and Data'!D64)+(H69/'3.  LDC Assumptions and Data'!D64/2)&lt;H70,(H68/'3.  LDC Assumptions and Data'!D64)+(H69/'3.  LDC Assumptions and Data'!D64/2),H70-H72)</f>
        <v>0</v>
      </c>
      <c r="I73" s="57">
        <f>IF(I72+(I68/'3.  LDC Assumptions and Data'!E64)+(I69/'3.  LDC Assumptions and Data'!E64/2)&lt;I70,(I68/'3.  LDC Assumptions and Data'!E64)+(I69/'3.  LDC Assumptions and Data'!E64/2),I70-I72)</f>
        <v>0</v>
      </c>
    </row>
    <row r="74" spans="1:9" ht="12.75">
      <c r="A74" s="5"/>
      <c r="B74" s="5" t="s">
        <v>172</v>
      </c>
      <c r="C74" s="76">
        <f aca="true" t="shared" si="35" ref="C74:H74">SUM(C72:C73)</f>
        <v>0</v>
      </c>
      <c r="D74" s="76">
        <f t="shared" si="35"/>
        <v>0</v>
      </c>
      <c r="E74" s="76">
        <f t="shared" si="35"/>
        <v>0</v>
      </c>
      <c r="F74" s="76">
        <f t="shared" si="35"/>
        <v>0</v>
      </c>
      <c r="G74" s="76">
        <f t="shared" si="35"/>
        <v>0</v>
      </c>
      <c r="H74" s="76">
        <f t="shared" si="35"/>
        <v>0</v>
      </c>
      <c r="I74" s="76">
        <f>SUM(I72:I73)</f>
        <v>0</v>
      </c>
    </row>
    <row r="75" spans="1:9" ht="12.75">
      <c r="A75" s="5"/>
      <c r="B75" s="5"/>
      <c r="C75" s="71"/>
      <c r="D75" s="71"/>
      <c r="E75" s="71"/>
      <c r="F75" s="71"/>
      <c r="G75" s="71"/>
      <c r="H75" s="71"/>
      <c r="I75" s="71"/>
    </row>
    <row r="76" spans="1:9" ht="12.75">
      <c r="A76" s="5"/>
      <c r="B76" s="5" t="s">
        <v>173</v>
      </c>
      <c r="C76" s="57">
        <f>0</f>
        <v>0</v>
      </c>
      <c r="D76" s="57">
        <f aca="true" t="shared" si="36" ref="D76:I76">C77</f>
        <v>0</v>
      </c>
      <c r="E76" s="57">
        <f t="shared" si="36"/>
        <v>0</v>
      </c>
      <c r="F76" s="57">
        <f t="shared" si="36"/>
        <v>0</v>
      </c>
      <c r="G76" s="57">
        <f t="shared" si="36"/>
        <v>0</v>
      </c>
      <c r="H76" s="57">
        <f t="shared" si="36"/>
        <v>0</v>
      </c>
      <c r="I76" s="57">
        <f t="shared" si="36"/>
        <v>0</v>
      </c>
    </row>
    <row r="77" spans="1:9" ht="12.75">
      <c r="A77" s="5"/>
      <c r="B77" s="5" t="s">
        <v>174</v>
      </c>
      <c r="C77" s="76">
        <f aca="true" t="shared" si="37" ref="C77:H77">C70-C74</f>
        <v>0</v>
      </c>
      <c r="D77" s="95">
        <f t="shared" si="37"/>
        <v>0</v>
      </c>
      <c r="E77" s="95">
        <f t="shared" si="37"/>
        <v>0</v>
      </c>
      <c r="F77" s="95">
        <f t="shared" si="37"/>
        <v>0</v>
      </c>
      <c r="G77" s="95">
        <f t="shared" si="37"/>
        <v>0</v>
      </c>
      <c r="H77" s="95">
        <f t="shared" si="37"/>
        <v>0</v>
      </c>
      <c r="I77" s="95">
        <f>I70-I74</f>
        <v>0</v>
      </c>
    </row>
    <row r="78" spans="1:9" ht="13.5" thickBot="1">
      <c r="A78" s="5"/>
      <c r="B78" s="5" t="s">
        <v>175</v>
      </c>
      <c r="C78" s="96">
        <f aca="true" t="shared" si="38" ref="C78:H78">(C77+C76)/2</f>
        <v>0</v>
      </c>
      <c r="D78" s="97">
        <f t="shared" si="38"/>
        <v>0</v>
      </c>
      <c r="E78" s="97">
        <f t="shared" si="38"/>
        <v>0</v>
      </c>
      <c r="F78" s="97">
        <f t="shared" si="38"/>
        <v>0</v>
      </c>
      <c r="G78" s="97">
        <f t="shared" si="38"/>
        <v>0</v>
      </c>
      <c r="H78" s="97">
        <f t="shared" si="38"/>
        <v>0</v>
      </c>
      <c r="I78" s="97">
        <f>(I77+I76)/2</f>
        <v>0</v>
      </c>
    </row>
    <row r="79" spans="1:9" ht="12.75">
      <c r="A79" s="5"/>
      <c r="B79" s="5"/>
      <c r="C79" s="70"/>
      <c r="D79" s="70"/>
      <c r="E79" s="5"/>
      <c r="F79" s="5"/>
      <c r="G79" s="5"/>
      <c r="H79" s="5"/>
      <c r="I79" s="5"/>
    </row>
    <row r="80" spans="1:9" ht="12.75">
      <c r="A80" s="5"/>
      <c r="B80" s="5"/>
      <c r="C80" s="70"/>
      <c r="D80" s="70"/>
      <c r="E80" s="5"/>
      <c r="F80" s="5"/>
      <c r="G80" s="5"/>
      <c r="H80" s="5"/>
      <c r="I80" s="5"/>
    </row>
    <row r="81" spans="1:9" ht="26.25">
      <c r="A81" s="5"/>
      <c r="B81" s="63" t="s">
        <v>180</v>
      </c>
      <c r="C81" s="70"/>
      <c r="D81" s="70"/>
      <c r="E81" s="5"/>
      <c r="F81" s="5"/>
      <c r="G81" s="5"/>
      <c r="H81" s="5"/>
      <c r="I81" s="5"/>
    </row>
    <row r="82" spans="1:9" ht="12.75">
      <c r="A82" s="5"/>
      <c r="B82" s="5"/>
      <c r="C82" s="70"/>
      <c r="D82" s="70"/>
      <c r="E82" s="5"/>
      <c r="F82" s="5"/>
      <c r="G82" s="5"/>
      <c r="H82" s="5"/>
      <c r="I82" s="5"/>
    </row>
    <row r="83" spans="1:9" ht="18">
      <c r="A83" s="5"/>
      <c r="B83" s="28" t="s">
        <v>181</v>
      </c>
      <c r="C83" s="24">
        <f aca="true" t="shared" si="39" ref="C83:H84">C65</f>
        <v>2006</v>
      </c>
      <c r="D83" s="24">
        <f t="shared" si="39"/>
        <v>2007</v>
      </c>
      <c r="E83" s="24">
        <f t="shared" si="39"/>
        <v>2008</v>
      </c>
      <c r="F83" s="24">
        <f t="shared" si="39"/>
        <v>2009</v>
      </c>
      <c r="G83" s="24">
        <f t="shared" si="39"/>
        <v>2010</v>
      </c>
      <c r="H83" s="24">
        <f t="shared" si="39"/>
        <v>2011</v>
      </c>
      <c r="I83" s="24" t="str">
        <f>I65</f>
        <v>Later</v>
      </c>
    </row>
    <row r="84" spans="1:9" ht="12.75">
      <c r="A84" s="5"/>
      <c r="B84" s="5"/>
      <c r="C84" s="24" t="str">
        <f t="shared" si="39"/>
        <v>Audited Actual</v>
      </c>
      <c r="D84" s="24" t="str">
        <f t="shared" si="39"/>
        <v>Audited Actual</v>
      </c>
      <c r="E84" s="24" t="str">
        <f t="shared" si="39"/>
        <v>Actual</v>
      </c>
      <c r="F84" s="24" t="str">
        <f t="shared" si="39"/>
        <v>Forecasted</v>
      </c>
      <c r="G84" s="24" t="str">
        <f t="shared" si="39"/>
        <v>Forecasted</v>
      </c>
      <c r="H84" s="24" t="str">
        <f t="shared" si="39"/>
        <v>Forecasted</v>
      </c>
      <c r="I84" s="24" t="str">
        <f>I66</f>
        <v>Forecasted</v>
      </c>
    </row>
    <row r="85" spans="1:9" ht="12.75">
      <c r="A85" s="5"/>
      <c r="B85" s="5"/>
      <c r="C85" s="5"/>
      <c r="D85" s="5"/>
      <c r="E85" s="5"/>
      <c r="F85" s="5"/>
      <c r="G85" s="5"/>
      <c r="H85" s="5"/>
      <c r="I85" s="5"/>
    </row>
    <row r="86" spans="1:9" ht="12.75">
      <c r="A86" s="5"/>
      <c r="B86" s="5" t="s">
        <v>182</v>
      </c>
      <c r="C86" s="76">
        <v>0</v>
      </c>
      <c r="D86" s="76">
        <f aca="true" t="shared" si="40" ref="D86:I86">C88-C93</f>
        <v>0</v>
      </c>
      <c r="E86" s="76">
        <f t="shared" si="40"/>
        <v>0</v>
      </c>
      <c r="F86" s="76">
        <f t="shared" si="40"/>
        <v>0</v>
      </c>
      <c r="G86" s="76">
        <f t="shared" si="40"/>
        <v>0</v>
      </c>
      <c r="H86" s="76">
        <f t="shared" si="40"/>
        <v>2578985.069560466</v>
      </c>
      <c r="I86" s="76">
        <f t="shared" si="40"/>
        <v>2394385.4608275495</v>
      </c>
    </row>
    <row r="87" spans="1:9" ht="12.75">
      <c r="A87" s="5"/>
      <c r="B87" s="5" t="s">
        <v>183</v>
      </c>
      <c r="C87" s="57">
        <f aca="true" t="shared" si="41" ref="C87:H87">C9</f>
        <v>0</v>
      </c>
      <c r="D87" s="57">
        <f t="shared" si="41"/>
        <v>0</v>
      </c>
      <c r="E87" s="57">
        <f t="shared" si="41"/>
        <v>0</v>
      </c>
      <c r="F87" s="57">
        <f t="shared" si="41"/>
        <v>0</v>
      </c>
      <c r="G87" s="57">
        <f t="shared" si="41"/>
        <v>2686442.780792152</v>
      </c>
      <c r="H87" s="57">
        <f t="shared" si="41"/>
        <v>22624.163366584322</v>
      </c>
      <c r="I87" s="57">
        <f>I9</f>
        <v>45248.326733168644</v>
      </c>
    </row>
    <row r="88" spans="1:9" ht="12.75">
      <c r="A88" s="5"/>
      <c r="B88" s="5" t="s">
        <v>184</v>
      </c>
      <c r="C88" s="76">
        <f aca="true" t="shared" si="42" ref="C88:H88">SUM(C86:C87)</f>
        <v>0</v>
      </c>
      <c r="D88" s="76">
        <f t="shared" si="42"/>
        <v>0</v>
      </c>
      <c r="E88" s="76">
        <f t="shared" si="42"/>
        <v>0</v>
      </c>
      <c r="F88" s="76">
        <f t="shared" si="42"/>
        <v>0</v>
      </c>
      <c r="G88" s="76">
        <f t="shared" si="42"/>
        <v>2686442.780792152</v>
      </c>
      <c r="H88" s="76">
        <f t="shared" si="42"/>
        <v>2601609.23292705</v>
      </c>
      <c r="I88" s="76">
        <f>SUM(I86:I87)</f>
        <v>2439633.787560718</v>
      </c>
    </row>
    <row r="89" spans="1:9" ht="12.75">
      <c r="A89" s="5"/>
      <c r="B89" s="5" t="s">
        <v>185</v>
      </c>
      <c r="C89" s="57">
        <f aca="true" t="shared" si="43" ref="C89:H89">SUM(C87:C87)/2</f>
        <v>0</v>
      </c>
      <c r="D89" s="57">
        <f t="shared" si="43"/>
        <v>0</v>
      </c>
      <c r="E89" s="57">
        <f t="shared" si="43"/>
        <v>0</v>
      </c>
      <c r="F89" s="57">
        <f t="shared" si="43"/>
        <v>0</v>
      </c>
      <c r="G89" s="57">
        <f t="shared" si="43"/>
        <v>1343221.390396076</v>
      </c>
      <c r="H89" s="57">
        <f t="shared" si="43"/>
        <v>11312.081683292161</v>
      </c>
      <c r="I89" s="57">
        <f>SUM(I87:I87)/2</f>
        <v>22624.163366584322</v>
      </c>
    </row>
    <row r="90" spans="1:9" ht="12.75">
      <c r="A90" s="5"/>
      <c r="B90" s="5" t="s">
        <v>186</v>
      </c>
      <c r="C90" s="76">
        <f aca="true" t="shared" si="44" ref="C90:H90">C86+C89</f>
        <v>0</v>
      </c>
      <c r="D90" s="76">
        <f t="shared" si="44"/>
        <v>0</v>
      </c>
      <c r="E90" s="76">
        <f t="shared" si="44"/>
        <v>0</v>
      </c>
      <c r="F90" s="76">
        <f t="shared" si="44"/>
        <v>0</v>
      </c>
      <c r="G90" s="76">
        <f t="shared" si="44"/>
        <v>1343221.390396076</v>
      </c>
      <c r="H90" s="76">
        <f t="shared" si="44"/>
        <v>2590297.151243758</v>
      </c>
      <c r="I90" s="76">
        <f>I86+I89</f>
        <v>2417009.6241941336</v>
      </c>
    </row>
    <row r="91" spans="1:9" ht="12.75">
      <c r="A91" s="5"/>
      <c r="B91" s="5" t="s">
        <v>228</v>
      </c>
      <c r="C91" s="134">
        <f>'3.  LDC Assumptions and Data'!C68</f>
        <v>47</v>
      </c>
      <c r="D91" s="134">
        <f>'3.  LDC Assumptions and Data'!D68</f>
        <v>47</v>
      </c>
      <c r="E91" s="134">
        <f>'3.  LDC Assumptions and Data'!E68</f>
        <v>47</v>
      </c>
      <c r="F91" s="134">
        <f>'3.  LDC Assumptions and Data'!F68</f>
        <v>47</v>
      </c>
      <c r="G91" s="134">
        <f>'3.  LDC Assumptions and Data'!G68</f>
        <v>47</v>
      </c>
      <c r="H91" s="134">
        <f>'3.  LDC Assumptions and Data'!H68</f>
        <v>47</v>
      </c>
      <c r="I91" s="134">
        <f>'3.  LDC Assumptions and Data'!I68</f>
        <v>47</v>
      </c>
    </row>
    <row r="92" spans="1:9" ht="12.75">
      <c r="A92" s="5"/>
      <c r="B92" s="5" t="s">
        <v>229</v>
      </c>
      <c r="C92" s="135">
        <f>'3.  LDC Assumptions and Data'!C69</f>
        <v>0.08</v>
      </c>
      <c r="D92" s="135">
        <f>'3.  LDC Assumptions and Data'!D69</f>
        <v>0.08</v>
      </c>
      <c r="E92" s="135">
        <f>'3.  LDC Assumptions and Data'!E69</f>
        <v>0.08</v>
      </c>
      <c r="F92" s="135">
        <f>'3.  LDC Assumptions and Data'!F69</f>
        <v>0.08</v>
      </c>
      <c r="G92" s="135">
        <f>'3.  LDC Assumptions and Data'!G69</f>
        <v>0.08</v>
      </c>
      <c r="H92" s="135">
        <f>'3.  LDC Assumptions and Data'!H69</f>
        <v>0.08</v>
      </c>
      <c r="I92" s="135">
        <f>'3.  LDC Assumptions and Data'!I69</f>
        <v>0.08</v>
      </c>
    </row>
    <row r="93" spans="1:9" ht="12.75">
      <c r="A93" s="5"/>
      <c r="B93" s="5" t="s">
        <v>187</v>
      </c>
      <c r="C93" s="76">
        <f aca="true" t="shared" si="45" ref="C93:I93">IF((C90*C92)&lt;C90,(C90*C92),C90)</f>
        <v>0</v>
      </c>
      <c r="D93" s="76">
        <f t="shared" si="45"/>
        <v>0</v>
      </c>
      <c r="E93" s="76">
        <f t="shared" si="45"/>
        <v>0</v>
      </c>
      <c r="F93" s="76">
        <f t="shared" si="45"/>
        <v>0</v>
      </c>
      <c r="G93" s="76">
        <f t="shared" si="45"/>
        <v>107457.71123168609</v>
      </c>
      <c r="H93" s="76">
        <f t="shared" si="45"/>
        <v>207223.77209950064</v>
      </c>
      <c r="I93" s="76">
        <f t="shared" si="45"/>
        <v>193360.7699355307</v>
      </c>
    </row>
    <row r="94" spans="1:9" ht="13.5" thickBot="1">
      <c r="A94" s="5"/>
      <c r="B94" s="5" t="s">
        <v>188</v>
      </c>
      <c r="C94" s="96">
        <f aca="true" t="shared" si="46" ref="C94:H94">IF((C88-C93)&lt;0,0,(C88-C93))</f>
        <v>0</v>
      </c>
      <c r="D94" s="96">
        <f t="shared" si="46"/>
        <v>0</v>
      </c>
      <c r="E94" s="96">
        <f t="shared" si="46"/>
        <v>0</v>
      </c>
      <c r="F94" s="96">
        <f t="shared" si="46"/>
        <v>0</v>
      </c>
      <c r="G94" s="96">
        <f t="shared" si="46"/>
        <v>2578985.069560466</v>
      </c>
      <c r="H94" s="96">
        <f t="shared" si="46"/>
        <v>2394385.4608275495</v>
      </c>
      <c r="I94" s="96">
        <f>IF((I88-I93)&lt;0,0,(I88-I93))</f>
        <v>2246273.0176251875</v>
      </c>
    </row>
    <row r="95" spans="1:9" ht="12.75">
      <c r="A95" s="5"/>
      <c r="B95" s="5"/>
      <c r="C95" s="5"/>
      <c r="D95" s="5"/>
      <c r="E95" s="5"/>
      <c r="F95" s="5"/>
      <c r="G95" s="5"/>
      <c r="H95" s="5"/>
      <c r="I95" s="5"/>
    </row>
    <row r="96" spans="1:9" ht="18">
      <c r="A96" s="5"/>
      <c r="B96" s="28" t="s">
        <v>189</v>
      </c>
      <c r="C96" s="24">
        <f aca="true" t="shared" si="47" ref="C96:H97">C83</f>
        <v>2006</v>
      </c>
      <c r="D96" s="24">
        <f t="shared" si="47"/>
        <v>2007</v>
      </c>
      <c r="E96" s="24">
        <f t="shared" si="47"/>
        <v>2008</v>
      </c>
      <c r="F96" s="24">
        <f t="shared" si="47"/>
        <v>2009</v>
      </c>
      <c r="G96" s="24">
        <f t="shared" si="47"/>
        <v>2010</v>
      </c>
      <c r="H96" s="24">
        <f t="shared" si="47"/>
        <v>2011</v>
      </c>
      <c r="I96" s="24" t="str">
        <f>I83</f>
        <v>Later</v>
      </c>
    </row>
    <row r="97" spans="1:9" ht="12.75">
      <c r="A97" s="5"/>
      <c r="B97" s="5"/>
      <c r="C97" s="24" t="str">
        <f t="shared" si="47"/>
        <v>Audited Actual</v>
      </c>
      <c r="D97" s="24" t="str">
        <f t="shared" si="47"/>
        <v>Audited Actual</v>
      </c>
      <c r="E97" s="24" t="str">
        <f t="shared" si="47"/>
        <v>Actual</v>
      </c>
      <c r="F97" s="24" t="str">
        <f t="shared" si="47"/>
        <v>Forecasted</v>
      </c>
      <c r="G97" s="24" t="str">
        <f t="shared" si="47"/>
        <v>Forecasted</v>
      </c>
      <c r="H97" s="24" t="str">
        <f t="shared" si="47"/>
        <v>Forecasted</v>
      </c>
      <c r="I97" s="24" t="str">
        <f>I84</f>
        <v>Forecasted</v>
      </c>
    </row>
    <row r="98" spans="1:9" ht="12.75">
      <c r="A98" s="5"/>
      <c r="B98" s="5"/>
      <c r="C98" s="5"/>
      <c r="D98" s="5"/>
      <c r="E98" s="5"/>
      <c r="F98" s="5"/>
      <c r="G98" s="5"/>
      <c r="H98" s="5"/>
      <c r="I98" s="5"/>
    </row>
    <row r="99" spans="1:9" ht="12.75">
      <c r="A99" s="5"/>
      <c r="B99" s="5" t="s">
        <v>182</v>
      </c>
      <c r="C99" s="76">
        <v>0</v>
      </c>
      <c r="D99" s="76">
        <f aca="true" t="shared" si="48" ref="D99:I99">C108</f>
        <v>0</v>
      </c>
      <c r="E99" s="76">
        <f t="shared" si="48"/>
        <v>0</v>
      </c>
      <c r="F99" s="76">
        <f t="shared" si="48"/>
        <v>0</v>
      </c>
      <c r="G99" s="76">
        <f t="shared" si="48"/>
        <v>0</v>
      </c>
      <c r="H99" s="76">
        <f t="shared" si="48"/>
        <v>406527.5796</v>
      </c>
      <c r="I99" s="76">
        <f t="shared" si="48"/>
        <v>182937.41082</v>
      </c>
    </row>
    <row r="100" spans="1:9" ht="12.75">
      <c r="A100" s="5"/>
      <c r="B100" s="5" t="s">
        <v>190</v>
      </c>
      <c r="C100" s="57">
        <f aca="true" t="shared" si="49" ref="C100:H100">C24</f>
        <v>0</v>
      </c>
      <c r="D100" s="57">
        <f t="shared" si="49"/>
        <v>0</v>
      </c>
      <c r="E100" s="57">
        <f t="shared" si="49"/>
        <v>0</v>
      </c>
      <c r="F100" s="57">
        <f t="shared" si="49"/>
        <v>0</v>
      </c>
      <c r="G100" s="57">
        <f t="shared" si="49"/>
        <v>16558.7328</v>
      </c>
      <c r="H100" s="57">
        <f t="shared" si="49"/>
        <v>0</v>
      </c>
      <c r="I100" s="57">
        <f>I24</f>
        <v>0</v>
      </c>
    </row>
    <row r="101" spans="1:9" ht="12.75">
      <c r="A101" s="5"/>
      <c r="B101" s="5" t="s">
        <v>191</v>
      </c>
      <c r="C101" s="57">
        <f aca="true" t="shared" si="50" ref="C101:H101">C39</f>
        <v>0</v>
      </c>
      <c r="D101" s="57">
        <f t="shared" si="50"/>
        <v>0</v>
      </c>
      <c r="E101" s="57">
        <f t="shared" si="50"/>
        <v>0</v>
      </c>
      <c r="F101" s="57">
        <f t="shared" si="50"/>
        <v>0</v>
      </c>
      <c r="G101" s="57">
        <f t="shared" si="50"/>
        <v>544168.9632</v>
      </c>
      <c r="H101" s="57">
        <f t="shared" si="50"/>
        <v>0</v>
      </c>
      <c r="I101" s="57">
        <f>I39</f>
        <v>0</v>
      </c>
    </row>
    <row r="102" spans="1:9" ht="12.75">
      <c r="A102" s="5"/>
      <c r="B102" s="5" t="s">
        <v>184</v>
      </c>
      <c r="C102" s="76">
        <f aca="true" t="shared" si="51" ref="C102:H102">SUM(C99:C101)</f>
        <v>0</v>
      </c>
      <c r="D102" s="76">
        <f t="shared" si="51"/>
        <v>0</v>
      </c>
      <c r="E102" s="76">
        <f t="shared" si="51"/>
        <v>0</v>
      </c>
      <c r="F102" s="76">
        <f t="shared" si="51"/>
        <v>0</v>
      </c>
      <c r="G102" s="76">
        <f t="shared" si="51"/>
        <v>560727.696</v>
      </c>
      <c r="H102" s="76">
        <f t="shared" si="51"/>
        <v>406527.5796</v>
      </c>
      <c r="I102" s="76">
        <f>SUM(I99:I101)</f>
        <v>182937.41082</v>
      </c>
    </row>
    <row r="103" spans="1:9" ht="12.75">
      <c r="A103" s="5"/>
      <c r="B103" s="5" t="s">
        <v>185</v>
      </c>
      <c r="C103" s="57">
        <f aca="true" t="shared" si="52" ref="C103:H103">SUM(C100:C101)/2</f>
        <v>0</v>
      </c>
      <c r="D103" s="57">
        <f t="shared" si="52"/>
        <v>0</v>
      </c>
      <c r="E103" s="57">
        <f t="shared" si="52"/>
        <v>0</v>
      </c>
      <c r="F103" s="57">
        <f t="shared" si="52"/>
        <v>0</v>
      </c>
      <c r="G103" s="57">
        <f t="shared" si="52"/>
        <v>280363.848</v>
      </c>
      <c r="H103" s="57">
        <f t="shared" si="52"/>
        <v>0</v>
      </c>
      <c r="I103" s="57">
        <f>SUM(I100:I101)/2</f>
        <v>0</v>
      </c>
    </row>
    <row r="104" spans="1:9" ht="12.75">
      <c r="A104" s="5"/>
      <c r="B104" s="5" t="s">
        <v>186</v>
      </c>
      <c r="C104" s="76">
        <f aca="true" t="shared" si="53" ref="C104:H104">C99+C103</f>
        <v>0</v>
      </c>
      <c r="D104" s="76">
        <f t="shared" si="53"/>
        <v>0</v>
      </c>
      <c r="E104" s="76">
        <f t="shared" si="53"/>
        <v>0</v>
      </c>
      <c r="F104" s="76">
        <f t="shared" si="53"/>
        <v>0</v>
      </c>
      <c r="G104" s="76">
        <f t="shared" si="53"/>
        <v>280363.848</v>
      </c>
      <c r="H104" s="76">
        <f t="shared" si="53"/>
        <v>406527.5796</v>
      </c>
      <c r="I104" s="76">
        <f>I99+I103</f>
        <v>182937.41082</v>
      </c>
    </row>
    <row r="105" spans="1:9" ht="12.75">
      <c r="A105" s="5"/>
      <c r="B105" s="5" t="s">
        <v>228</v>
      </c>
      <c r="C105" s="134">
        <f>'3.  LDC Assumptions and Data'!C71</f>
        <v>45</v>
      </c>
      <c r="D105" s="134">
        <f>'3.  LDC Assumptions and Data'!D71</f>
        <v>50</v>
      </c>
      <c r="E105" s="134">
        <f>'3.  LDC Assumptions and Data'!E71</f>
        <v>50</v>
      </c>
      <c r="F105" s="134">
        <f>'3.  LDC Assumptions and Data'!F71</f>
        <v>50</v>
      </c>
      <c r="G105" s="134">
        <f>'3.  LDC Assumptions and Data'!G71</f>
        <v>50</v>
      </c>
      <c r="H105" s="134">
        <f>'3.  LDC Assumptions and Data'!H71</f>
        <v>50</v>
      </c>
      <c r="I105" s="134">
        <f>'3.  LDC Assumptions and Data'!I71</f>
        <v>50</v>
      </c>
    </row>
    <row r="106" spans="1:9" ht="12.75">
      <c r="A106" s="5"/>
      <c r="B106" s="5" t="s">
        <v>229</v>
      </c>
      <c r="C106" s="135">
        <f>'3.  LDC Assumptions and Data'!C72</f>
        <v>0.45</v>
      </c>
      <c r="D106" s="135">
        <f>'3.  LDC Assumptions and Data'!D72</f>
        <v>0.55</v>
      </c>
      <c r="E106" s="135">
        <f>'3.  LDC Assumptions and Data'!E72</f>
        <v>0.55</v>
      </c>
      <c r="F106" s="135">
        <f>'3.  LDC Assumptions and Data'!F72</f>
        <v>0.55</v>
      </c>
      <c r="G106" s="135">
        <f>'3.  LDC Assumptions and Data'!G72</f>
        <v>0.55</v>
      </c>
      <c r="H106" s="135">
        <f>'3.  LDC Assumptions and Data'!H72</f>
        <v>0.55</v>
      </c>
      <c r="I106" s="135">
        <f>'3.  LDC Assumptions and Data'!I72</f>
        <v>0.55</v>
      </c>
    </row>
    <row r="107" spans="1:9" ht="12.75">
      <c r="A107" s="5"/>
      <c r="B107" s="5" t="s">
        <v>187</v>
      </c>
      <c r="C107" s="76">
        <f aca="true" t="shared" si="54" ref="C107:H107">IF((C104*C106)&lt;C104,(C104*C106),C104)</f>
        <v>0</v>
      </c>
      <c r="D107" s="76">
        <f t="shared" si="54"/>
        <v>0</v>
      </c>
      <c r="E107" s="76">
        <f t="shared" si="54"/>
        <v>0</v>
      </c>
      <c r="F107" s="76">
        <f t="shared" si="54"/>
        <v>0</v>
      </c>
      <c r="G107" s="76">
        <f>IF((G104*G106)&lt;G104,(G104*G106),G104)</f>
        <v>154200.1164</v>
      </c>
      <c r="H107" s="76">
        <f t="shared" si="54"/>
        <v>223590.16878</v>
      </c>
      <c r="I107" s="76">
        <f>IF((I104*I106)&lt;I104,(I104*I106),I104)</f>
        <v>100615.575951</v>
      </c>
    </row>
    <row r="108" spans="1:9" ht="13.5" thickBot="1">
      <c r="A108" s="5"/>
      <c r="B108" s="5" t="s">
        <v>188</v>
      </c>
      <c r="C108" s="96">
        <f aca="true" t="shared" si="55" ref="C108:H108">IF((C102-C107)&lt;0,0,(C102-C107))</f>
        <v>0</v>
      </c>
      <c r="D108" s="96">
        <f t="shared" si="55"/>
        <v>0</v>
      </c>
      <c r="E108" s="96">
        <f t="shared" si="55"/>
        <v>0</v>
      </c>
      <c r="F108" s="96">
        <f t="shared" si="55"/>
        <v>0</v>
      </c>
      <c r="G108" s="96">
        <f t="shared" si="55"/>
        <v>406527.5796</v>
      </c>
      <c r="H108" s="96">
        <f t="shared" si="55"/>
        <v>182937.41082</v>
      </c>
      <c r="I108" s="96">
        <f>IF((I102-I107)&lt;0,0,(I102-I107))</f>
        <v>82321.83486899998</v>
      </c>
    </row>
    <row r="110" spans="1:9" ht="18">
      <c r="A110" s="5"/>
      <c r="B110" s="28" t="s">
        <v>192</v>
      </c>
      <c r="C110" s="24">
        <f aca="true" t="shared" si="56" ref="C110:H111">C96</f>
        <v>2006</v>
      </c>
      <c r="D110" s="24">
        <f t="shared" si="56"/>
        <v>2007</v>
      </c>
      <c r="E110" s="24">
        <f t="shared" si="56"/>
        <v>2008</v>
      </c>
      <c r="F110" s="24">
        <f t="shared" si="56"/>
        <v>2009</v>
      </c>
      <c r="G110" s="24">
        <f t="shared" si="56"/>
        <v>2010</v>
      </c>
      <c r="H110" s="24">
        <f t="shared" si="56"/>
        <v>2011</v>
      </c>
      <c r="I110" s="24" t="str">
        <f>I96</f>
        <v>Later</v>
      </c>
    </row>
    <row r="111" spans="1:9" ht="12.75">
      <c r="A111" s="5"/>
      <c r="B111" s="5"/>
      <c r="C111" s="24" t="str">
        <f t="shared" si="56"/>
        <v>Audited Actual</v>
      </c>
      <c r="D111" s="24" t="str">
        <f t="shared" si="56"/>
        <v>Audited Actual</v>
      </c>
      <c r="E111" s="24" t="str">
        <f t="shared" si="56"/>
        <v>Actual</v>
      </c>
      <c r="F111" s="24" t="str">
        <f t="shared" si="56"/>
        <v>Forecasted</v>
      </c>
      <c r="G111" s="24" t="str">
        <f t="shared" si="56"/>
        <v>Forecasted</v>
      </c>
      <c r="H111" s="24" t="str">
        <f t="shared" si="56"/>
        <v>Forecasted</v>
      </c>
      <c r="I111" s="24" t="str">
        <f>I97</f>
        <v>Forecasted</v>
      </c>
    </row>
    <row r="112" spans="1:9" ht="12.75">
      <c r="A112" s="5"/>
      <c r="B112" s="5"/>
      <c r="C112" s="5"/>
      <c r="D112" s="5"/>
      <c r="E112" s="5"/>
      <c r="F112" s="5"/>
      <c r="G112" s="5"/>
      <c r="H112" s="5"/>
      <c r="I112" s="5"/>
    </row>
    <row r="113" spans="1:9" ht="12.75">
      <c r="A113" s="5"/>
      <c r="B113" s="5" t="s">
        <v>182</v>
      </c>
      <c r="C113" s="76">
        <v>0</v>
      </c>
      <c r="D113" s="76">
        <f aca="true" t="shared" si="57" ref="D113:I113">C122</f>
        <v>0</v>
      </c>
      <c r="E113" s="76">
        <f t="shared" si="57"/>
        <v>0</v>
      </c>
      <c r="F113" s="76">
        <f t="shared" si="57"/>
        <v>0</v>
      </c>
      <c r="G113" s="76">
        <f t="shared" si="57"/>
        <v>0</v>
      </c>
      <c r="H113" s="76">
        <f t="shared" si="57"/>
        <v>0</v>
      </c>
      <c r="I113" s="76">
        <f t="shared" si="57"/>
        <v>0</v>
      </c>
    </row>
    <row r="114" spans="1:9" ht="12.75">
      <c r="A114" s="5"/>
      <c r="B114" s="5" t="s">
        <v>193</v>
      </c>
      <c r="C114" s="57">
        <f aca="true" t="shared" si="58" ref="C114:H114">C54</f>
        <v>0</v>
      </c>
      <c r="D114" s="57">
        <f t="shared" si="58"/>
        <v>0</v>
      </c>
      <c r="E114" s="57">
        <f t="shared" si="58"/>
        <v>0</v>
      </c>
      <c r="F114" s="57">
        <f t="shared" si="58"/>
        <v>0</v>
      </c>
      <c r="G114" s="57">
        <f t="shared" si="58"/>
        <v>0</v>
      </c>
      <c r="H114" s="57">
        <f t="shared" si="58"/>
        <v>0</v>
      </c>
      <c r="I114" s="57">
        <f>I54</f>
        <v>0</v>
      </c>
    </row>
    <row r="115" spans="1:9" ht="12.75">
      <c r="A115" s="5"/>
      <c r="B115" s="5" t="s">
        <v>194</v>
      </c>
      <c r="C115" s="57">
        <f aca="true" t="shared" si="59" ref="C115:H115">C69</f>
        <v>0</v>
      </c>
      <c r="D115" s="57">
        <f t="shared" si="59"/>
        <v>0</v>
      </c>
      <c r="E115" s="57">
        <f t="shared" si="59"/>
        <v>0</v>
      </c>
      <c r="F115" s="57">
        <f t="shared" si="59"/>
        <v>0</v>
      </c>
      <c r="G115" s="57">
        <f t="shared" si="59"/>
        <v>0</v>
      </c>
      <c r="H115" s="57">
        <f t="shared" si="59"/>
        <v>0</v>
      </c>
      <c r="I115" s="57">
        <f>I69</f>
        <v>0</v>
      </c>
    </row>
    <row r="116" spans="1:9" ht="12.75">
      <c r="A116" s="5"/>
      <c r="B116" s="5" t="s">
        <v>184</v>
      </c>
      <c r="C116" s="76">
        <f aca="true" t="shared" si="60" ref="C116:H116">SUM(C113:C115)</f>
        <v>0</v>
      </c>
      <c r="D116" s="76">
        <f t="shared" si="60"/>
        <v>0</v>
      </c>
      <c r="E116" s="76">
        <f t="shared" si="60"/>
        <v>0</v>
      </c>
      <c r="F116" s="76">
        <f t="shared" si="60"/>
        <v>0</v>
      </c>
      <c r="G116" s="76">
        <f t="shared" si="60"/>
        <v>0</v>
      </c>
      <c r="H116" s="76">
        <f t="shared" si="60"/>
        <v>0</v>
      </c>
      <c r="I116" s="76">
        <f>SUM(I113:I115)</f>
        <v>0</v>
      </c>
    </row>
    <row r="117" spans="1:9" ht="12.75">
      <c r="A117" s="5"/>
      <c r="B117" s="5" t="s">
        <v>185</v>
      </c>
      <c r="C117" s="57">
        <f aca="true" t="shared" si="61" ref="C117:H117">SUM(C114:C115)/2</f>
        <v>0</v>
      </c>
      <c r="D117" s="57">
        <f t="shared" si="61"/>
        <v>0</v>
      </c>
      <c r="E117" s="57">
        <f t="shared" si="61"/>
        <v>0</v>
      </c>
      <c r="F117" s="57">
        <f t="shared" si="61"/>
        <v>0</v>
      </c>
      <c r="G117" s="57">
        <f t="shared" si="61"/>
        <v>0</v>
      </c>
      <c r="H117" s="57">
        <f t="shared" si="61"/>
        <v>0</v>
      </c>
      <c r="I117" s="57">
        <f>SUM(I114:I115)/2</f>
        <v>0</v>
      </c>
    </row>
    <row r="118" spans="1:9" ht="12.75">
      <c r="A118" s="5"/>
      <c r="B118" s="5" t="s">
        <v>186</v>
      </c>
      <c r="C118" s="76">
        <f aca="true" t="shared" si="62" ref="C118:H118">C113+C117</f>
        <v>0</v>
      </c>
      <c r="D118" s="76">
        <f t="shared" si="62"/>
        <v>0</v>
      </c>
      <c r="E118" s="76">
        <f t="shared" si="62"/>
        <v>0</v>
      </c>
      <c r="F118" s="76">
        <f t="shared" si="62"/>
        <v>0</v>
      </c>
      <c r="G118" s="76">
        <f t="shared" si="62"/>
        <v>0</v>
      </c>
      <c r="H118" s="76">
        <f t="shared" si="62"/>
        <v>0</v>
      </c>
      <c r="I118" s="76">
        <f>I113+I117</f>
        <v>0</v>
      </c>
    </row>
    <row r="119" spans="1:9" ht="12.75">
      <c r="A119" s="5"/>
      <c r="B119" s="5" t="s">
        <v>228</v>
      </c>
      <c r="C119" s="134">
        <f>'3.  LDC Assumptions and Data'!C74</f>
        <v>8</v>
      </c>
      <c r="D119" s="134">
        <f>'3.  LDC Assumptions and Data'!D74</f>
        <v>8</v>
      </c>
      <c r="E119" s="134">
        <f>'3.  LDC Assumptions and Data'!E74</f>
        <v>8</v>
      </c>
      <c r="F119" s="134">
        <f>'3.  LDC Assumptions and Data'!F74</f>
        <v>8</v>
      </c>
      <c r="G119" s="134">
        <f>'3.  LDC Assumptions and Data'!G74</f>
        <v>8</v>
      </c>
      <c r="H119" s="134">
        <f>'3.  LDC Assumptions and Data'!H74</f>
        <v>8</v>
      </c>
      <c r="I119" s="134">
        <f>'3.  LDC Assumptions and Data'!I74</f>
        <v>8</v>
      </c>
    </row>
    <row r="120" spans="1:9" ht="12.75">
      <c r="A120" s="5"/>
      <c r="B120" s="5" t="s">
        <v>229</v>
      </c>
      <c r="C120" s="135">
        <f>'3.  LDC Assumptions and Data'!C75</f>
        <v>0.2</v>
      </c>
      <c r="D120" s="135">
        <f>'3.  LDC Assumptions and Data'!D75</f>
        <v>0.2</v>
      </c>
      <c r="E120" s="135">
        <f>'3.  LDC Assumptions and Data'!E75</f>
        <v>0.2</v>
      </c>
      <c r="F120" s="135">
        <f>'3.  LDC Assumptions and Data'!F75</f>
        <v>0.2</v>
      </c>
      <c r="G120" s="135">
        <f>'3.  LDC Assumptions and Data'!G75</f>
        <v>0.2</v>
      </c>
      <c r="H120" s="135">
        <f>'3.  LDC Assumptions and Data'!H75</f>
        <v>0.2</v>
      </c>
      <c r="I120" s="135">
        <f>'3.  LDC Assumptions and Data'!I75</f>
        <v>0.2</v>
      </c>
    </row>
    <row r="121" spans="1:9" ht="12.75">
      <c r="A121" s="5"/>
      <c r="B121" s="5" t="s">
        <v>187</v>
      </c>
      <c r="C121" s="76">
        <f aca="true" t="shared" si="63" ref="C121:H121">IF((C118*C120)&lt;C118,(C118*C120),C118)</f>
        <v>0</v>
      </c>
      <c r="D121" s="76">
        <f t="shared" si="63"/>
        <v>0</v>
      </c>
      <c r="E121" s="76">
        <f t="shared" si="63"/>
        <v>0</v>
      </c>
      <c r="F121" s="76">
        <f t="shared" si="63"/>
        <v>0</v>
      </c>
      <c r="G121" s="76">
        <f t="shared" si="63"/>
        <v>0</v>
      </c>
      <c r="H121" s="76">
        <f t="shared" si="63"/>
        <v>0</v>
      </c>
      <c r="I121" s="76">
        <f>IF((I118*I120)&lt;I118,(I118*I120),I118)</f>
        <v>0</v>
      </c>
    </row>
    <row r="122" spans="1:9" ht="13.5" thickBot="1">
      <c r="A122" s="5"/>
      <c r="B122" s="5" t="s">
        <v>188</v>
      </c>
      <c r="C122" s="96">
        <f aca="true" t="shared" si="64" ref="C122:H122">IF((C116-C121)&lt;0,0,(C116-C121))</f>
        <v>0</v>
      </c>
      <c r="D122" s="96">
        <f t="shared" si="64"/>
        <v>0</v>
      </c>
      <c r="E122" s="96">
        <f t="shared" si="64"/>
        <v>0</v>
      </c>
      <c r="F122" s="96">
        <f t="shared" si="64"/>
        <v>0</v>
      </c>
      <c r="G122" s="96">
        <f t="shared" si="64"/>
        <v>0</v>
      </c>
      <c r="H122" s="96">
        <f t="shared" si="64"/>
        <v>0</v>
      </c>
      <c r="I122" s="96">
        <f>IF((I116-I121)&lt;0,0,(I116-I121))</f>
        <v>0</v>
      </c>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37">
      <selection activeCell="C51" sqref="C51"/>
    </sheetView>
  </sheetViews>
  <sheetFormatPr defaultColWidth="11.421875" defaultRowHeight="12.75"/>
  <cols>
    <col min="1" max="1" width="23.8515625" style="59" customWidth="1"/>
    <col min="2" max="2" width="14.140625" style="58" bestFit="1" customWidth="1"/>
    <col min="3" max="3" width="13.7109375" style="58" customWidth="1"/>
    <col min="4" max="4" width="11.421875" style="58" customWidth="1"/>
    <col min="5" max="6" width="12.7109375" style="58" customWidth="1"/>
    <col min="7" max="7" width="14.140625" style="58" bestFit="1" customWidth="1"/>
    <col min="8" max="9" width="11.421875" style="58" customWidth="1"/>
    <col min="10" max="10" width="12.140625" style="58" bestFit="1" customWidth="1"/>
    <col min="11" max="11" width="25.7109375" style="59" customWidth="1"/>
    <col min="12" max="12" width="22.7109375" style="59" customWidth="1"/>
    <col min="13" max="16384" width="11.421875" style="58" customWidth="1"/>
  </cols>
  <sheetData>
    <row r="1" spans="1:12" ht="48" thickBot="1">
      <c r="A1" s="192" t="s">
        <v>236</v>
      </c>
      <c r="B1" s="193"/>
      <c r="C1" s="193"/>
      <c r="D1" s="193"/>
      <c r="E1" s="193"/>
      <c r="F1" s="193"/>
      <c r="G1" s="194"/>
      <c r="J1" s="140"/>
      <c r="K1" s="141" t="s">
        <v>237</v>
      </c>
      <c r="L1" s="141" t="s">
        <v>239</v>
      </c>
    </row>
    <row r="2" spans="10:12" ht="94.5">
      <c r="J2" s="140"/>
      <c r="K2" s="141" t="s">
        <v>238</v>
      </c>
      <c r="L2" s="141" t="s">
        <v>240</v>
      </c>
    </row>
    <row r="3" spans="1:12" ht="15.75">
      <c r="A3" s="59" t="s">
        <v>280</v>
      </c>
      <c r="B3" s="58" t="s">
        <v>125</v>
      </c>
      <c r="C3" s="138" t="s">
        <v>235</v>
      </c>
      <c r="D3" s="58" t="s">
        <v>126</v>
      </c>
      <c r="E3" s="58" t="s">
        <v>127</v>
      </c>
      <c r="F3" s="58" t="s">
        <v>267</v>
      </c>
      <c r="G3" s="58" t="s">
        <v>128</v>
      </c>
      <c r="J3" s="140" t="s">
        <v>252</v>
      </c>
      <c r="K3" s="142">
        <v>4.14</v>
      </c>
      <c r="L3" s="142">
        <v>4.68</v>
      </c>
    </row>
    <row r="4" spans="1:12" ht="15.75">
      <c r="A4" s="139">
        <v>38718</v>
      </c>
      <c r="B4" s="160">
        <v>0</v>
      </c>
      <c r="C4" s="161">
        <v>0</v>
      </c>
      <c r="D4" s="60">
        <f>'3.  LDC Assumptions and Data'!$C$19</f>
        <v>0.0725</v>
      </c>
      <c r="E4" s="160"/>
      <c r="F4" s="160"/>
      <c r="G4" s="160">
        <f>SUM(B4:C4,E4)</f>
        <v>0</v>
      </c>
      <c r="J4" s="140" t="s">
        <v>251</v>
      </c>
      <c r="K4" s="142">
        <v>4.59</v>
      </c>
      <c r="L4" s="142">
        <v>5.05</v>
      </c>
    </row>
    <row r="5" spans="1:12" ht="15.75">
      <c r="A5" s="139">
        <v>38749</v>
      </c>
      <c r="B5" s="162">
        <f>G4</f>
        <v>0</v>
      </c>
      <c r="C5" s="161">
        <v>0</v>
      </c>
      <c r="D5" s="60">
        <f>'3.  LDC Assumptions and Data'!$C$19</f>
        <v>0.0725</v>
      </c>
      <c r="E5" s="160">
        <f>(B5*D4)/12</f>
        <v>0</v>
      </c>
      <c r="F5" s="160"/>
      <c r="G5" s="160">
        <f>SUM(B5:C5,E5)</f>
        <v>0</v>
      </c>
      <c r="J5" s="140" t="s">
        <v>250</v>
      </c>
      <c r="K5" s="142">
        <v>4.59</v>
      </c>
      <c r="L5" s="142">
        <v>4.72</v>
      </c>
    </row>
    <row r="6" spans="1:12" ht="15.75">
      <c r="A6" s="139">
        <v>38777</v>
      </c>
      <c r="B6" s="162">
        <f>G5</f>
        <v>0</v>
      </c>
      <c r="C6" s="161">
        <v>0</v>
      </c>
      <c r="D6" s="60">
        <f>'3.  LDC Assumptions and Data'!$C$19</f>
        <v>0.0725</v>
      </c>
      <c r="E6" s="160">
        <f>(B6*D5)/12</f>
        <v>0</v>
      </c>
      <c r="F6" s="160"/>
      <c r="G6" s="160">
        <f>SUM(B6:C6,E6)</f>
        <v>0</v>
      </c>
      <c r="J6" s="140" t="s">
        <v>249</v>
      </c>
      <c r="K6" s="142">
        <v>4.59</v>
      </c>
      <c r="L6" s="142">
        <v>4.72</v>
      </c>
    </row>
    <row r="7" spans="1:12" ht="15.75">
      <c r="A7" s="139">
        <v>38808</v>
      </c>
      <c r="B7" s="162">
        <f>G6</f>
        <v>0</v>
      </c>
      <c r="C7" s="161">
        <v>0</v>
      </c>
      <c r="D7" s="61">
        <v>0.0414</v>
      </c>
      <c r="E7" s="160">
        <f>(B7*D6)/12</f>
        <v>0</v>
      </c>
      <c r="F7" s="160"/>
      <c r="G7" s="160">
        <f>SUM(B7:C7,E7)</f>
        <v>0</v>
      </c>
      <c r="J7" s="140" t="s">
        <v>248</v>
      </c>
      <c r="K7" s="142">
        <v>4.59</v>
      </c>
      <c r="L7" s="142">
        <v>4.72</v>
      </c>
    </row>
    <row r="8" spans="1:12" ht="15.75">
      <c r="A8" s="139">
        <v>38838</v>
      </c>
      <c r="B8" s="162">
        <f>G7</f>
        <v>0</v>
      </c>
      <c r="C8" s="161"/>
      <c r="D8" s="61">
        <v>0.0414</v>
      </c>
      <c r="E8" s="160">
        <f>(B8*D7)/12</f>
        <v>0</v>
      </c>
      <c r="F8" s="160"/>
      <c r="G8" s="160">
        <f>SUM(B8:C8,E8)</f>
        <v>0</v>
      </c>
      <c r="J8" s="140" t="s">
        <v>247</v>
      </c>
      <c r="K8" s="142">
        <v>4.59</v>
      </c>
      <c r="L8" s="142">
        <v>5.18</v>
      </c>
    </row>
    <row r="9" spans="1:12" ht="15.75">
      <c r="A9" s="139">
        <v>38869</v>
      </c>
      <c r="B9" s="162">
        <f>G8</f>
        <v>0</v>
      </c>
      <c r="C9" s="161">
        <v>2390.3</v>
      </c>
      <c r="D9" s="61">
        <v>0.0414</v>
      </c>
      <c r="E9" s="160">
        <f>(B9*D8)/12</f>
        <v>0</v>
      </c>
      <c r="F9" s="160"/>
      <c r="G9" s="160">
        <f>+B10+F9</f>
        <v>2390.3</v>
      </c>
      <c r="J9" s="140" t="s">
        <v>246</v>
      </c>
      <c r="K9" s="142">
        <v>5.14</v>
      </c>
      <c r="L9" s="142">
        <v>5.18</v>
      </c>
    </row>
    <row r="10" spans="1:12" ht="15.75">
      <c r="A10" s="139">
        <v>38899</v>
      </c>
      <c r="B10" s="162">
        <f>+C9</f>
        <v>2390.3</v>
      </c>
      <c r="C10" s="161">
        <v>5513.700000000001</v>
      </c>
      <c r="D10" s="61">
        <v>0.0459</v>
      </c>
      <c r="E10" s="160">
        <f>ROUND((B10*D9)/12,2)</f>
        <v>8.25</v>
      </c>
      <c r="F10" s="160">
        <f>+E10</f>
        <v>8.25</v>
      </c>
      <c r="G10" s="160">
        <f aca="true" t="shared" si="0" ref="G10:G73">+B11+F10</f>
        <v>7912.250000000001</v>
      </c>
      <c r="J10" s="140" t="s">
        <v>245</v>
      </c>
      <c r="K10" s="142">
        <v>5.14</v>
      </c>
      <c r="L10" s="142">
        <v>5.18</v>
      </c>
    </row>
    <row r="11" spans="1:12" ht="15.75">
      <c r="A11" s="139">
        <v>38930</v>
      </c>
      <c r="B11" s="162">
        <f>+B10+C10</f>
        <v>7904.000000000001</v>
      </c>
      <c r="C11" s="161">
        <v>4163.93</v>
      </c>
      <c r="D11" s="61">
        <v>0.0459</v>
      </c>
      <c r="E11" s="160">
        <f aca="true" t="shared" si="1" ref="E11:E74">ROUND((B11*D10)/12,2)</f>
        <v>30.23</v>
      </c>
      <c r="F11" s="160">
        <f>+E11+F10</f>
        <v>38.480000000000004</v>
      </c>
      <c r="G11" s="160">
        <f t="shared" si="0"/>
        <v>12106.41</v>
      </c>
      <c r="J11" s="140" t="s">
        <v>244</v>
      </c>
      <c r="K11" s="142">
        <v>4.08</v>
      </c>
      <c r="L11" s="142">
        <v>5.18</v>
      </c>
    </row>
    <row r="12" spans="1:12" ht="15.75">
      <c r="A12" s="139">
        <v>38961</v>
      </c>
      <c r="B12" s="162">
        <f>+B11+C11</f>
        <v>12067.93</v>
      </c>
      <c r="C12" s="161">
        <v>4162.39</v>
      </c>
      <c r="D12" s="61">
        <v>0.0459</v>
      </c>
      <c r="E12" s="160">
        <f t="shared" si="1"/>
        <v>46.16</v>
      </c>
      <c r="F12" s="160">
        <f aca="true" t="shared" si="2" ref="F12:F75">+E12+F11</f>
        <v>84.64</v>
      </c>
      <c r="G12" s="160">
        <f t="shared" si="0"/>
        <v>16314.96</v>
      </c>
      <c r="J12" s="140" t="s">
        <v>243</v>
      </c>
      <c r="K12" s="142">
        <v>3.35</v>
      </c>
      <c r="L12" s="142">
        <v>5.43</v>
      </c>
    </row>
    <row r="13" spans="1:12" ht="15.75">
      <c r="A13" s="139">
        <v>38991</v>
      </c>
      <c r="B13" s="162">
        <f aca="true" t="shared" si="3" ref="B13:B76">+B12+C12</f>
        <v>16230.32</v>
      </c>
      <c r="C13" s="161">
        <v>4184.670000000001</v>
      </c>
      <c r="D13" s="61">
        <v>0.0459</v>
      </c>
      <c r="E13" s="160">
        <f t="shared" si="1"/>
        <v>62.08</v>
      </c>
      <c r="F13" s="160">
        <f t="shared" si="2"/>
        <v>146.72</v>
      </c>
      <c r="G13" s="160">
        <f t="shared" si="0"/>
        <v>20561.710000000003</v>
      </c>
      <c r="J13" s="140" t="s">
        <v>242</v>
      </c>
      <c r="K13" s="142">
        <v>3.35</v>
      </c>
      <c r="L13" s="142">
        <v>5.43</v>
      </c>
    </row>
    <row r="14" spans="1:12" ht="15.75">
      <c r="A14" s="139">
        <v>39022</v>
      </c>
      <c r="B14" s="162">
        <f t="shared" si="3"/>
        <v>20414.99</v>
      </c>
      <c r="C14" s="161">
        <v>4170.530000000001</v>
      </c>
      <c r="D14" s="61">
        <v>0.0459</v>
      </c>
      <c r="E14" s="160">
        <f t="shared" si="1"/>
        <v>78.09</v>
      </c>
      <c r="F14" s="160">
        <f t="shared" si="2"/>
        <v>224.81</v>
      </c>
      <c r="G14" s="160">
        <f t="shared" si="0"/>
        <v>24810.330000000005</v>
      </c>
      <c r="J14" s="140" t="s">
        <v>258</v>
      </c>
      <c r="K14" s="146">
        <v>2.45</v>
      </c>
      <c r="L14" s="146">
        <v>6.61</v>
      </c>
    </row>
    <row r="15" spans="1:12" ht="15.75">
      <c r="A15" s="139">
        <v>39052</v>
      </c>
      <c r="B15" s="162">
        <f t="shared" si="3"/>
        <v>24585.520000000004</v>
      </c>
      <c r="C15" s="161">
        <v>4166.92</v>
      </c>
      <c r="D15" s="61">
        <v>0.0459</v>
      </c>
      <c r="E15" s="160">
        <f t="shared" si="1"/>
        <v>94.04</v>
      </c>
      <c r="F15" s="160">
        <f t="shared" si="2"/>
        <v>318.85</v>
      </c>
      <c r="G15" s="160">
        <f t="shared" si="0"/>
        <v>29071.29</v>
      </c>
      <c r="J15" s="140" t="s">
        <v>259</v>
      </c>
      <c r="K15" s="146">
        <v>1</v>
      </c>
      <c r="L15" s="146">
        <v>6.61</v>
      </c>
    </row>
    <row r="16" spans="1:12" ht="15.75">
      <c r="A16" s="139">
        <v>39083</v>
      </c>
      <c r="B16" s="162">
        <f t="shared" si="3"/>
        <v>28752.440000000002</v>
      </c>
      <c r="C16" s="161">
        <v>4238.570000000001</v>
      </c>
      <c r="D16" s="61">
        <v>0.0459</v>
      </c>
      <c r="E16" s="160">
        <f t="shared" si="1"/>
        <v>109.98</v>
      </c>
      <c r="F16" s="160">
        <f t="shared" si="2"/>
        <v>428.83000000000004</v>
      </c>
      <c r="G16" s="160">
        <f t="shared" si="0"/>
        <v>33419.840000000004</v>
      </c>
      <c r="J16" s="140" t="s">
        <v>260</v>
      </c>
      <c r="K16" s="146">
        <v>0.55</v>
      </c>
      <c r="L16" s="146">
        <v>5.67</v>
      </c>
    </row>
    <row r="17" spans="1:12" ht="15.75">
      <c r="A17" s="139">
        <v>39114</v>
      </c>
      <c r="B17" s="162">
        <f t="shared" si="3"/>
        <v>32991.01</v>
      </c>
      <c r="C17" s="161">
        <v>4253.200000000001</v>
      </c>
      <c r="D17" s="61">
        <v>0.0459</v>
      </c>
      <c r="E17" s="160">
        <f t="shared" si="1"/>
        <v>126.19</v>
      </c>
      <c r="F17" s="160">
        <f t="shared" si="2"/>
        <v>555.02</v>
      </c>
      <c r="G17" s="160">
        <f t="shared" si="0"/>
        <v>37799.23</v>
      </c>
      <c r="J17" s="167" t="s">
        <v>278</v>
      </c>
      <c r="K17" s="146">
        <v>0.55</v>
      </c>
      <c r="L17" s="146">
        <v>5.67</v>
      </c>
    </row>
    <row r="18" spans="1:12" ht="15.75">
      <c r="A18" s="139">
        <v>39142</v>
      </c>
      <c r="B18" s="162">
        <f t="shared" si="3"/>
        <v>37244.21000000001</v>
      </c>
      <c r="C18" s="161">
        <v>4229.810000000001</v>
      </c>
      <c r="D18" s="61">
        <v>0.0459</v>
      </c>
      <c r="E18" s="160">
        <f t="shared" si="1"/>
        <v>142.46</v>
      </c>
      <c r="F18" s="160">
        <f t="shared" si="2"/>
        <v>697.48</v>
      </c>
      <c r="G18" s="160">
        <f t="shared" si="0"/>
        <v>42171.50000000001</v>
      </c>
      <c r="J18" s="167" t="s">
        <v>279</v>
      </c>
      <c r="K18" s="146">
        <v>0.55</v>
      </c>
      <c r="L18" s="146">
        <v>5.67</v>
      </c>
    </row>
    <row r="19" spans="1:11" ht="15">
      <c r="A19" s="139">
        <v>39173</v>
      </c>
      <c r="B19" s="162">
        <f t="shared" si="3"/>
        <v>41474.020000000004</v>
      </c>
      <c r="C19" s="161">
        <v>8552.2</v>
      </c>
      <c r="D19" s="61">
        <v>0.0459</v>
      </c>
      <c r="E19" s="160">
        <f>ROUND((B19*D18)/12,2)</f>
        <v>158.64</v>
      </c>
      <c r="F19" s="160">
        <f t="shared" si="2"/>
        <v>856.12</v>
      </c>
      <c r="G19" s="160">
        <f t="shared" si="0"/>
        <v>50882.340000000004</v>
      </c>
      <c r="K19" s="59" t="s">
        <v>241</v>
      </c>
    </row>
    <row r="20" spans="1:7" ht="15">
      <c r="A20" s="139">
        <v>39203</v>
      </c>
      <c r="B20" s="162">
        <f t="shared" si="3"/>
        <v>50026.22</v>
      </c>
      <c r="C20" s="161">
        <v>541.7399999999999</v>
      </c>
      <c r="D20" s="61">
        <v>0.0459</v>
      </c>
      <c r="E20" s="160">
        <f t="shared" si="1"/>
        <v>191.35</v>
      </c>
      <c r="F20" s="160">
        <f t="shared" si="2"/>
        <v>1047.47</v>
      </c>
      <c r="G20" s="160">
        <f t="shared" si="0"/>
        <v>51615.43</v>
      </c>
    </row>
    <row r="21" spans="1:7" ht="15">
      <c r="A21" s="139">
        <v>39234</v>
      </c>
      <c r="B21" s="162">
        <f t="shared" si="3"/>
        <v>50567.96</v>
      </c>
      <c r="C21" s="161">
        <v>3628.83</v>
      </c>
      <c r="D21" s="61">
        <v>0.0459</v>
      </c>
      <c r="E21" s="160">
        <f t="shared" si="1"/>
        <v>193.42</v>
      </c>
      <c r="F21" s="160">
        <f t="shared" si="2"/>
        <v>1240.89</v>
      </c>
      <c r="G21" s="160">
        <f t="shared" si="0"/>
        <v>55437.68</v>
      </c>
    </row>
    <row r="22" spans="1:7" ht="15">
      <c r="A22" s="139">
        <v>39264</v>
      </c>
      <c r="B22" s="162">
        <f t="shared" si="3"/>
        <v>54196.79</v>
      </c>
      <c r="C22" s="161">
        <v>4236.070000000001</v>
      </c>
      <c r="D22" s="61">
        <v>0.0459</v>
      </c>
      <c r="E22" s="160">
        <f t="shared" si="1"/>
        <v>207.3</v>
      </c>
      <c r="F22" s="160">
        <f t="shared" si="2"/>
        <v>1448.19</v>
      </c>
      <c r="G22" s="160">
        <f t="shared" si="0"/>
        <v>59881.05</v>
      </c>
    </row>
    <row r="23" spans="1:11" ht="15">
      <c r="A23" s="139">
        <v>39295</v>
      </c>
      <c r="B23" s="162">
        <f t="shared" si="3"/>
        <v>58432.86</v>
      </c>
      <c r="C23" s="161">
        <v>4261.6900000000005</v>
      </c>
      <c r="D23" s="61">
        <v>0.0459</v>
      </c>
      <c r="E23" s="160">
        <f t="shared" si="1"/>
        <v>223.51</v>
      </c>
      <c r="F23" s="160">
        <f t="shared" si="2"/>
        <v>1671.7</v>
      </c>
      <c r="G23" s="160">
        <f t="shared" si="0"/>
        <v>64366.25</v>
      </c>
      <c r="K23" s="59" t="s">
        <v>241</v>
      </c>
    </row>
    <row r="24" spans="1:7" ht="15">
      <c r="A24" s="139">
        <v>39326</v>
      </c>
      <c r="B24" s="162">
        <f t="shared" si="3"/>
        <v>62694.55</v>
      </c>
      <c r="C24" s="161">
        <v>4262.900000000001</v>
      </c>
      <c r="D24" s="61">
        <v>0.0459</v>
      </c>
      <c r="E24" s="160">
        <f t="shared" si="1"/>
        <v>239.81</v>
      </c>
      <c r="F24" s="160">
        <f t="shared" si="2"/>
        <v>1911.51</v>
      </c>
      <c r="G24" s="160">
        <f t="shared" si="0"/>
        <v>68868.95999999999</v>
      </c>
    </row>
    <row r="25" spans="1:7" ht="15">
      <c r="A25" s="139">
        <v>39356</v>
      </c>
      <c r="B25" s="162">
        <f t="shared" si="3"/>
        <v>66957.45</v>
      </c>
      <c r="C25" s="161">
        <v>4277.360000000001</v>
      </c>
      <c r="D25" s="61">
        <v>0.0514</v>
      </c>
      <c r="E25" s="160">
        <f t="shared" si="1"/>
        <v>256.11</v>
      </c>
      <c r="F25" s="160">
        <f t="shared" si="2"/>
        <v>2167.62</v>
      </c>
      <c r="G25" s="160">
        <f t="shared" si="0"/>
        <v>73402.43</v>
      </c>
    </row>
    <row r="26" spans="1:7" ht="15">
      <c r="A26" s="139">
        <v>39387</v>
      </c>
      <c r="B26" s="162">
        <f t="shared" si="3"/>
        <v>71234.81</v>
      </c>
      <c r="C26" s="161">
        <v>4281.150000000001</v>
      </c>
      <c r="D26" s="61">
        <v>0.0514</v>
      </c>
      <c r="E26" s="160">
        <f t="shared" si="1"/>
        <v>305.12</v>
      </c>
      <c r="F26" s="160">
        <f t="shared" si="2"/>
        <v>2472.74</v>
      </c>
      <c r="G26" s="160">
        <f t="shared" si="0"/>
        <v>77988.7</v>
      </c>
    </row>
    <row r="27" spans="1:7" ht="15">
      <c r="A27" s="139">
        <v>39417</v>
      </c>
      <c r="B27" s="162">
        <f t="shared" si="3"/>
        <v>75515.95999999999</v>
      </c>
      <c r="C27" s="161">
        <v>4281.5</v>
      </c>
      <c r="D27" s="61">
        <v>0.0514</v>
      </c>
      <c r="E27" s="160">
        <f t="shared" si="1"/>
        <v>323.46</v>
      </c>
      <c r="F27" s="160">
        <f t="shared" si="2"/>
        <v>2796.2</v>
      </c>
      <c r="G27" s="160">
        <f t="shared" si="0"/>
        <v>82593.65999999999</v>
      </c>
    </row>
    <row r="28" spans="1:7" ht="15">
      <c r="A28" s="139">
        <v>39448</v>
      </c>
      <c r="B28" s="162">
        <f t="shared" si="3"/>
        <v>79797.45999999999</v>
      </c>
      <c r="C28" s="161">
        <v>4302.400000000001</v>
      </c>
      <c r="D28" s="61">
        <v>0.0514</v>
      </c>
      <c r="E28" s="160">
        <f t="shared" si="1"/>
        <v>341.8</v>
      </c>
      <c r="F28" s="160">
        <f t="shared" si="2"/>
        <v>3138</v>
      </c>
      <c r="G28" s="160">
        <f t="shared" si="0"/>
        <v>87237.85999999999</v>
      </c>
    </row>
    <row r="29" spans="1:7" ht="15">
      <c r="A29" s="139">
        <v>39479</v>
      </c>
      <c r="B29" s="162">
        <f t="shared" si="3"/>
        <v>84099.85999999999</v>
      </c>
      <c r="C29" s="161">
        <v>4324.430000000001</v>
      </c>
      <c r="D29" s="61">
        <v>0.0514</v>
      </c>
      <c r="E29" s="160">
        <f t="shared" si="1"/>
        <v>360.23</v>
      </c>
      <c r="F29" s="160">
        <f t="shared" si="2"/>
        <v>3498.23</v>
      </c>
      <c r="G29" s="160">
        <f t="shared" si="0"/>
        <v>91922.51999999999</v>
      </c>
    </row>
    <row r="30" spans="1:7" ht="15">
      <c r="A30" s="139">
        <v>39508</v>
      </c>
      <c r="B30" s="162">
        <f t="shared" si="3"/>
        <v>88424.29</v>
      </c>
      <c r="C30" s="161">
        <v>4309.4400000000005</v>
      </c>
      <c r="D30" s="61">
        <v>0.0514</v>
      </c>
      <c r="E30" s="160">
        <f t="shared" si="1"/>
        <v>378.75</v>
      </c>
      <c r="F30" s="160">
        <f t="shared" si="2"/>
        <v>3876.98</v>
      </c>
      <c r="G30" s="160">
        <f t="shared" si="0"/>
        <v>96610.70999999999</v>
      </c>
    </row>
    <row r="31" spans="1:11" ht="15">
      <c r="A31" s="139">
        <v>39539</v>
      </c>
      <c r="B31" s="162">
        <f t="shared" si="3"/>
        <v>92733.73</v>
      </c>
      <c r="C31" s="161">
        <v>8895.619999999999</v>
      </c>
      <c r="D31" s="61">
        <v>0.0408</v>
      </c>
      <c r="E31" s="160">
        <f t="shared" si="1"/>
        <v>397.21</v>
      </c>
      <c r="F31" s="160">
        <f t="shared" si="2"/>
        <v>4274.19</v>
      </c>
      <c r="G31" s="160">
        <f t="shared" si="0"/>
        <v>105903.54</v>
      </c>
      <c r="K31" s="59" t="s">
        <v>241</v>
      </c>
    </row>
    <row r="32" spans="1:7" ht="15">
      <c r="A32" s="139">
        <v>39569</v>
      </c>
      <c r="B32" s="162">
        <f t="shared" si="3"/>
        <v>101629.34999999999</v>
      </c>
      <c r="C32" s="161">
        <v>413.19</v>
      </c>
      <c r="D32" s="61">
        <v>0.0408</v>
      </c>
      <c r="E32" s="160">
        <f t="shared" si="1"/>
        <v>345.54</v>
      </c>
      <c r="F32" s="160">
        <f t="shared" si="2"/>
        <v>4619.73</v>
      </c>
      <c r="G32" s="160">
        <f t="shared" si="0"/>
        <v>106662.26999999999</v>
      </c>
    </row>
    <row r="33" spans="1:7" ht="15">
      <c r="A33" s="139">
        <v>39600</v>
      </c>
      <c r="B33" s="162">
        <f t="shared" si="3"/>
        <v>102042.54</v>
      </c>
      <c r="C33" s="161">
        <v>3615.7799999999997</v>
      </c>
      <c r="D33" s="61">
        <v>0.0408</v>
      </c>
      <c r="E33" s="160">
        <f t="shared" si="1"/>
        <v>346.94</v>
      </c>
      <c r="F33" s="160">
        <f t="shared" si="2"/>
        <v>4966.669999999999</v>
      </c>
      <c r="G33" s="160">
        <f t="shared" si="0"/>
        <v>110624.98999999999</v>
      </c>
    </row>
    <row r="34" spans="1:7" ht="15">
      <c r="A34" s="139">
        <v>39630</v>
      </c>
      <c r="B34" s="162">
        <f t="shared" si="3"/>
        <v>105658.31999999999</v>
      </c>
      <c r="C34" s="161">
        <v>4333.320000000001</v>
      </c>
      <c r="D34" s="61">
        <v>0.0335</v>
      </c>
      <c r="E34" s="160">
        <f t="shared" si="1"/>
        <v>359.24</v>
      </c>
      <c r="F34" s="160">
        <f t="shared" si="2"/>
        <v>5325.909999999999</v>
      </c>
      <c r="G34" s="160">
        <f t="shared" si="0"/>
        <v>115317.55</v>
      </c>
    </row>
    <row r="35" spans="1:11" ht="15">
      <c r="A35" s="139">
        <v>39661</v>
      </c>
      <c r="B35" s="162">
        <f t="shared" si="3"/>
        <v>109991.64</v>
      </c>
      <c r="C35" s="161">
        <v>4339.17</v>
      </c>
      <c r="D35" s="61">
        <v>0.0335</v>
      </c>
      <c r="E35" s="160">
        <f t="shared" si="1"/>
        <v>307.06</v>
      </c>
      <c r="F35" s="160">
        <f t="shared" si="2"/>
        <v>5632.969999999999</v>
      </c>
      <c r="G35" s="160">
        <f t="shared" si="0"/>
        <v>119963.78</v>
      </c>
      <c r="K35" s="59" t="s">
        <v>241</v>
      </c>
    </row>
    <row r="36" spans="1:7" ht="15">
      <c r="A36" s="139">
        <v>39692</v>
      </c>
      <c r="B36" s="162">
        <f t="shared" si="3"/>
        <v>114330.81</v>
      </c>
      <c r="C36" s="161">
        <v>4343.100000000001</v>
      </c>
      <c r="D36" s="61">
        <v>0.0335</v>
      </c>
      <c r="E36" s="160">
        <f t="shared" si="1"/>
        <v>319.17</v>
      </c>
      <c r="F36" s="160">
        <f t="shared" si="2"/>
        <v>5952.139999999999</v>
      </c>
      <c r="G36" s="160">
        <f t="shared" si="0"/>
        <v>124626.05</v>
      </c>
    </row>
    <row r="37" spans="1:7" ht="15">
      <c r="A37" s="139">
        <v>39722</v>
      </c>
      <c r="B37" s="162">
        <f t="shared" si="3"/>
        <v>118673.91</v>
      </c>
      <c r="C37" s="161">
        <v>4351.71</v>
      </c>
      <c r="D37" s="61">
        <v>0.0335</v>
      </c>
      <c r="E37" s="160">
        <f t="shared" si="1"/>
        <v>331.3</v>
      </c>
      <c r="F37" s="160">
        <f t="shared" si="2"/>
        <v>6283.44</v>
      </c>
      <c r="G37" s="160">
        <f t="shared" si="0"/>
        <v>129309.06000000001</v>
      </c>
    </row>
    <row r="38" spans="1:7" ht="15">
      <c r="A38" s="139">
        <v>39753</v>
      </c>
      <c r="B38" s="162">
        <f t="shared" si="3"/>
        <v>123025.62000000001</v>
      </c>
      <c r="C38" s="161">
        <v>4348.93</v>
      </c>
      <c r="D38" s="61">
        <v>0.0335</v>
      </c>
      <c r="E38" s="160">
        <f t="shared" si="1"/>
        <v>343.45</v>
      </c>
      <c r="F38" s="160">
        <f t="shared" si="2"/>
        <v>6626.889999999999</v>
      </c>
      <c r="G38" s="160">
        <f t="shared" si="0"/>
        <v>134001.44</v>
      </c>
    </row>
    <row r="39" spans="1:11" ht="15">
      <c r="A39" s="139">
        <v>39783</v>
      </c>
      <c r="B39" s="162">
        <f t="shared" si="3"/>
        <v>127374.55000000002</v>
      </c>
      <c r="C39" s="161">
        <v>4351.91</v>
      </c>
      <c r="D39" s="61">
        <v>0.0335</v>
      </c>
      <c r="E39" s="160">
        <f t="shared" si="1"/>
        <v>355.59</v>
      </c>
      <c r="F39" s="160">
        <f t="shared" si="2"/>
        <v>6982.48</v>
      </c>
      <c r="G39" s="160">
        <f t="shared" si="0"/>
        <v>138708.94000000003</v>
      </c>
      <c r="K39" s="59" t="s">
        <v>241</v>
      </c>
    </row>
    <row r="40" spans="1:7" ht="15">
      <c r="A40" s="139">
        <v>39814</v>
      </c>
      <c r="B40" s="162">
        <f t="shared" si="3"/>
        <v>131726.46000000002</v>
      </c>
      <c r="C40" s="161">
        <v>4351.580000000001</v>
      </c>
      <c r="D40" s="61">
        <v>0.0245</v>
      </c>
      <c r="E40" s="160">
        <f t="shared" si="1"/>
        <v>367.74</v>
      </c>
      <c r="F40" s="160">
        <f t="shared" si="2"/>
        <v>7350.219999999999</v>
      </c>
      <c r="G40" s="160">
        <f t="shared" si="0"/>
        <v>143428.26</v>
      </c>
    </row>
    <row r="41" spans="1:7" ht="15">
      <c r="A41" s="139">
        <v>39845</v>
      </c>
      <c r="B41" s="162">
        <f t="shared" si="3"/>
        <v>136078.04</v>
      </c>
      <c r="C41" s="161">
        <v>4283.34</v>
      </c>
      <c r="D41" s="61">
        <v>0.0245</v>
      </c>
      <c r="E41" s="160">
        <f t="shared" si="1"/>
        <v>277.83</v>
      </c>
      <c r="F41" s="160">
        <f t="shared" si="2"/>
        <v>7628.049999999999</v>
      </c>
      <c r="G41" s="160">
        <f t="shared" si="0"/>
        <v>147989.43</v>
      </c>
    </row>
    <row r="42" spans="1:7" ht="15">
      <c r="A42" s="139">
        <v>39873</v>
      </c>
      <c r="B42" s="162">
        <f t="shared" si="3"/>
        <v>140361.38</v>
      </c>
      <c r="C42" s="161">
        <v>4440.7300000000005</v>
      </c>
      <c r="D42" s="61">
        <v>0.0245</v>
      </c>
      <c r="E42" s="160">
        <f t="shared" si="1"/>
        <v>286.57</v>
      </c>
      <c r="F42" s="160">
        <f t="shared" si="2"/>
        <v>7914.619999999999</v>
      </c>
      <c r="G42" s="160">
        <f t="shared" si="0"/>
        <v>152716.73</v>
      </c>
    </row>
    <row r="43" spans="1:11" ht="15">
      <c r="A43" s="139">
        <v>39904</v>
      </c>
      <c r="B43" s="162">
        <f t="shared" si="3"/>
        <v>144802.11000000002</v>
      </c>
      <c r="C43" s="161">
        <v>8906.95</v>
      </c>
      <c r="D43" s="61">
        <v>0.01</v>
      </c>
      <c r="E43" s="160">
        <f t="shared" si="1"/>
        <v>295.64</v>
      </c>
      <c r="F43" s="160">
        <f t="shared" si="2"/>
        <v>8210.259999999998</v>
      </c>
      <c r="G43" s="160">
        <f t="shared" si="0"/>
        <v>161919.32000000004</v>
      </c>
      <c r="K43" s="59" t="s">
        <v>241</v>
      </c>
    </row>
    <row r="44" spans="1:7" ht="15">
      <c r="A44" s="139">
        <v>39934</v>
      </c>
      <c r="B44" s="162">
        <f t="shared" si="3"/>
        <v>153709.06000000003</v>
      </c>
      <c r="C44" s="161">
        <v>1714.9</v>
      </c>
      <c r="D44" s="61">
        <v>0.01</v>
      </c>
      <c r="E44" s="160">
        <f t="shared" si="1"/>
        <v>128.09</v>
      </c>
      <c r="F44" s="160">
        <f t="shared" si="2"/>
        <v>8338.349999999999</v>
      </c>
      <c r="G44" s="160">
        <f t="shared" si="0"/>
        <v>163762.31000000003</v>
      </c>
    </row>
    <row r="45" spans="1:7" ht="15">
      <c r="A45" s="139">
        <v>39965</v>
      </c>
      <c r="B45" s="162">
        <f t="shared" si="3"/>
        <v>155423.96000000002</v>
      </c>
      <c r="C45" s="161">
        <v>13835.540000000003</v>
      </c>
      <c r="D45" s="61">
        <v>0.01</v>
      </c>
      <c r="E45" s="160">
        <f t="shared" si="1"/>
        <v>129.52</v>
      </c>
      <c r="F45" s="160">
        <f t="shared" si="2"/>
        <v>8467.869999999999</v>
      </c>
      <c r="G45" s="160">
        <f t="shared" si="0"/>
        <v>177727.37000000002</v>
      </c>
    </row>
    <row r="46" spans="1:7" ht="15">
      <c r="A46" s="139">
        <v>39995</v>
      </c>
      <c r="B46" s="162">
        <f t="shared" si="3"/>
        <v>169259.50000000003</v>
      </c>
      <c r="C46" s="161">
        <v>16102.71</v>
      </c>
      <c r="D46" s="61">
        <v>0.0055</v>
      </c>
      <c r="E46" s="160">
        <f t="shared" si="1"/>
        <v>141.05</v>
      </c>
      <c r="F46" s="160">
        <f t="shared" si="2"/>
        <v>8608.919999999998</v>
      </c>
      <c r="G46" s="160">
        <f t="shared" si="0"/>
        <v>193971.13</v>
      </c>
    </row>
    <row r="47" spans="1:11" ht="15">
      <c r="A47" s="139">
        <v>40026</v>
      </c>
      <c r="B47" s="162">
        <f t="shared" si="3"/>
        <v>185362.21000000002</v>
      </c>
      <c r="C47" s="161">
        <v>16200.41</v>
      </c>
      <c r="D47" s="61">
        <v>0.0055</v>
      </c>
      <c r="E47" s="160">
        <f t="shared" si="1"/>
        <v>84.96</v>
      </c>
      <c r="F47" s="160">
        <f t="shared" si="2"/>
        <v>8693.879999999997</v>
      </c>
      <c r="G47" s="160">
        <f t="shared" si="0"/>
        <v>210256.50000000003</v>
      </c>
      <c r="K47" s="59" t="s">
        <v>241</v>
      </c>
    </row>
    <row r="48" spans="1:10" ht="15">
      <c r="A48" s="139">
        <v>40057</v>
      </c>
      <c r="B48" s="162">
        <f t="shared" si="3"/>
        <v>201562.62000000002</v>
      </c>
      <c r="C48" s="161">
        <v>16172.44</v>
      </c>
      <c r="D48" s="61">
        <v>0.0055</v>
      </c>
      <c r="E48" s="160">
        <f t="shared" si="1"/>
        <v>92.38</v>
      </c>
      <c r="F48" s="160">
        <f t="shared" si="2"/>
        <v>8786.259999999997</v>
      </c>
      <c r="G48" s="160">
        <f t="shared" si="0"/>
        <v>226521.32000000004</v>
      </c>
      <c r="J48" s="163"/>
    </row>
    <row r="49" spans="1:7" ht="15">
      <c r="A49" s="139">
        <v>40087</v>
      </c>
      <c r="B49" s="162">
        <f t="shared" si="3"/>
        <v>217735.06000000003</v>
      </c>
      <c r="C49" s="161">
        <v>16221.920000000004</v>
      </c>
      <c r="D49" s="61">
        <v>0.0055</v>
      </c>
      <c r="E49" s="160">
        <f t="shared" si="1"/>
        <v>99.8</v>
      </c>
      <c r="F49" s="160">
        <f t="shared" si="2"/>
        <v>8886.059999999996</v>
      </c>
      <c r="G49" s="160">
        <f t="shared" si="0"/>
        <v>242843.04000000004</v>
      </c>
    </row>
    <row r="50" spans="1:7" ht="15">
      <c r="A50" s="139">
        <v>40118</v>
      </c>
      <c r="B50" s="162">
        <f t="shared" si="3"/>
        <v>233956.98000000004</v>
      </c>
      <c r="C50" s="161">
        <v>16204.74</v>
      </c>
      <c r="D50" s="61">
        <v>0.0055</v>
      </c>
      <c r="E50" s="160">
        <f t="shared" si="1"/>
        <v>107.23</v>
      </c>
      <c r="F50" s="160">
        <f t="shared" si="2"/>
        <v>8993.289999999995</v>
      </c>
      <c r="G50" s="160">
        <f t="shared" si="0"/>
        <v>259155.01000000004</v>
      </c>
    </row>
    <row r="51" spans="1:11" ht="15">
      <c r="A51" s="139">
        <v>40148</v>
      </c>
      <c r="B51" s="162">
        <f t="shared" si="3"/>
        <v>250161.72000000003</v>
      </c>
      <c r="C51" s="161">
        <v>16235.929999999997</v>
      </c>
      <c r="D51" s="61">
        <v>0.0055</v>
      </c>
      <c r="E51" s="160">
        <f t="shared" si="1"/>
        <v>114.66</v>
      </c>
      <c r="F51" s="160">
        <f t="shared" si="2"/>
        <v>9107.949999999995</v>
      </c>
      <c r="G51" s="160">
        <f t="shared" si="0"/>
        <v>275505.60000000003</v>
      </c>
      <c r="K51" s="59" t="s">
        <v>241</v>
      </c>
    </row>
    <row r="52" spans="1:8" ht="15">
      <c r="A52" s="139">
        <v>40179</v>
      </c>
      <c r="B52" s="162">
        <f t="shared" si="3"/>
        <v>266397.65</v>
      </c>
      <c r="C52" s="161">
        <f>+C40/0.27*1</f>
        <v>16116.962962962965</v>
      </c>
      <c r="D52" s="61">
        <v>0.0055</v>
      </c>
      <c r="E52" s="160">
        <f t="shared" si="1"/>
        <v>122.1</v>
      </c>
      <c r="F52" s="160">
        <f t="shared" si="2"/>
        <v>9230.049999999996</v>
      </c>
      <c r="G52" s="160">
        <f t="shared" si="0"/>
        <v>291744.662962963</v>
      </c>
      <c r="H52" s="58" t="s">
        <v>277</v>
      </c>
    </row>
    <row r="53" spans="1:8" ht="15">
      <c r="A53" s="139">
        <v>40210</v>
      </c>
      <c r="B53" s="162">
        <f t="shared" si="3"/>
        <v>282514.612962963</v>
      </c>
      <c r="C53" s="161">
        <f>+C41/0.27*1</f>
        <v>15864.222222222223</v>
      </c>
      <c r="D53" s="61">
        <v>0.0055</v>
      </c>
      <c r="E53" s="160">
        <f t="shared" si="1"/>
        <v>129.49</v>
      </c>
      <c r="F53" s="160">
        <f t="shared" si="2"/>
        <v>9359.539999999995</v>
      </c>
      <c r="G53" s="160">
        <f t="shared" si="0"/>
        <v>307738.3751851852</v>
      </c>
      <c r="H53" s="58" t="s">
        <v>277</v>
      </c>
    </row>
    <row r="54" spans="1:8" ht="15">
      <c r="A54" s="139">
        <v>40238</v>
      </c>
      <c r="B54" s="162">
        <f t="shared" si="3"/>
        <v>298378.83518518525</v>
      </c>
      <c r="C54" s="161">
        <f>+C42/0.27*1</f>
        <v>16447.14814814815</v>
      </c>
      <c r="D54" s="61">
        <v>0.0055</v>
      </c>
      <c r="E54" s="160">
        <f t="shared" si="1"/>
        <v>136.76</v>
      </c>
      <c r="F54" s="160">
        <f t="shared" si="2"/>
        <v>9496.299999999996</v>
      </c>
      <c r="G54" s="160">
        <f t="shared" si="0"/>
        <v>324322.2833333334</v>
      </c>
      <c r="H54" s="58" t="s">
        <v>277</v>
      </c>
    </row>
    <row r="55" spans="1:11" ht="15">
      <c r="A55" s="139">
        <v>40269</v>
      </c>
      <c r="B55" s="162">
        <f t="shared" si="3"/>
        <v>314825.9833333334</v>
      </c>
      <c r="C55" s="161">
        <f>+C43/0.27*1</f>
        <v>32988.7037037037</v>
      </c>
      <c r="D55" s="61">
        <v>0</v>
      </c>
      <c r="E55" s="160">
        <f t="shared" si="1"/>
        <v>144.3</v>
      </c>
      <c r="F55" s="160">
        <f t="shared" si="2"/>
        <v>9640.599999999995</v>
      </c>
      <c r="G55" s="160">
        <f t="shared" si="0"/>
        <v>357455.2870370371</v>
      </c>
      <c r="H55" s="58" t="s">
        <v>277</v>
      </c>
      <c r="K55" s="59" t="s">
        <v>241</v>
      </c>
    </row>
    <row r="56" spans="1:7" ht="15">
      <c r="A56" s="139">
        <v>40299</v>
      </c>
      <c r="B56" s="162">
        <f t="shared" si="3"/>
        <v>347814.6870370371</v>
      </c>
      <c r="C56" s="161">
        <v>0</v>
      </c>
      <c r="D56" s="61">
        <v>0</v>
      </c>
      <c r="E56" s="160">
        <f t="shared" si="1"/>
        <v>0</v>
      </c>
      <c r="F56" s="160">
        <f t="shared" si="2"/>
        <v>9640.599999999995</v>
      </c>
      <c r="G56" s="160">
        <f t="shared" si="0"/>
        <v>357455.2870370371</v>
      </c>
    </row>
    <row r="57" spans="1:7" ht="15">
      <c r="A57" s="139">
        <v>40330</v>
      </c>
      <c r="B57" s="162">
        <f t="shared" si="3"/>
        <v>347814.6870370371</v>
      </c>
      <c r="C57" s="161">
        <v>0</v>
      </c>
      <c r="D57" s="61">
        <v>0</v>
      </c>
      <c r="E57" s="160">
        <f t="shared" si="1"/>
        <v>0</v>
      </c>
      <c r="F57" s="160">
        <f t="shared" si="2"/>
        <v>9640.599999999995</v>
      </c>
      <c r="G57" s="160">
        <f t="shared" si="0"/>
        <v>357455.2870370371</v>
      </c>
    </row>
    <row r="58" spans="1:7" ht="15">
      <c r="A58" s="139">
        <v>40360</v>
      </c>
      <c r="B58" s="162">
        <f t="shared" si="3"/>
        <v>347814.6870370371</v>
      </c>
      <c r="C58" s="161">
        <v>0</v>
      </c>
      <c r="D58" s="61">
        <v>0</v>
      </c>
      <c r="E58" s="160">
        <f t="shared" si="1"/>
        <v>0</v>
      </c>
      <c r="F58" s="160">
        <f t="shared" si="2"/>
        <v>9640.599999999995</v>
      </c>
      <c r="G58" s="160">
        <f t="shared" si="0"/>
        <v>357455.2870370371</v>
      </c>
    </row>
    <row r="59" spans="1:7" ht="15">
      <c r="A59" s="139">
        <v>40391</v>
      </c>
      <c r="B59" s="162">
        <f t="shared" si="3"/>
        <v>347814.6870370371</v>
      </c>
      <c r="C59" s="161">
        <v>0</v>
      </c>
      <c r="D59" s="61">
        <v>0</v>
      </c>
      <c r="E59" s="160">
        <f t="shared" si="1"/>
        <v>0</v>
      </c>
      <c r="F59" s="160">
        <f t="shared" si="2"/>
        <v>9640.599999999995</v>
      </c>
      <c r="G59" s="160">
        <f t="shared" si="0"/>
        <v>357455.2870370371</v>
      </c>
    </row>
    <row r="60" spans="1:7" ht="15">
      <c r="A60" s="139">
        <v>40422</v>
      </c>
      <c r="B60" s="162">
        <f t="shared" si="3"/>
        <v>347814.6870370371</v>
      </c>
      <c r="C60" s="161">
        <v>0</v>
      </c>
      <c r="D60" s="61">
        <v>0</v>
      </c>
      <c r="E60" s="160">
        <f t="shared" si="1"/>
        <v>0</v>
      </c>
      <c r="F60" s="160">
        <f t="shared" si="2"/>
        <v>9640.599999999995</v>
      </c>
      <c r="G60" s="160">
        <f t="shared" si="0"/>
        <v>357455.2870370371</v>
      </c>
    </row>
    <row r="61" spans="1:7" ht="15">
      <c r="A61" s="139">
        <v>40452</v>
      </c>
      <c r="B61" s="162">
        <f t="shared" si="3"/>
        <v>347814.6870370371</v>
      </c>
      <c r="C61" s="161">
        <v>0</v>
      </c>
      <c r="D61" s="61">
        <v>0</v>
      </c>
      <c r="E61" s="160">
        <f t="shared" si="1"/>
        <v>0</v>
      </c>
      <c r="F61" s="160">
        <f t="shared" si="2"/>
        <v>9640.599999999995</v>
      </c>
      <c r="G61" s="160">
        <f t="shared" si="0"/>
        <v>357455.2870370371</v>
      </c>
    </row>
    <row r="62" spans="1:7" ht="15">
      <c r="A62" s="139">
        <v>40483</v>
      </c>
      <c r="B62" s="162">
        <f t="shared" si="3"/>
        <v>347814.6870370371</v>
      </c>
      <c r="C62" s="161">
        <v>0</v>
      </c>
      <c r="D62" s="61">
        <v>0</v>
      </c>
      <c r="E62" s="160">
        <f t="shared" si="1"/>
        <v>0</v>
      </c>
      <c r="F62" s="160">
        <f t="shared" si="2"/>
        <v>9640.599999999995</v>
      </c>
      <c r="G62" s="160">
        <f t="shared" si="0"/>
        <v>357455.2870370371</v>
      </c>
    </row>
    <row r="63" spans="1:7" ht="15">
      <c r="A63" s="139">
        <v>40513</v>
      </c>
      <c r="B63" s="162">
        <f t="shared" si="3"/>
        <v>347814.6870370371</v>
      </c>
      <c r="C63" s="161">
        <v>0</v>
      </c>
      <c r="D63" s="61">
        <v>0</v>
      </c>
      <c r="E63" s="160">
        <f t="shared" si="1"/>
        <v>0</v>
      </c>
      <c r="F63" s="160">
        <f t="shared" si="2"/>
        <v>9640.599999999995</v>
      </c>
      <c r="G63" s="160">
        <f t="shared" si="0"/>
        <v>357455.2870370371</v>
      </c>
    </row>
    <row r="64" spans="1:7" ht="15">
      <c r="A64" s="139">
        <v>40544</v>
      </c>
      <c r="B64" s="162">
        <f t="shared" si="3"/>
        <v>347814.6870370371</v>
      </c>
      <c r="C64" s="161">
        <v>0</v>
      </c>
      <c r="D64" s="61">
        <v>0</v>
      </c>
      <c r="E64" s="160">
        <f t="shared" si="1"/>
        <v>0</v>
      </c>
      <c r="F64" s="160">
        <f t="shared" si="2"/>
        <v>9640.599999999995</v>
      </c>
      <c r="G64" s="160">
        <f t="shared" si="0"/>
        <v>357455.2870370371</v>
      </c>
    </row>
    <row r="65" spans="1:7" ht="15">
      <c r="A65" s="139">
        <v>40575</v>
      </c>
      <c r="B65" s="162">
        <f t="shared" si="3"/>
        <v>347814.6870370371</v>
      </c>
      <c r="C65" s="161">
        <v>0</v>
      </c>
      <c r="D65" s="61">
        <v>0</v>
      </c>
      <c r="E65" s="160">
        <f t="shared" si="1"/>
        <v>0</v>
      </c>
      <c r="F65" s="160">
        <f t="shared" si="2"/>
        <v>9640.599999999995</v>
      </c>
      <c r="G65" s="160">
        <f t="shared" si="0"/>
        <v>357455.2870370371</v>
      </c>
    </row>
    <row r="66" spans="1:7" ht="15">
      <c r="A66" s="139">
        <v>40603</v>
      </c>
      <c r="B66" s="162">
        <f t="shared" si="3"/>
        <v>347814.6870370371</v>
      </c>
      <c r="C66" s="161">
        <v>0</v>
      </c>
      <c r="D66" s="61">
        <v>0</v>
      </c>
      <c r="E66" s="160">
        <f t="shared" si="1"/>
        <v>0</v>
      </c>
      <c r="F66" s="160">
        <f t="shared" si="2"/>
        <v>9640.599999999995</v>
      </c>
      <c r="G66" s="160">
        <f t="shared" si="0"/>
        <v>357455.2870370371</v>
      </c>
    </row>
    <row r="67" spans="1:7" ht="15">
      <c r="A67" s="139">
        <v>40634</v>
      </c>
      <c r="B67" s="162">
        <f t="shared" si="3"/>
        <v>347814.6870370371</v>
      </c>
      <c r="C67" s="161">
        <v>0</v>
      </c>
      <c r="D67" s="61">
        <v>0</v>
      </c>
      <c r="E67" s="160">
        <f t="shared" si="1"/>
        <v>0</v>
      </c>
      <c r="F67" s="160">
        <f t="shared" si="2"/>
        <v>9640.599999999995</v>
      </c>
      <c r="G67" s="160">
        <f t="shared" si="0"/>
        <v>357455.2870370371</v>
      </c>
    </row>
    <row r="68" spans="1:7" ht="15">
      <c r="A68" s="139">
        <v>40664</v>
      </c>
      <c r="B68" s="162">
        <f t="shared" si="3"/>
        <v>347814.6870370371</v>
      </c>
      <c r="C68" s="161">
        <v>0</v>
      </c>
      <c r="D68" s="61">
        <v>0</v>
      </c>
      <c r="E68" s="160">
        <f t="shared" si="1"/>
        <v>0</v>
      </c>
      <c r="F68" s="160">
        <f t="shared" si="2"/>
        <v>9640.599999999995</v>
      </c>
      <c r="G68" s="160">
        <f t="shared" si="0"/>
        <v>357455.2870370371</v>
      </c>
    </row>
    <row r="69" spans="1:7" ht="15">
      <c r="A69" s="139">
        <v>40695</v>
      </c>
      <c r="B69" s="162">
        <f t="shared" si="3"/>
        <v>347814.6870370371</v>
      </c>
      <c r="C69" s="161">
        <v>0</v>
      </c>
      <c r="D69" s="61">
        <v>0</v>
      </c>
      <c r="E69" s="160">
        <f t="shared" si="1"/>
        <v>0</v>
      </c>
      <c r="F69" s="160">
        <f t="shared" si="2"/>
        <v>9640.599999999995</v>
      </c>
      <c r="G69" s="160">
        <f t="shared" si="0"/>
        <v>357455.2870370371</v>
      </c>
    </row>
    <row r="70" spans="1:7" ht="15">
      <c r="A70" s="139">
        <v>40725</v>
      </c>
      <c r="B70" s="162">
        <f t="shared" si="3"/>
        <v>347814.6870370371</v>
      </c>
      <c r="C70" s="161">
        <v>0</v>
      </c>
      <c r="D70" s="61">
        <v>0</v>
      </c>
      <c r="E70" s="160">
        <f t="shared" si="1"/>
        <v>0</v>
      </c>
      <c r="F70" s="160">
        <f t="shared" si="2"/>
        <v>9640.599999999995</v>
      </c>
      <c r="G70" s="160">
        <f t="shared" si="0"/>
        <v>357455.2870370371</v>
      </c>
    </row>
    <row r="71" spans="1:7" ht="15">
      <c r="A71" s="139">
        <v>40756</v>
      </c>
      <c r="B71" s="162">
        <f t="shared" si="3"/>
        <v>347814.6870370371</v>
      </c>
      <c r="C71" s="161">
        <v>0</v>
      </c>
      <c r="D71" s="61">
        <v>0</v>
      </c>
      <c r="E71" s="160">
        <f t="shared" si="1"/>
        <v>0</v>
      </c>
      <c r="F71" s="160">
        <f t="shared" si="2"/>
        <v>9640.599999999995</v>
      </c>
      <c r="G71" s="160">
        <f t="shared" si="0"/>
        <v>357455.2870370371</v>
      </c>
    </row>
    <row r="72" spans="1:7" ht="15">
      <c r="A72" s="139">
        <v>40787</v>
      </c>
      <c r="B72" s="162">
        <f t="shared" si="3"/>
        <v>347814.6870370371</v>
      </c>
      <c r="C72" s="161">
        <v>0</v>
      </c>
      <c r="D72" s="61">
        <v>0</v>
      </c>
      <c r="E72" s="160">
        <f t="shared" si="1"/>
        <v>0</v>
      </c>
      <c r="F72" s="160">
        <f t="shared" si="2"/>
        <v>9640.599999999995</v>
      </c>
      <c r="G72" s="160">
        <f t="shared" si="0"/>
        <v>357455.2870370371</v>
      </c>
    </row>
    <row r="73" spans="1:7" ht="15">
      <c r="A73" s="139">
        <v>40817</v>
      </c>
      <c r="B73" s="162">
        <f t="shared" si="3"/>
        <v>347814.6870370371</v>
      </c>
      <c r="C73" s="161">
        <v>0</v>
      </c>
      <c r="D73" s="61">
        <v>0</v>
      </c>
      <c r="E73" s="160">
        <f t="shared" si="1"/>
        <v>0</v>
      </c>
      <c r="F73" s="160">
        <f t="shared" si="2"/>
        <v>9640.599999999995</v>
      </c>
      <c r="G73" s="160">
        <f t="shared" si="0"/>
        <v>357455.2870370371</v>
      </c>
    </row>
    <row r="74" spans="1:7" ht="15">
      <c r="A74" s="139">
        <v>40848</v>
      </c>
      <c r="B74" s="162">
        <f t="shared" si="3"/>
        <v>347814.6870370371</v>
      </c>
      <c r="C74" s="161">
        <v>0</v>
      </c>
      <c r="D74" s="61">
        <v>0</v>
      </c>
      <c r="E74" s="160">
        <f t="shared" si="1"/>
        <v>0</v>
      </c>
      <c r="F74" s="160">
        <f t="shared" si="2"/>
        <v>9640.599999999995</v>
      </c>
      <c r="G74" s="160">
        <f aca="true" t="shared" si="4" ref="G74:G80">+B75+F74</f>
        <v>357455.2870370371</v>
      </c>
    </row>
    <row r="75" spans="1:7" ht="15">
      <c r="A75" s="139">
        <v>40878</v>
      </c>
      <c r="B75" s="162">
        <f t="shared" si="3"/>
        <v>347814.6870370371</v>
      </c>
      <c r="C75" s="161">
        <v>0</v>
      </c>
      <c r="D75" s="61">
        <v>0</v>
      </c>
      <c r="E75" s="160">
        <f aca="true" t="shared" si="5" ref="E75:E80">ROUND((B75*D74)/12,2)</f>
        <v>0</v>
      </c>
      <c r="F75" s="160">
        <f t="shared" si="2"/>
        <v>9640.599999999995</v>
      </c>
      <c r="G75" s="160">
        <f t="shared" si="4"/>
        <v>357455.2870370371</v>
      </c>
    </row>
    <row r="76" spans="1:7" ht="15">
      <c r="A76" s="139">
        <v>40909</v>
      </c>
      <c r="B76" s="162">
        <f t="shared" si="3"/>
        <v>347814.6870370371</v>
      </c>
      <c r="C76" s="161">
        <v>0</v>
      </c>
      <c r="D76" s="61">
        <v>0</v>
      </c>
      <c r="E76" s="160">
        <f t="shared" si="5"/>
        <v>0</v>
      </c>
      <c r="F76" s="160">
        <f>+E76+F75</f>
        <v>9640.599999999995</v>
      </c>
      <c r="G76" s="160">
        <f t="shared" si="4"/>
        <v>357455.2870370371</v>
      </c>
    </row>
    <row r="77" spans="1:7" ht="15">
      <c r="A77" s="139">
        <v>40940</v>
      </c>
      <c r="B77" s="162">
        <f>+B76+C76</f>
        <v>347814.6870370371</v>
      </c>
      <c r="C77" s="161">
        <v>0</v>
      </c>
      <c r="D77" s="61">
        <v>0</v>
      </c>
      <c r="E77" s="160">
        <f t="shared" si="5"/>
        <v>0</v>
      </c>
      <c r="F77" s="160">
        <f>+E77+F76</f>
        <v>9640.599999999995</v>
      </c>
      <c r="G77" s="160">
        <f t="shared" si="4"/>
        <v>357455.2870370371</v>
      </c>
    </row>
    <row r="78" spans="1:7" ht="15">
      <c r="A78" s="139">
        <v>40969</v>
      </c>
      <c r="B78" s="162">
        <f>+B77+C77</f>
        <v>347814.6870370371</v>
      </c>
      <c r="C78" s="161">
        <v>0</v>
      </c>
      <c r="D78" s="61">
        <v>0</v>
      </c>
      <c r="E78" s="160">
        <f t="shared" si="5"/>
        <v>0</v>
      </c>
      <c r="F78" s="160">
        <f>+E78+F77</f>
        <v>9640.599999999995</v>
      </c>
      <c r="G78" s="160">
        <f t="shared" si="4"/>
        <v>357455.2870370371</v>
      </c>
    </row>
    <row r="79" spans="1:7" ht="15">
      <c r="A79" s="139">
        <v>41000</v>
      </c>
      <c r="B79" s="162">
        <f>+B78+C78</f>
        <v>347814.6870370371</v>
      </c>
      <c r="C79" s="161">
        <v>0</v>
      </c>
      <c r="D79" s="61">
        <v>0</v>
      </c>
      <c r="E79" s="160">
        <f t="shared" si="5"/>
        <v>0</v>
      </c>
      <c r="F79" s="160">
        <f>+E79+F78</f>
        <v>9640.599999999995</v>
      </c>
      <c r="G79" s="160">
        <f t="shared" si="4"/>
        <v>357455.2870370371</v>
      </c>
    </row>
    <row r="80" spans="1:7" ht="15">
      <c r="A80" s="139">
        <v>41030</v>
      </c>
      <c r="B80" s="162">
        <f>+B79+C79</f>
        <v>347814.6870370371</v>
      </c>
      <c r="C80" s="161">
        <v>0</v>
      </c>
      <c r="D80" s="61">
        <v>0</v>
      </c>
      <c r="E80" s="160">
        <f t="shared" si="5"/>
        <v>0</v>
      </c>
      <c r="F80" s="160">
        <f>+E80+F79</f>
        <v>9640.599999999995</v>
      </c>
      <c r="G80" s="160">
        <f t="shared" si="4"/>
        <v>9640.599999999995</v>
      </c>
    </row>
  </sheetData>
  <sheetProtection/>
  <mergeCells count="1">
    <mergeCell ref="A1:G1"/>
  </mergeCells>
  <printOptions/>
  <pageMargins left="0.75" right="0.75" top="1" bottom="1" header="0.5" footer="0.5"/>
  <pageSetup fitToHeight="1" fitToWidth="1" horizontalDpi="600" verticalDpi="600" orientation="portrait" scale="50"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legacyDrawing r:id="rId2"/>
</worksheet>
</file>

<file path=xl/worksheets/sheet8.xml><?xml version="1.0" encoding="utf-8"?>
<worksheet xmlns="http://schemas.openxmlformats.org/spreadsheetml/2006/main" xmlns:r="http://schemas.openxmlformats.org/officeDocument/2006/relationships">
  <dimension ref="B1:E20"/>
  <sheetViews>
    <sheetView zoomScalePageLayoutView="0" workbookViewId="0" topLeftCell="A1">
      <selection activeCell="C20" sqref="C20"/>
    </sheetView>
  </sheetViews>
  <sheetFormatPr defaultColWidth="9.140625" defaultRowHeight="12.75"/>
  <cols>
    <col min="2" max="2" width="46.57421875" style="0" bestFit="1" customWidth="1"/>
    <col min="3" max="3" width="11.7109375" style="0" bestFit="1" customWidth="1"/>
    <col min="4" max="4" width="8.140625" style="0" bestFit="1" customWidth="1"/>
  </cols>
  <sheetData>
    <row r="1" spans="2:5" ht="12.75">
      <c r="B1" s="195" t="s">
        <v>281</v>
      </c>
      <c r="C1" s="196"/>
      <c r="E1" s="170"/>
    </row>
    <row r="2" spans="2:5" ht="12.75">
      <c r="B2" s="196"/>
      <c r="C2" s="196"/>
      <c r="E2" s="170"/>
    </row>
    <row r="4" ht="12.75">
      <c r="B4" s="172" t="s">
        <v>268</v>
      </c>
    </row>
    <row r="5" spans="2:4" ht="12.75">
      <c r="B5" t="s">
        <v>269</v>
      </c>
      <c r="C5" s="166">
        <f>+'4. Smart Meter Rev Req'!Q55</f>
        <v>456946.95680454676</v>
      </c>
      <c r="D5" t="s">
        <v>241</v>
      </c>
    </row>
    <row r="6" spans="3:4" ht="12.75">
      <c r="C6" s="165"/>
      <c r="D6" t="s">
        <v>241</v>
      </c>
    </row>
    <row r="7" spans="2:4" ht="12.75">
      <c r="B7" s="172" t="s">
        <v>270</v>
      </c>
      <c r="C7" s="165"/>
      <c r="D7" t="s">
        <v>241</v>
      </c>
    </row>
    <row r="8" spans="2:5" ht="12.75">
      <c r="B8" t="s">
        <v>271</v>
      </c>
      <c r="C8" s="169">
        <f>-'7. Funding Adder Collected'!G19</f>
        <v>-50882.340000000004</v>
      </c>
      <c r="D8" s="164"/>
      <c r="E8" t="s">
        <v>241</v>
      </c>
    </row>
    <row r="9" spans="2:5" ht="12.75">
      <c r="B9" t="s">
        <v>272</v>
      </c>
      <c r="C9" s="168">
        <f>-'7. Funding Adder Collected'!G31+'7. Funding Adder Collected'!G19</f>
        <v>-55021.19999999999</v>
      </c>
      <c r="D9" s="164"/>
      <c r="E9" t="s">
        <v>241</v>
      </c>
    </row>
    <row r="10" spans="2:5" ht="12.75">
      <c r="B10" t="s">
        <v>273</v>
      </c>
      <c r="C10" s="168">
        <f>-'7. Funding Adder Collected'!G43+'7. Funding Adder Collected'!G31</f>
        <v>-56015.78000000004</v>
      </c>
      <c r="D10" s="164"/>
      <c r="E10" t="s">
        <v>241</v>
      </c>
    </row>
    <row r="11" spans="2:5" ht="12.75">
      <c r="B11" t="s">
        <v>274</v>
      </c>
      <c r="C11" s="168">
        <f>-'7. Funding Adder Collected'!G55+'7. Funding Adder Collected'!G43</f>
        <v>-195535.96703703704</v>
      </c>
      <c r="D11" s="164"/>
      <c r="E11" t="s">
        <v>241</v>
      </c>
    </row>
    <row r="12" spans="3:5" ht="13.5" thickBot="1">
      <c r="C12" s="171">
        <f>SUM(C7:C11)</f>
        <v>-357455.2870370371</v>
      </c>
      <c r="D12" s="164"/>
      <c r="E12" t="s">
        <v>241</v>
      </c>
    </row>
    <row r="13" spans="3:5" ht="13.5" thickTop="1">
      <c r="C13" s="165"/>
      <c r="E13" t="s">
        <v>241</v>
      </c>
    </row>
    <row r="14" spans="2:4" ht="12.75">
      <c r="B14" t="s">
        <v>275</v>
      </c>
      <c r="C14" s="166">
        <f>+C5+C12</f>
        <v>99491.66976750968</v>
      </c>
      <c r="D14" t="s">
        <v>241</v>
      </c>
    </row>
    <row r="15" ht="12.75">
      <c r="D15" t="s">
        <v>241</v>
      </c>
    </row>
    <row r="16" spans="2:4" ht="12.75">
      <c r="B16" s="173" t="s">
        <v>282</v>
      </c>
      <c r="C16" s="164">
        <f>+'2. Smart Meter Data'!H10</f>
        <v>15971</v>
      </c>
      <c r="D16" t="s">
        <v>241</v>
      </c>
    </row>
    <row r="17" ht="12.75">
      <c r="D17" t="s">
        <v>241</v>
      </c>
    </row>
    <row r="18" spans="2:3" ht="12.75">
      <c r="B18" s="173" t="s">
        <v>283</v>
      </c>
      <c r="C18">
        <v>12</v>
      </c>
    </row>
    <row r="19" ht="12.75">
      <c r="D19" t="s">
        <v>241</v>
      </c>
    </row>
    <row r="20" spans="2:5" ht="13.5" thickBot="1">
      <c r="B20" t="s">
        <v>276</v>
      </c>
      <c r="C20" s="174">
        <f>+C14/C16/C18</f>
        <v>0.5191266971777476</v>
      </c>
      <c r="E20" t="s">
        <v>241</v>
      </c>
    </row>
    <row r="21" ht="13.5" thickTop="1"/>
  </sheetData>
  <sheetProtection/>
  <mergeCells count="1">
    <mergeCell ref="B1: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Dana Witt</cp:lastModifiedBy>
  <cp:lastPrinted>2009-08-06T17:54:35Z</cp:lastPrinted>
  <dcterms:created xsi:type="dcterms:W3CDTF">2007-08-13T15:48:29Z</dcterms:created>
  <dcterms:modified xsi:type="dcterms:W3CDTF">2010-03-02T19:35:04Z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