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dsmelsky</author>
  </authors>
  <commentList>
    <comment ref="C51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As per Revised PILS_ C&amp;DM Capital Portion of 2005 3rd Tranche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<sst xmlns="http://schemas.openxmlformats.org/spreadsheetml/2006/main" count="875" uniqueCount="501">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</sst>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0"/>
    </font>
    <font>
      <b/>
      <sz val="11"/>
      <name val="Tahoma"/>
      <family val="0"/>
    </font>
  </fonts>
  <fills count="1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2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11" borderId="11" xfId="0" applyNumberFormat="1" applyFont="1" applyFill="1" applyBorder="1" applyAlignment="1" applyProtection="1">
      <alignment horizontal="center" vertical="top"/>
      <protection locked="0"/>
    </xf>
    <xf numFmtId="3" fontId="0" fillId="11" borderId="8" xfId="0" applyNumberFormat="1" applyFill="1" applyBorder="1" applyAlignment="1" applyProtection="1">
      <alignment horizontal="right" vertical="top"/>
      <protection/>
    </xf>
    <xf numFmtId="3" fontId="0" fillId="5" borderId="53" xfId="0" applyNumberFormat="1" applyFill="1" applyBorder="1" applyAlignment="1" applyProtection="1">
      <alignment/>
      <protection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5" fontId="0" fillId="0" borderId="0" xfId="18" applyNumberFormat="1" applyBorder="1" applyAlignment="1">
      <alignment vertical="top"/>
    </xf>
    <xf numFmtId="10" fontId="0" fillId="11" borderId="0" xfId="27" applyFill="1" applyAlignment="1">
      <alignment vertical="top"/>
    </xf>
    <xf numFmtId="3" fontId="0" fillId="14" borderId="8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4">
      <selection activeCell="E51" sqref="E5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499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471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6" t="s">
        <v>442</v>
      </c>
      <c r="E4" s="431"/>
      <c r="H4" s="8"/>
    </row>
    <row r="5" spans="1:8" ht="12.75">
      <c r="A5" s="52"/>
      <c r="C5" s="8"/>
      <c r="D5" s="455" t="s">
        <v>443</v>
      </c>
      <c r="E5" s="401"/>
      <c r="H5" s="8"/>
    </row>
    <row r="6" spans="1:8" ht="12.75">
      <c r="A6" s="2" t="s">
        <v>126</v>
      </c>
      <c r="B6" s="39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2" t="s">
        <v>315</v>
      </c>
      <c r="C18" s="8"/>
      <c r="D18" s="8"/>
    </row>
    <row r="19" spans="1:4" ht="15" customHeight="1">
      <c r="A19" s="498" t="s">
        <v>316</v>
      </c>
      <c r="B19" s="8" t="s">
        <v>313</v>
      </c>
      <c r="C19" s="8" t="s">
        <v>64</v>
      </c>
      <c r="D19" s="391"/>
    </row>
    <row r="20" spans="1:4" ht="13.5" thickBot="1">
      <c r="A20" s="499"/>
      <c r="B20" s="8" t="s">
        <v>314</v>
      </c>
      <c r="C20" s="8" t="s">
        <v>64</v>
      </c>
      <c r="D20" s="259"/>
    </row>
    <row r="21" spans="1:4" ht="12.75">
      <c r="A21" s="498" t="s">
        <v>312</v>
      </c>
      <c r="B21" s="8" t="s">
        <v>313</v>
      </c>
      <c r="C21" s="8"/>
      <c r="D21" s="426">
        <v>1</v>
      </c>
    </row>
    <row r="22" spans="1:4" ht="12.75">
      <c r="A22" s="498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485</v>
      </c>
    </row>
    <row r="25" ht="6.75" customHeight="1" thickBot="1">
      <c r="A25" s="12"/>
    </row>
    <row r="26" spans="1:5" ht="12.75">
      <c r="A26" s="256" t="s">
        <v>67</v>
      </c>
      <c r="C26" s="8"/>
      <c r="E26" s="446" t="s">
        <v>297</v>
      </c>
    </row>
    <row r="27" spans="1:5" ht="12.75">
      <c r="A27" s="257" t="s">
        <v>68</v>
      </c>
      <c r="C27" s="8"/>
      <c r="E27" s="447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715262</v>
      </c>
      <c r="E47" s="390">
        <f aca="true" t="shared" si="0" ref="E47:E53">D47</f>
        <v>715262</v>
      </c>
      <c r="H47" s="40"/>
      <c r="J47" s="5"/>
      <c r="K47" s="5"/>
    </row>
    <row r="48" spans="1:11" ht="12.75">
      <c r="A48" t="s">
        <v>290</v>
      </c>
      <c r="D48" s="429">
        <v>715262</v>
      </c>
      <c r="E48" s="390">
        <f>D48</f>
        <v>715262</v>
      </c>
      <c r="F48" s="22"/>
      <c r="H48" s="40"/>
      <c r="J48" s="5"/>
      <c r="K48" s="5"/>
    </row>
    <row r="49" spans="1:11" ht="12.75">
      <c r="A49" t="s">
        <v>291</v>
      </c>
      <c r="D49" s="430"/>
      <c r="E49" s="390">
        <f>D49</f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439</v>
      </c>
      <c r="C51" s="496">
        <v>0.94</v>
      </c>
      <c r="D51" s="431">
        <v>715262</v>
      </c>
      <c r="E51" s="390">
        <f>+C51*D51+1</f>
        <v>672347.2799999999</v>
      </c>
      <c r="G51" s="3"/>
      <c r="H51" s="40"/>
      <c r="J51" s="5"/>
      <c r="K51" s="5"/>
    </row>
    <row r="52" spans="1:11" ht="12.75">
      <c r="A52" t="s">
        <v>462</v>
      </c>
      <c r="D52" s="431"/>
      <c r="E52" s="390">
        <v>108653</v>
      </c>
      <c r="G52" s="495"/>
      <c r="H52" s="40"/>
      <c r="J52" s="5"/>
      <c r="K52" s="5"/>
    </row>
    <row r="53" spans="4:11" ht="12.75">
      <c r="D53" s="431"/>
      <c r="E53" s="390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5">
        <f>SUM(E43:E53)</f>
        <v>2211524.28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302723.2632807939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605446.5265615878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605446.5265615878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85" r:id="rId3"/>
  <headerFooter alignWithMargins="0">
    <oddHeader>&amp;R&amp;9Halton Hills Hydro Inc.
EB-2008-0381
Deferred PILs Combined Proceeding
Appendix B</oddHeader>
    <oddFooter>&amp;L&amp;8March 22, 2010&amp;R&amp;"Arial,Bold"&amp;9&amp;A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64">
      <selection activeCell="E51" sqref="E5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EB-2008-0381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464</v>
      </c>
      <c r="H1" s="211"/>
    </row>
    <row r="2" spans="1:8" ht="12.75">
      <c r="A2" s="212" t="s">
        <v>463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465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7"/>
    </row>
    <row r="7" spans="1:8" ht="12.75">
      <c r="A7" s="212" t="str">
        <f>REGINFO!A4</f>
        <v>Reporting period:  2005</v>
      </c>
      <c r="B7" s="116"/>
      <c r="D7" s="138"/>
      <c r="E7" s="116"/>
      <c r="G7" s="116"/>
      <c r="H7" s="467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2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2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60">
        <f>REGINFO!E54</f>
        <v>2211524.28</v>
      </c>
      <c r="D16" s="17"/>
      <c r="E16" s="268">
        <f>G16-C16</f>
        <v>248571.7200000002</v>
      </c>
      <c r="F16" s="3"/>
      <c r="G16" s="268">
        <f>TAXREC!E50</f>
        <v>2460096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2">
        <v>1682279</v>
      </c>
      <c r="D20" s="18"/>
      <c r="E20" s="268">
        <f>G20-C20</f>
        <v>200022</v>
      </c>
      <c r="F20" s="6"/>
      <c r="G20" s="268">
        <f>TAXREC!E61</f>
        <v>1882301</v>
      </c>
      <c r="H20" s="152"/>
    </row>
    <row r="21" spans="1:8" ht="12.75">
      <c r="A21" s="159" t="s">
        <v>56</v>
      </c>
      <c r="B21" s="128">
        <v>3</v>
      </c>
      <c r="C21" s="262">
        <v>15448</v>
      </c>
      <c r="D21" s="18"/>
      <c r="E21" s="268">
        <f>G21-C21</f>
        <v>13772</v>
      </c>
      <c r="F21" s="6"/>
      <c r="G21" s="268">
        <f>TAXREC!E62</f>
        <v>29220</v>
      </c>
      <c r="H21" s="152"/>
    </row>
    <row r="22" spans="1:8" ht="12.75">
      <c r="A22" s="159" t="s">
        <v>264</v>
      </c>
      <c r="B22" s="128">
        <v>4</v>
      </c>
      <c r="C22" s="262"/>
      <c r="D22" s="18"/>
      <c r="E22" s="268">
        <f>G22-C22</f>
        <v>70004</v>
      </c>
      <c r="F22" s="6"/>
      <c r="G22" s="268">
        <f>TAXREC!E63</f>
        <v>70004</v>
      </c>
      <c r="H22" s="152"/>
    </row>
    <row r="23" spans="1:8" ht="12.75">
      <c r="A23" s="159" t="s">
        <v>263</v>
      </c>
      <c r="B23" s="128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2"/>
    </row>
    <row r="24" spans="1:8" ht="12.75">
      <c r="A24" s="159" t="s">
        <v>265</v>
      </c>
      <c r="B24" s="128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2">
        <v>52983</v>
      </c>
      <c r="D26" s="18"/>
      <c r="E26" s="268">
        <f>G26-C26</f>
        <v>-52983</v>
      </c>
      <c r="F26" s="6"/>
      <c r="G26" s="268">
        <f>TAXREC!E92</f>
        <v>0</v>
      </c>
      <c r="H26" s="152"/>
    </row>
    <row r="27" spans="1:8" ht="12.75">
      <c r="A27" s="159" t="s">
        <v>159</v>
      </c>
      <c r="B27" s="128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2"/>
    </row>
    <row r="28" spans="1:8" ht="12.75">
      <c r="A28" s="159" t="s">
        <v>158</v>
      </c>
      <c r="B28" s="128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2"/>
    </row>
    <row r="29" spans="1:8" ht="12.75">
      <c r="A29" s="159" t="s">
        <v>157</v>
      </c>
      <c r="B29" s="128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2"/>
    </row>
    <row r="30" spans="1:8" ht="15">
      <c r="A30" s="484" t="s">
        <v>395</v>
      </c>
      <c r="B30" s="128"/>
      <c r="C30" s="260"/>
      <c r="D30" s="18"/>
      <c r="E30" s="268">
        <f>G30-C30</f>
        <v>1336415</v>
      </c>
      <c r="F30" s="6"/>
      <c r="G30" s="268">
        <f>TAXREC!E66</f>
        <v>1336415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2">
        <v>1562567</v>
      </c>
      <c r="D33" s="133"/>
      <c r="E33" s="268">
        <f aca="true" t="shared" si="0" ref="E33:E42">G33-C33</f>
        <v>91111</v>
      </c>
      <c r="F33" s="6"/>
      <c r="G33" s="268">
        <f>TAXREC!E97+TAXREC!E98</f>
        <v>1653678</v>
      </c>
      <c r="H33" s="152"/>
    </row>
    <row r="34" spans="1:8" ht="12.75">
      <c r="A34" s="159" t="s">
        <v>57</v>
      </c>
      <c r="B34" s="128">
        <v>8</v>
      </c>
      <c r="C34" s="262">
        <v>13548</v>
      </c>
      <c r="D34" s="133"/>
      <c r="E34" s="268">
        <f t="shared" si="0"/>
        <v>3172</v>
      </c>
      <c r="F34" s="6"/>
      <c r="G34" s="268">
        <f>TAXREC!E99</f>
        <v>16720</v>
      </c>
      <c r="H34" s="152"/>
    </row>
    <row r="35" spans="1:8" ht="12.75">
      <c r="A35" s="159" t="s">
        <v>45</v>
      </c>
      <c r="B35" s="128">
        <v>9</v>
      </c>
      <c r="C35" s="262">
        <v>0</v>
      </c>
      <c r="D35" s="133"/>
      <c r="E35" s="268">
        <f t="shared" si="0"/>
        <v>0</v>
      </c>
      <c r="F35" s="6"/>
      <c r="G35" s="268">
        <f>TAXREC!E100</f>
        <v>0</v>
      </c>
      <c r="H35" s="152"/>
    </row>
    <row r="36" spans="1:8" ht="12.75">
      <c r="A36" s="159" t="s">
        <v>266</v>
      </c>
      <c r="B36" s="128">
        <v>10</v>
      </c>
      <c r="C36" s="262"/>
      <c r="D36" s="133"/>
      <c r="E36" s="268">
        <f t="shared" si="0"/>
        <v>0</v>
      </c>
      <c r="F36" s="6"/>
      <c r="G36" s="268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1">
        <f>REGINFO!D70</f>
        <v>908170.09</v>
      </c>
      <c r="D37" s="133"/>
      <c r="E37" s="268">
        <f t="shared" si="0"/>
        <v>280663.91000000003</v>
      </c>
      <c r="F37" s="6"/>
      <c r="G37" s="497">
        <f>TAXREC!E51</f>
        <v>1188834</v>
      </c>
      <c r="H37" s="152"/>
    </row>
    <row r="38" spans="1:8" ht="12.75">
      <c r="A38" s="156" t="s">
        <v>262</v>
      </c>
      <c r="B38" s="126">
        <v>4</v>
      </c>
      <c r="C38" s="262"/>
      <c r="D38" s="133"/>
      <c r="E38" s="268">
        <f t="shared" si="0"/>
        <v>0</v>
      </c>
      <c r="F38" s="6"/>
      <c r="G38" s="268">
        <f>TAXREC!E104</f>
        <v>0</v>
      </c>
      <c r="H38" s="152"/>
    </row>
    <row r="39" spans="1:8" ht="12.75">
      <c r="A39" s="156" t="s">
        <v>261</v>
      </c>
      <c r="B39" s="126">
        <v>4</v>
      </c>
      <c r="C39" s="262"/>
      <c r="D39" s="133"/>
      <c r="E39" s="268">
        <f t="shared" si="0"/>
        <v>0</v>
      </c>
      <c r="F39" s="6"/>
      <c r="G39" s="268">
        <f>TAXREC!E105</f>
        <v>0</v>
      </c>
      <c r="H39" s="152"/>
    </row>
    <row r="40" spans="1:8" ht="12.75">
      <c r="A40" s="156" t="s">
        <v>12</v>
      </c>
      <c r="B40" s="126">
        <v>3</v>
      </c>
      <c r="C40" s="262"/>
      <c r="D40" s="133"/>
      <c r="E40" s="268">
        <f t="shared" si="0"/>
        <v>0</v>
      </c>
      <c r="F40" s="6"/>
      <c r="G40" s="268">
        <f>TAXREC!E106</f>
        <v>0</v>
      </c>
      <c r="H40" s="152"/>
    </row>
    <row r="41" spans="1:8" ht="12.75">
      <c r="A41" s="156" t="s">
        <v>13</v>
      </c>
      <c r="B41" s="126">
        <v>3</v>
      </c>
      <c r="C41" s="262"/>
      <c r="D41" s="133"/>
      <c r="E41" s="268">
        <f t="shared" si="0"/>
        <v>0</v>
      </c>
      <c r="F41" s="6"/>
      <c r="G41" s="268">
        <f>TAXREC!E107</f>
        <v>0</v>
      </c>
      <c r="H41" s="152"/>
    </row>
    <row r="42" spans="1:8" ht="12.75">
      <c r="A42" s="156" t="s">
        <v>184</v>
      </c>
      <c r="B42" s="126">
        <v>11</v>
      </c>
      <c r="C42" s="262"/>
      <c r="D42" s="133"/>
      <c r="E42" s="268">
        <f t="shared" si="0"/>
        <v>0</v>
      </c>
      <c r="F42" s="6"/>
      <c r="G42" s="268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2">
        <v>66837</v>
      </c>
      <c r="D44" s="133"/>
      <c r="E44" s="268">
        <f>G44-C44</f>
        <v>-66837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2">
        <v>35200</v>
      </c>
      <c r="D45" s="133"/>
      <c r="E45" s="268">
        <f>G45-C45</f>
        <v>-35200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2"/>
      <c r="D46" s="133"/>
      <c r="E46" s="268">
        <f>G46-C46</f>
        <v>36467</v>
      </c>
      <c r="F46" s="6"/>
      <c r="G46" s="252">
        <f>TAXREC!E110</f>
        <v>36467</v>
      </c>
      <c r="H46" s="152"/>
    </row>
    <row r="47" spans="1:8" ht="12.75">
      <c r="A47" s="159" t="s">
        <v>154</v>
      </c>
      <c r="B47" s="128">
        <v>12</v>
      </c>
      <c r="C47" s="262"/>
      <c r="D47" s="133"/>
      <c r="E47" s="268">
        <f>G47-C47</f>
        <v>0</v>
      </c>
      <c r="F47" s="6"/>
      <c r="G47" s="252">
        <f>TAXREC!E111</f>
        <v>0</v>
      </c>
      <c r="H47" s="152"/>
    </row>
    <row r="48" spans="1:8" ht="15">
      <c r="A48" s="484" t="s">
        <v>395</v>
      </c>
      <c r="B48" s="128"/>
      <c r="C48" s="260"/>
      <c r="D48" s="133"/>
      <c r="E48" s="268">
        <f>G48-C48</f>
        <v>1354775</v>
      </c>
      <c r="F48" s="6"/>
      <c r="G48" s="252">
        <f>TAXREC!E108</f>
        <v>1354775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4">
        <f>C16+SUM(C20:C30)-SUM(C33:C48)</f>
        <v>1375912.19</v>
      </c>
      <c r="D50" s="103"/>
      <c r="E50" s="264">
        <f>E16+SUM(E20:E30)-SUM(E33:E48)</f>
        <v>151649.81000000006</v>
      </c>
      <c r="F50" s="434" t="s">
        <v>367</v>
      </c>
      <c r="G50" s="264">
        <f>G16+SUM(G20:G30)-SUM(G33:G48)</f>
        <v>1527562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3">
        <f>IF($C$50&gt;'Tax Rates'!$E$11,'Tax Rates'!$F$16,IF($C$50&gt;'Tax Rates'!$C$11,'Tax Rates'!$E$16,'Tax Rates'!$C$16))</f>
        <v>0.3612</v>
      </c>
      <c r="D53" s="103"/>
      <c r="E53" s="269">
        <f>+G53-C53</f>
        <v>-0.023488130213425107</v>
      </c>
      <c r="F53" s="115"/>
      <c r="G53" s="475">
        <f>TAXREC!E151</f>
        <v>0.3377118697865749</v>
      </c>
      <c r="H53" s="152"/>
      <c r="I53" s="472" t="s">
        <v>472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5">
        <f>IF(C50&gt;0,C50*C53,0)</f>
        <v>496979.483028</v>
      </c>
      <c r="D55" s="103"/>
      <c r="E55" s="268">
        <f>G55-C55</f>
        <v>18896.33620691998</v>
      </c>
      <c r="F55" s="434" t="s">
        <v>368</v>
      </c>
      <c r="G55" s="265">
        <f>TAXREC!E144</f>
        <v>515875.81923491997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6"/>
      <c r="D58" s="133"/>
      <c r="E58" s="268">
        <f>+G58-C58</f>
        <v>0</v>
      </c>
      <c r="F58" s="434" t="s">
        <v>368</v>
      </c>
      <c r="G58" s="271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7">
        <f>+C55-C58</f>
        <v>496979.483028</v>
      </c>
      <c r="D60" s="134"/>
      <c r="E60" s="270">
        <f>+E55-E58</f>
        <v>18896.33620691998</v>
      </c>
      <c r="F60" s="434" t="s">
        <v>368</v>
      </c>
      <c r="G60" s="270">
        <f>+G55-G58</f>
        <v>515875.81923491997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5">
        <f>Ratebase</f>
        <v>25052968</v>
      </c>
      <c r="D66" s="103"/>
      <c r="E66" s="268">
        <f>G66-C66</f>
        <v>9997986</v>
      </c>
      <c r="F66" s="6"/>
      <c r="G66" s="477">
        <v>35050954</v>
      </c>
      <c r="H66" s="152"/>
      <c r="I66" s="478" t="s">
        <v>473</v>
      </c>
    </row>
    <row r="67" spans="1:10" ht="12.75">
      <c r="A67" s="153" t="s">
        <v>360</v>
      </c>
      <c r="B67" s="126">
        <v>16</v>
      </c>
      <c r="C67" s="261">
        <f>IF(C66&gt;0,'Tax Rates'!C21,0)</f>
        <v>7500000</v>
      </c>
      <c r="D67" s="103"/>
      <c r="E67" s="268">
        <f>G67-C67</f>
        <v>-544072</v>
      </c>
      <c r="F67" s="6"/>
      <c r="G67" s="268">
        <f>'Tax Rates'!C57</f>
        <v>6955928</v>
      </c>
      <c r="H67" s="152"/>
      <c r="I67" s="478" t="s">
        <v>473</v>
      </c>
      <c r="J67" s="479" t="s">
        <v>474</v>
      </c>
    </row>
    <row r="68" spans="1:8" ht="12.75">
      <c r="A68" s="153" t="s">
        <v>42</v>
      </c>
      <c r="B68" s="126"/>
      <c r="C68" s="265">
        <f>IF((C66-C67)&gt;0,C66-C67,0)</f>
        <v>17552968</v>
      </c>
      <c r="D68" s="103"/>
      <c r="E68" s="268">
        <f>SUM(E66:E67)</f>
        <v>9453914</v>
      </c>
      <c r="F68" s="115"/>
      <c r="G68" s="265">
        <f>G66-G67</f>
        <v>28095026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2">
        <f>'Tax Rates'!C18</f>
        <v>0.003</v>
      </c>
      <c r="D70" s="103"/>
      <c r="E70" s="269">
        <f>+G70-C70</f>
        <v>0</v>
      </c>
      <c r="F70" s="6"/>
      <c r="G70" s="302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5">
        <f>IF(C68&gt;0,C68*C70,0)*REGINFO!$B$6/REGINFO!$B$7</f>
        <v>52658.904</v>
      </c>
      <c r="D72" s="102"/>
      <c r="E72" s="268">
        <f>+G72-C72</f>
        <v>31626.174000000006</v>
      </c>
      <c r="F72" s="480"/>
      <c r="G72" s="265">
        <f>IF(G68&gt;0,G68*G70,0)*REGINFO!$B$6/REGINFO!$B$7</f>
        <v>84285.07800000001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5">
        <f>Ratebase</f>
        <v>25052968</v>
      </c>
      <c r="D75" s="103"/>
      <c r="E75" s="268">
        <f>+G75-C75</f>
        <v>-25052968</v>
      </c>
      <c r="F75" s="6"/>
      <c r="G75" s="477">
        <v>0</v>
      </c>
      <c r="H75" s="152"/>
      <c r="I75" s="478" t="s">
        <v>473</v>
      </c>
    </row>
    <row r="76" spans="1:9" ht="12.75">
      <c r="A76" s="153" t="s">
        <v>360</v>
      </c>
      <c r="B76" s="126">
        <v>19</v>
      </c>
      <c r="C76" s="261">
        <f>IF(C75&gt;0,'Tax Rates'!C22,0)</f>
        <v>50000000</v>
      </c>
      <c r="D76" s="18"/>
      <c r="E76" s="268">
        <f>+G76-C76</f>
        <v>-4005000</v>
      </c>
      <c r="F76" s="6"/>
      <c r="G76" s="268">
        <f>'Tax Rates'!C58</f>
        <v>45995000</v>
      </c>
      <c r="H76" s="152"/>
      <c r="I76" s="478" t="s">
        <v>473</v>
      </c>
    </row>
    <row r="77" spans="1:8" ht="12.75">
      <c r="A77" s="153" t="s">
        <v>42</v>
      </c>
      <c r="B77" s="126"/>
      <c r="C77" s="265">
        <f>IF((C75-C76)&gt;0,C75-C76,0)</f>
        <v>0</v>
      </c>
      <c r="D77" s="19"/>
      <c r="E77" s="268">
        <f>SUM(E75:E76)</f>
        <v>-29057968</v>
      </c>
      <c r="F77" s="115"/>
      <c r="G77" s="265">
        <f>IF(G76&gt;G75,0,G75-G76)</f>
        <v>0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2">
        <f>'Tax Rates'!C19</f>
        <v>0.00175</v>
      </c>
      <c r="D79" s="103"/>
      <c r="E79" s="269">
        <f>G79-C79</f>
        <v>0.00025</v>
      </c>
      <c r="F79" s="6"/>
      <c r="G79" s="269">
        <f>'Tax Rates'!C55</f>
        <v>0.002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5">
        <f>IF(C77&gt;0,C77*C79,0)*REGINFO!$B$6/REGINFO!$B$7</f>
        <v>0</v>
      </c>
      <c r="D81" s="103"/>
      <c r="E81" s="268">
        <f>+G81-C81</f>
        <v>0</v>
      </c>
      <c r="F81" s="6"/>
      <c r="G81" s="265">
        <f>G77*G79*B9/B10</f>
        <v>0</v>
      </c>
      <c r="H81" s="152"/>
    </row>
    <row r="82" spans="1:8" ht="12.75">
      <c r="A82" s="153" t="s">
        <v>319</v>
      </c>
      <c r="B82" s="126">
        <v>21</v>
      </c>
      <c r="C82" s="301">
        <f>IF(C77&gt;0,IF(C60&gt;0,C50*'Tax Rates'!C20,0),0)</f>
        <v>0</v>
      </c>
      <c r="D82" s="103"/>
      <c r="E82" s="268">
        <f>+G82-C82</f>
        <v>0</v>
      </c>
      <c r="F82" s="6"/>
      <c r="G82" s="301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5">
        <f>C81-C82</f>
        <v>0</v>
      </c>
      <c r="D84" s="16"/>
      <c r="E84" s="268">
        <f>E81-E82</f>
        <v>0</v>
      </c>
      <c r="F84" s="104"/>
      <c r="G84" s="265">
        <f>G81-G82</f>
        <v>0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3">
        <f>IF($C$50&gt;'Tax Rates'!$E$11,'Tax Rates'!$F$16,IF(AND($C$50&gt;='Tax Rates'!$C$11,$C$50&lt;='Tax Rates'!E11),'Tax Rates'!$E$16,'Tax Rates'!$C$16))</f>
        <v>0.3612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369</v>
      </c>
      <c r="B90" s="128">
        <v>22</v>
      </c>
      <c r="C90" s="265">
        <f>C60/(1-C88)</f>
        <v>777989.1719286161</v>
      </c>
      <c r="D90" s="20"/>
      <c r="E90" s="140"/>
      <c r="F90" s="433" t="s">
        <v>495</v>
      </c>
      <c r="G90" s="271">
        <f>TAXREC!E156</f>
        <v>515875.81923491997</v>
      </c>
      <c r="H90" s="152"/>
    </row>
    <row r="91" spans="1:8" ht="12.75">
      <c r="A91" s="159" t="s">
        <v>370</v>
      </c>
      <c r="B91" s="128">
        <v>23</v>
      </c>
      <c r="C91" s="265">
        <f>C84/(1-C88)</f>
        <v>0</v>
      </c>
      <c r="D91" s="20"/>
      <c r="E91" s="140"/>
      <c r="F91" s="433" t="s">
        <v>495</v>
      </c>
      <c r="G91" s="271">
        <f>TAXREC!E158</f>
        <v>0</v>
      </c>
      <c r="H91" s="152"/>
    </row>
    <row r="92" spans="1:8" ht="12.75">
      <c r="A92" s="159" t="s">
        <v>348</v>
      </c>
      <c r="B92" s="128">
        <v>24</v>
      </c>
      <c r="C92" s="265">
        <f>C72</f>
        <v>52658.904</v>
      </c>
      <c r="D92" s="20"/>
      <c r="E92" s="140"/>
      <c r="F92" s="433" t="s">
        <v>495</v>
      </c>
      <c r="G92" s="271">
        <f>TAXREC!E157</f>
        <v>84285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496</v>
      </c>
      <c r="B95" s="126">
        <v>25</v>
      </c>
      <c r="C95" s="270">
        <f>SUM(C90:C93)</f>
        <v>830648.0759286161</v>
      </c>
      <c r="D95" s="6"/>
      <c r="E95" s="140"/>
      <c r="F95" s="433" t="s">
        <v>495</v>
      </c>
      <c r="G95" s="416">
        <f>SUM(G90:G94)</f>
        <v>600160.81923492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13772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70004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0</v>
      </c>
      <c r="F105" s="37"/>
      <c r="G105" s="202"/>
      <c r="H105" s="165"/>
    </row>
    <row r="106" spans="1:8" ht="12.75">
      <c r="A106" s="159" t="s">
        <v>363</v>
      </c>
      <c r="B106" s="128">
        <v>6</v>
      </c>
      <c r="C106" s="113"/>
      <c r="D106" s="3"/>
      <c r="E106" s="252">
        <f>E26</f>
        <v>-52983</v>
      </c>
      <c r="F106" s="37"/>
      <c r="G106" s="202"/>
      <c r="H106" s="165"/>
    </row>
    <row r="107" spans="1:8" ht="12.75">
      <c r="A107" s="159" t="s">
        <v>364</v>
      </c>
      <c r="B107" s="128">
        <v>6</v>
      </c>
      <c r="C107" s="113"/>
      <c r="D107" s="3"/>
      <c r="E107" s="252">
        <f>E28</f>
        <v>0</v>
      </c>
      <c r="F107" s="37"/>
      <c r="G107" s="202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3172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0</v>
      </c>
      <c r="F111" s="37"/>
      <c r="G111" s="202"/>
      <c r="H111" s="165"/>
    </row>
    <row r="112" spans="1:8" ht="12.75">
      <c r="A112" s="156" t="s">
        <v>480</v>
      </c>
      <c r="B112" s="128">
        <v>11</v>
      </c>
      <c r="C112" s="113"/>
      <c r="D112" s="3"/>
      <c r="E112" s="474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2">
        <f>E44</f>
        <v>-66837</v>
      </c>
      <c r="F117" s="37"/>
      <c r="G117" s="202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2">
        <f>E46</f>
        <v>36467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5">
        <f>SUM(E102:E107)-SUM(E109:E118)</f>
        <v>57991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498</v>
      </c>
      <c r="B122" s="128"/>
      <c r="C122" s="113"/>
      <c r="D122" s="3" t="s">
        <v>231</v>
      </c>
      <c r="E122" s="471">
        <f>IF((E120+G50)&gt;'Tax Rates'!$E$47,'Tax Rates'!$F$52-1.12%,IF((E120+G50)&gt;'Tax Rates'!$D$47,'Tax Rates'!$E$52-1.12%,IF((E120+G50)&gt;'Tax Rates'!$C$47,'Tax Rates'!$D$52-1.12%,'Tax Rates'!$C$52-1.12%)))</f>
        <v>0.35000000000000003</v>
      </c>
      <c r="F122" s="472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5">
        <f>E120*E122</f>
        <v>20296.850000000002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5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5">
        <f>E124-E126</f>
        <v>20296.850000000002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352</v>
      </c>
      <c r="B132" s="131"/>
      <c r="C132" s="113"/>
      <c r="D132" s="3"/>
      <c r="E132" s="488">
        <f>E128/(1-E130)</f>
        <v>31225.923076923085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3">
        <f>C50</f>
        <v>1375912.19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3">
        <f>IF((E120+E136)&gt;'Tax Rates'!E47,'Tax Rates'!F52,IF((E120+E136)&gt;'Tax Rates'!D47,'Tax Rates'!E52,IF((E120+E136)&gt;'Tax Rates'!C47,'Tax Rates'!D52,'Tax Rates'!C52)))</f>
        <v>0.3612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4">
        <f>IF(E136&gt;0,E136*E138,0)</f>
        <v>496979.483028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5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3">
        <f>E140-E142</f>
        <v>496979.483028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3">
        <f>C60</f>
        <v>496979.483028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3">
        <f>E144-E146</f>
        <v>0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89" t="s">
        <v>20</v>
      </c>
      <c r="B150" s="131"/>
      <c r="C150" s="113"/>
      <c r="D150" s="120"/>
      <c r="E150" s="483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3">
        <f>C66</f>
        <v>25052968</v>
      </c>
      <c r="F151" s="37"/>
      <c r="G151" s="202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6">
        <f>IF(E151&gt;0,'Tax Rates'!C39,0)</f>
        <v>7500000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3">
        <f>E151-E152</f>
        <v>17552968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7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3">
        <f>IF(E153&gt;0,E153*E155*B9/B10,0)</f>
        <v>52658.904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6">
        <f>C72</f>
        <v>52658.904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6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89" t="s">
        <v>236</v>
      </c>
      <c r="B161" s="131"/>
      <c r="C161" s="113"/>
      <c r="D161" s="120"/>
      <c r="E161" s="305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3">
        <f>C75</f>
        <v>25052968</v>
      </c>
      <c r="F162" s="37"/>
      <c r="G162" s="202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6">
        <f>IF(E162&gt;0,'Tax Rates'!C40,0)</f>
        <v>50000000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3">
        <f>E162-E163</f>
        <v>-24947032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7">
        <f>'Tax Rates'!C55</f>
        <v>0.002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3">
        <f>IF(E164&gt;0,E164*E166*B9/B10,0)</f>
        <v>0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8">
        <f>IF(E164&gt;0,IF(E144&gt;0,E136*'Tax Rates'!C56,0),0)</f>
        <v>0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3">
        <f>E168-E169</f>
        <v>0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7" t="s">
        <v>347</v>
      </c>
      <c r="B172" s="131"/>
      <c r="C172" s="113"/>
      <c r="D172" s="119" t="s">
        <v>188</v>
      </c>
      <c r="E172" s="306">
        <f>C84</f>
        <v>0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6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345</v>
      </c>
      <c r="B175" s="131"/>
      <c r="C175" s="113"/>
      <c r="D175" s="120"/>
      <c r="E175" s="471">
        <f>IF((E120+G50)&gt;'Tax Rates'!E47,'Tax Rates'!F52-1.12%,IF((E120+G50)&gt;'Tax Rates'!D47,'Tax Rates'!E52-1.12%,IF((E120+G50)&gt;'Tax Rates'!C47,'Tax Rates'!D52,'Tax Rates'!C52-1.12%)))</f>
        <v>0.35000000000000003</v>
      </c>
      <c r="F175" s="472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3">
        <f>E148/(1-E175)</f>
        <v>0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3">
        <f>IF(E164&gt;0,E173/(1-E175),-C91)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3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7">
        <f>SUM(E177:E179)</f>
        <v>0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479</v>
      </c>
      <c r="B183" s="131"/>
      <c r="C183" s="113"/>
      <c r="D183" s="120" t="s">
        <v>187</v>
      </c>
      <c r="E183" s="487">
        <f>E132</f>
        <v>31225.923076923085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7">
        <f>E181+E183</f>
        <v>31225.923076923085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09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09">
        <f>REGINFO!D66</f>
        <v>605446.5265615878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09">
        <f>E193-E194</f>
        <v>302723.56343841215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4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94"/>
      <c r="H200" s="165"/>
    </row>
    <row r="201" spans="1:8" ht="12.75">
      <c r="A201" s="156" t="s">
        <v>252</v>
      </c>
      <c r="B201" s="128"/>
      <c r="C201" s="113"/>
      <c r="D201" s="121"/>
      <c r="E201" s="309">
        <f>G37+G42</f>
        <v>1188834</v>
      </c>
      <c r="F201" s="3"/>
      <c r="G201" s="494"/>
      <c r="H201" s="165"/>
    </row>
    <row r="202" spans="1:8" ht="12.75">
      <c r="A202" s="156" t="s">
        <v>500</v>
      </c>
      <c r="B202" s="128"/>
      <c r="C202" s="113"/>
      <c r="D202" s="121"/>
      <c r="E202" s="493">
        <v>1188834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4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481</v>
      </c>
      <c r="B206" s="128"/>
      <c r="C206" s="113"/>
      <c r="D206" s="121"/>
      <c r="E206" s="473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0">
        <f>+E196-E204</f>
        <v>302723.56343841215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" right="0.0393700787401575" top="0.750315" bottom="0.236220472440945" header="0.261811024" footer="0"/>
  <pageSetup fitToHeight="2" fitToWidth="1" horizontalDpi="600" verticalDpi="600" orientation="portrait" scale="48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91">
      <selection activeCell="E51" sqref="E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326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324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325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6">
        <v>36847936</v>
      </c>
      <c r="D31" s="287"/>
      <c r="E31" s="285">
        <f>C31-D31</f>
        <v>36847936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8883939</v>
      </c>
      <c r="D32" s="287"/>
      <c r="E32" s="285">
        <f>C32-D32</f>
        <v>8883939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1116930</v>
      </c>
      <c r="D33" s="287">
        <v>47698</v>
      </c>
      <c r="E33" s="285">
        <f>C33-D33</f>
        <v>1069232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36847936</v>
      </c>
      <c r="D39" s="287"/>
      <c r="E39" s="285">
        <f>C39-D39</f>
        <v>36847936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3489322+1514086+2704632+517652+753768+260991</f>
        <v>9240451</v>
      </c>
      <c r="D40" s="287"/>
      <c r="E40" s="285">
        <f aca="true" t="shared" si="0" ref="E40:E48">C40-D40</f>
        <v>9240451</v>
      </c>
      <c r="F40" s="11"/>
      <c r="G40" s="489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1884106</v>
      </c>
      <c r="D43" s="287">
        <v>1805</v>
      </c>
      <c r="E43" s="285">
        <f t="shared" si="0"/>
        <v>1882301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68445</v>
      </c>
      <c r="D44" s="287"/>
      <c r="E44" s="285">
        <f t="shared" si="0"/>
        <v>68445</v>
      </c>
      <c r="F44" s="11"/>
      <c r="G44" s="11"/>
      <c r="H44" s="6"/>
      <c r="I44" s="6"/>
    </row>
    <row r="45" spans="1:11" ht="12.75">
      <c r="A45" s="4" t="s">
        <v>486</v>
      </c>
      <c r="B45" s="23" t="s">
        <v>188</v>
      </c>
      <c r="C45" s="286">
        <v>-4702453</v>
      </c>
      <c r="D45" s="287"/>
      <c r="E45" s="285">
        <f t="shared" si="0"/>
        <v>-4702453</v>
      </c>
      <c r="F45" s="11"/>
      <c r="G45" s="11"/>
      <c r="H45" s="33"/>
      <c r="I45" s="33"/>
      <c r="J45" s="32"/>
      <c r="K45" s="32"/>
    </row>
    <row r="46" spans="1:11" ht="12.75">
      <c r="A46" s="4" t="s">
        <v>497</v>
      </c>
      <c r="B46" s="23" t="s">
        <v>188</v>
      </c>
      <c r="C46" s="286">
        <v>1004331</v>
      </c>
      <c r="D46" s="287"/>
      <c r="E46" s="285">
        <f t="shared" si="0"/>
        <v>1004331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2505989</v>
      </c>
      <c r="D50" s="282">
        <f>SUM(D31:D36)-SUM(D39:D49)</f>
        <v>45893</v>
      </c>
      <c r="E50" s="282">
        <f>SUM(E31:E35)-SUM(E39:E48)</f>
        <v>2460096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1188834</v>
      </c>
      <c r="D51" s="286"/>
      <c r="E51" s="283">
        <f>+C51-D51</f>
        <v>1188834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646313</v>
      </c>
      <c r="D52" s="286"/>
      <c r="E52" s="284">
        <f>+C52-D52</f>
        <v>646313</v>
      </c>
      <c r="F52" s="8"/>
      <c r="G52" s="418" t="s">
        <v>478</v>
      </c>
    </row>
    <row r="53" spans="1:6" ht="12.75">
      <c r="A53" s="2" t="s">
        <v>131</v>
      </c>
      <c r="B53" s="8" t="s">
        <v>189</v>
      </c>
      <c r="C53" s="282">
        <f>C50-C51-C52</f>
        <v>670842</v>
      </c>
      <c r="D53" s="282">
        <f>D50-D51-D52</f>
        <v>45893</v>
      </c>
      <c r="E53" s="282">
        <f>E50-E51-E52</f>
        <v>624949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646313</v>
      </c>
      <c r="D59" s="288">
        <f>D52</f>
        <v>0</v>
      </c>
      <c r="E59" s="273">
        <f>+C59-D59</f>
        <v>646313</v>
      </c>
      <c r="F59" s="8"/>
      <c r="G59" s="418" t="s">
        <v>478</v>
      </c>
    </row>
    <row r="60" spans="1:6" ht="12.75">
      <c r="A60" s="4" t="s">
        <v>327</v>
      </c>
      <c r="B60" s="8" t="s">
        <v>187</v>
      </c>
      <c r="C60" s="319">
        <v>0</v>
      </c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1884106</v>
      </c>
      <c r="D61" s="288">
        <f>D43</f>
        <v>1805</v>
      </c>
      <c r="E61" s="273">
        <f>+C61-D61</f>
        <v>1882301</v>
      </c>
      <c r="F61" s="8"/>
      <c r="G61" s="418"/>
    </row>
    <row r="62" spans="1:6" ht="12.75">
      <c r="A62" t="s">
        <v>6</v>
      </c>
      <c r="B62" s="8" t="s">
        <v>187</v>
      </c>
      <c r="C62" s="319">
        <v>29220</v>
      </c>
      <c r="D62" s="288">
        <v>0</v>
      </c>
      <c r="E62" s="273">
        <f>+C62-D62</f>
        <v>29220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70004</v>
      </c>
      <c r="D63" s="318">
        <f>'Tax Reserves'!D22</f>
        <v>0</v>
      </c>
      <c r="E63" s="273">
        <f>C63-D63</f>
        <v>70004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395</v>
      </c>
      <c r="B66" s="8"/>
      <c r="C66" s="449">
        <f>'TAXREC 3 No True-up'!C47</f>
        <v>1336415</v>
      </c>
      <c r="D66" s="449">
        <f>'TAXREC 3 No True-up'!D47</f>
        <v>0</v>
      </c>
      <c r="E66" s="273">
        <f>+C66-D66</f>
        <v>1336415</v>
      </c>
      <c r="F66" s="8"/>
    </row>
    <row r="67" spans="1:6" ht="12.75">
      <c r="A67" t="s">
        <v>160</v>
      </c>
      <c r="B67" s="8" t="s">
        <v>187</v>
      </c>
      <c r="C67" s="252">
        <f>'TAXREC 2'!C77</f>
        <v>0</v>
      </c>
      <c r="D67" s="252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3">
        <f>SUM(C59:C68)</f>
        <v>3966058</v>
      </c>
      <c r="D70" s="273">
        <f>SUM(D59:D68)</f>
        <v>1805</v>
      </c>
      <c r="E70" s="273">
        <f>SUM(E59:E68)</f>
        <v>3964253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5">
        <v>0</v>
      </c>
      <c r="D76" s="295"/>
      <c r="E76" s="481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5"/>
      <c r="D77" s="295"/>
      <c r="E77" s="273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5"/>
      <c r="D78" s="295"/>
      <c r="E78" s="273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5"/>
      <c r="D79" s="295"/>
      <c r="E79" s="273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3966058</v>
      </c>
      <c r="D82" s="252">
        <f>D70+D80</f>
        <v>1805</v>
      </c>
      <c r="E82" s="252">
        <f>E70+E80</f>
        <v>3964253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1587060</v>
      </c>
      <c r="D97" s="295"/>
      <c r="E97" s="273">
        <f>+C97-D97</f>
        <v>1587060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66618</v>
      </c>
      <c r="D98" s="295"/>
      <c r="E98" s="273">
        <f>+C98-D98</f>
        <v>66618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16720</v>
      </c>
      <c r="D99" s="295"/>
      <c r="E99" s="273">
        <f>+C99-D99</f>
        <v>16720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5">
        <f>'TAXREC 3 No True-up'!C73</f>
        <v>1354775</v>
      </c>
      <c r="D108" s="255">
        <f>'TAXREC 3 No True-up'!D73</f>
        <v>0</v>
      </c>
      <c r="E108" s="273">
        <f t="shared" si="5"/>
        <v>1354775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36467</v>
      </c>
      <c r="D110" s="252">
        <f>'TAXREC 2'!D119</f>
        <v>0</v>
      </c>
      <c r="E110" s="252">
        <f>'TAXREC 2'!E119</f>
        <v>36467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3061640</v>
      </c>
      <c r="D113" s="252">
        <f>SUM(D97:D111)</f>
        <v>0</v>
      </c>
      <c r="E113" s="252">
        <f>SUM(E97:E111)</f>
        <v>3061640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5"/>
      <c r="D117" s="295"/>
      <c r="E117" s="273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5"/>
      <c r="D118" s="295"/>
      <c r="E118" s="273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5"/>
      <c r="D119" s="295"/>
      <c r="E119" s="273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3061640</v>
      </c>
      <c r="D122" s="252">
        <f>D113+D120</f>
        <v>0</v>
      </c>
      <c r="E122" s="252">
        <f>+E113+E120</f>
        <v>3061640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1575260</v>
      </c>
      <c r="D134" s="252">
        <f>D53+D82-D122</f>
        <v>47698</v>
      </c>
      <c r="E134" s="252">
        <f>E53+E82-E122</f>
        <v>1527562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1"/>
      <c r="D138" s="311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1575260</v>
      </c>
      <c r="D139" s="253">
        <f>D134-D136-D137-D138</f>
        <v>47698</v>
      </c>
      <c r="E139" s="253">
        <f>E134-E136-E137-E138</f>
        <v>1527562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321448</v>
      </c>
      <c r="D142" s="299">
        <f>D139*C149</f>
        <v>9733.267336185772</v>
      </c>
      <c r="E142" s="253">
        <f>C142-D142</f>
        <v>311714.7326638142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210536</v>
      </c>
      <c r="D143" s="299">
        <f>D139*C150</f>
        <v>6374.913428894278</v>
      </c>
      <c r="E143" s="293">
        <f>C143-D143</f>
        <v>204161.08657110573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531984</v>
      </c>
      <c r="D144" s="253">
        <f>D142+D143</f>
        <v>16108.180765080051</v>
      </c>
      <c r="E144" s="253">
        <f>E142+E143</f>
        <v>515875.81923491997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3">
        <f>C144-C145</f>
        <v>531984</v>
      </c>
      <c r="D146" s="253">
        <f>D144-D145</f>
        <v>16108.180765080051</v>
      </c>
      <c r="E146" s="253">
        <f>E144-E145</f>
        <v>515875.81923491997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7">
        <f>C142/C139</f>
        <v>0.20406028211215926</v>
      </c>
      <c r="D149" s="5"/>
      <c r="E149" s="408">
        <f>C149</f>
        <v>0.20406028211215926</v>
      </c>
      <c r="F149" s="8"/>
      <c r="G149" s="486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7">
        <f>C143/C139</f>
        <v>0.13365158767441565</v>
      </c>
      <c r="D150" s="5"/>
      <c r="E150" s="408">
        <f>C150</f>
        <v>0.13365158767441565</v>
      </c>
      <c r="F150" s="8"/>
      <c r="G150" s="486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8">
        <f>SUM(C149:C150)</f>
        <v>0.3377118697865749</v>
      </c>
      <c r="D151" s="5"/>
      <c r="E151" s="408">
        <f>SUM(E149:E150)</f>
        <v>0.3377118697865749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7" t="s">
        <v>187</v>
      </c>
      <c r="C156" s="252">
        <f>C146</f>
        <v>531984</v>
      </c>
      <c r="D156" s="252">
        <f>D146</f>
        <v>16108.180765080051</v>
      </c>
      <c r="E156" s="252">
        <f>E146</f>
        <v>515875.81923491997</v>
      </c>
    </row>
    <row r="157" spans="1:5" ht="12.75">
      <c r="A157" t="s">
        <v>20</v>
      </c>
      <c r="B157" s="87" t="s">
        <v>187</v>
      </c>
      <c r="C157" s="482">
        <v>84285</v>
      </c>
      <c r="D157" s="252"/>
      <c r="E157" s="252">
        <f>C157+D157</f>
        <v>84285</v>
      </c>
    </row>
    <row r="158" spans="1:5" ht="12.75">
      <c r="A158" t="s">
        <v>218</v>
      </c>
      <c r="B158" s="87" t="s">
        <v>187</v>
      </c>
      <c r="C158" s="482">
        <v>0</v>
      </c>
      <c r="D158" s="252"/>
      <c r="E158" s="252">
        <f>C158+D158</f>
        <v>0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616269</v>
      </c>
      <c r="D160" s="252">
        <f>D156+D157+D158</f>
        <v>16108.180765080051</v>
      </c>
      <c r="E160" s="252">
        <f>E156+E157+E158</f>
        <v>600160.81923492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50315" bottom="0.236220472440945" header="0.261811024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workbookViewId="0" topLeftCell="A1">
      <selection activeCell="E51" sqref="E5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2"/>
      <c r="D12" s="312"/>
      <c r="E12" s="62"/>
    </row>
    <row r="13" spans="1:5" ht="12.75">
      <c r="A13" s="62"/>
      <c r="B13" s="62"/>
      <c r="C13" s="295"/>
      <c r="D13" s="295"/>
      <c r="E13" s="252">
        <f>C13-D13</f>
        <v>0</v>
      </c>
    </row>
    <row r="14" spans="1:7" ht="12.75">
      <c r="A14" s="62" t="s">
        <v>281</v>
      </c>
      <c r="B14" s="62"/>
      <c r="C14" s="295">
        <v>70004</v>
      </c>
      <c r="D14" s="295"/>
      <c r="E14" s="252">
        <f aca="true" t="shared" si="0" ref="E14:E21">C14-D14</f>
        <v>70004</v>
      </c>
      <c r="G14">
        <v>70004</v>
      </c>
    </row>
    <row r="15" spans="1:5" ht="12.75">
      <c r="A15" s="62" t="s">
        <v>282</v>
      </c>
      <c r="B15" s="62"/>
      <c r="C15" s="295"/>
      <c r="D15" s="295"/>
      <c r="E15" s="252">
        <f t="shared" si="0"/>
        <v>0</v>
      </c>
    </row>
    <row r="16" spans="1:5" ht="12.75">
      <c r="A16" s="62" t="s">
        <v>283</v>
      </c>
      <c r="B16" s="62"/>
      <c r="C16" s="295"/>
      <c r="D16" s="295"/>
      <c r="E16" s="252">
        <f t="shared" si="0"/>
        <v>0</v>
      </c>
    </row>
    <row r="17" spans="1:5" ht="12.75">
      <c r="A17" s="62" t="s">
        <v>284</v>
      </c>
      <c r="B17" s="62"/>
      <c r="C17" s="295"/>
      <c r="D17" s="295"/>
      <c r="E17" s="252">
        <f t="shared" si="0"/>
        <v>0</v>
      </c>
    </row>
    <row r="18" spans="1:5" ht="12.75">
      <c r="A18" s="62" t="s">
        <v>449</v>
      </c>
      <c r="B18" s="62"/>
      <c r="C18" s="295"/>
      <c r="D18" s="295"/>
      <c r="E18" s="252">
        <f t="shared" si="0"/>
        <v>0</v>
      </c>
    </row>
    <row r="19" spans="1:5" ht="12.75">
      <c r="A19" s="62" t="s">
        <v>449</v>
      </c>
      <c r="B19" s="62"/>
      <c r="C19" s="295"/>
      <c r="D19" s="295"/>
      <c r="E19" s="252">
        <f t="shared" si="0"/>
        <v>0</v>
      </c>
    </row>
    <row r="20" spans="1:5" ht="12.75">
      <c r="A20" s="62"/>
      <c r="B20" s="62"/>
      <c r="C20" s="295"/>
      <c r="D20" s="295"/>
      <c r="E20" s="252">
        <f t="shared" si="0"/>
        <v>0</v>
      </c>
    </row>
    <row r="21" spans="1:5" ht="12.75">
      <c r="A21" s="62"/>
      <c r="B21" s="62"/>
      <c r="C21" s="311"/>
      <c r="D21" s="311"/>
      <c r="E21" s="280">
        <f t="shared" si="0"/>
        <v>0</v>
      </c>
    </row>
    <row r="22" spans="1:5" ht="12.75">
      <c r="A22" s="2" t="s">
        <v>180</v>
      </c>
      <c r="C22" s="252">
        <f>SUM(C13:C21)</f>
        <v>70004</v>
      </c>
      <c r="D22" s="252">
        <f>SUM(D13:D21)</f>
        <v>0</v>
      </c>
      <c r="E22" s="252">
        <f>SUM(E13:E21)</f>
        <v>70004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5"/>
      <c r="D25" s="295"/>
      <c r="E25" s="252">
        <f>C25-D25</f>
        <v>0</v>
      </c>
    </row>
    <row r="26" spans="1:7" ht="12.75">
      <c r="A26" s="62" t="s">
        <v>281</v>
      </c>
      <c r="B26" s="62"/>
      <c r="C26" s="295">
        <v>0</v>
      </c>
      <c r="D26" s="295"/>
      <c r="E26" s="252">
        <f aca="true" t="shared" si="1" ref="E26:E33">C26-D26</f>
        <v>0</v>
      </c>
      <c r="G26">
        <v>103537</v>
      </c>
    </row>
    <row r="27" spans="1:5" ht="12.75">
      <c r="A27" s="62" t="s">
        <v>282</v>
      </c>
      <c r="B27" s="62"/>
      <c r="C27" s="295"/>
      <c r="D27" s="295"/>
      <c r="E27" s="252">
        <f t="shared" si="1"/>
        <v>0</v>
      </c>
    </row>
    <row r="28" spans="1:5" ht="12.75">
      <c r="A28" s="62" t="s">
        <v>283</v>
      </c>
      <c r="B28" s="62"/>
      <c r="C28" s="295"/>
      <c r="D28" s="295"/>
      <c r="E28" s="252">
        <f t="shared" si="1"/>
        <v>0</v>
      </c>
    </row>
    <row r="29" spans="1:5" ht="12.75">
      <c r="A29" s="62" t="s">
        <v>284</v>
      </c>
      <c r="B29" s="62"/>
      <c r="C29" s="295"/>
      <c r="D29" s="295"/>
      <c r="E29" s="252">
        <f t="shared" si="1"/>
        <v>0</v>
      </c>
    </row>
    <row r="30" spans="1:5" ht="12.75">
      <c r="A30" s="62" t="s">
        <v>449</v>
      </c>
      <c r="B30" s="62"/>
      <c r="C30" s="295"/>
      <c r="D30" s="295"/>
      <c r="E30" s="252">
        <f t="shared" si="1"/>
        <v>0</v>
      </c>
    </row>
    <row r="31" spans="1:5" ht="12.75">
      <c r="A31" s="62" t="s">
        <v>449</v>
      </c>
      <c r="B31" s="62"/>
      <c r="C31" s="295"/>
      <c r="D31" s="295"/>
      <c r="E31" s="252">
        <f t="shared" si="1"/>
        <v>0</v>
      </c>
    </row>
    <row r="32" spans="1:5" ht="12.75">
      <c r="A32" s="62"/>
      <c r="B32" s="62"/>
      <c r="C32" s="295"/>
      <c r="D32" s="295"/>
      <c r="E32" s="252">
        <f t="shared" si="1"/>
        <v>0</v>
      </c>
    </row>
    <row r="33" spans="1:5" ht="13.5" thickBot="1">
      <c r="A33" s="63"/>
      <c r="B33" s="62"/>
      <c r="C33" s="295"/>
      <c r="D33" s="295"/>
      <c r="E33" s="252">
        <f t="shared" si="1"/>
        <v>0</v>
      </c>
    </row>
    <row r="34" spans="1:5" ht="12.75">
      <c r="A34" s="57" t="s">
        <v>132</v>
      </c>
      <c r="C34" s="22"/>
      <c r="D34" s="22"/>
      <c r="E34" s="280"/>
    </row>
    <row r="35" spans="1:7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5"/>
      <c r="D41" s="295"/>
      <c r="E41" s="252">
        <f>C41-D41</f>
        <v>0</v>
      </c>
    </row>
    <row r="42" spans="1:5" ht="12.75">
      <c r="A42" s="62"/>
      <c r="B42" s="62"/>
      <c r="C42" s="295"/>
      <c r="D42" s="295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5"/>
      <c r="D43" s="295"/>
      <c r="E43" s="252">
        <f t="shared" si="2"/>
        <v>0</v>
      </c>
    </row>
    <row r="44" spans="1:5" ht="12.75">
      <c r="A44" s="62" t="s">
        <v>268</v>
      </c>
      <c r="B44" s="62"/>
      <c r="C44" s="295">
        <v>0</v>
      </c>
      <c r="D44" s="295"/>
      <c r="E44" s="252">
        <f t="shared" si="2"/>
        <v>0</v>
      </c>
    </row>
    <row r="45" spans="1:5" ht="12.75">
      <c r="A45" s="62" t="s">
        <v>269</v>
      </c>
      <c r="B45" s="62"/>
      <c r="C45" s="295"/>
      <c r="D45" s="295"/>
      <c r="E45" s="252">
        <f t="shared" si="2"/>
        <v>0</v>
      </c>
    </row>
    <row r="46" spans="1:5" ht="12.75">
      <c r="A46" s="62" t="s">
        <v>270</v>
      </c>
      <c r="B46" s="62"/>
      <c r="C46" s="295"/>
      <c r="D46" s="295"/>
      <c r="E46" s="252">
        <f t="shared" si="2"/>
        <v>0</v>
      </c>
    </row>
    <row r="47" spans="1:5" ht="12.75">
      <c r="A47" s="62" t="s">
        <v>449</v>
      </c>
      <c r="B47" s="62"/>
      <c r="C47" s="295"/>
      <c r="D47" s="295"/>
      <c r="E47" s="252">
        <f t="shared" si="2"/>
        <v>0</v>
      </c>
    </row>
    <row r="48" spans="1:5" ht="12.75">
      <c r="A48" s="62" t="s">
        <v>449</v>
      </c>
      <c r="B48" s="62"/>
      <c r="C48" s="295"/>
      <c r="D48" s="295"/>
      <c r="E48" s="252">
        <f t="shared" si="2"/>
        <v>0</v>
      </c>
    </row>
    <row r="49" spans="1:5" ht="12.75">
      <c r="A49" s="62"/>
      <c r="B49" s="62"/>
      <c r="C49" s="311"/>
      <c r="D49" s="311"/>
      <c r="E49" s="280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5"/>
      <c r="D53" s="295"/>
      <c r="E53" s="252">
        <f>C53-D53</f>
        <v>0</v>
      </c>
    </row>
    <row r="54" spans="1:5" ht="12.75">
      <c r="A54" s="247"/>
      <c r="B54" s="62"/>
      <c r="C54" s="295"/>
      <c r="D54" s="295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5"/>
      <c r="D55" s="295"/>
      <c r="E55" s="252">
        <f t="shared" si="3"/>
        <v>0</v>
      </c>
    </row>
    <row r="56" spans="1:5" ht="12.75">
      <c r="A56" s="247" t="s">
        <v>268</v>
      </c>
      <c r="B56" s="62"/>
      <c r="C56" s="295">
        <v>0</v>
      </c>
      <c r="D56" s="295"/>
      <c r="E56" s="252">
        <f t="shared" si="3"/>
        <v>0</v>
      </c>
    </row>
    <row r="57" spans="1:5" ht="12.75">
      <c r="A57" s="247" t="s">
        <v>269</v>
      </c>
      <c r="B57" s="62"/>
      <c r="C57" s="295"/>
      <c r="D57" s="295"/>
      <c r="E57" s="252">
        <f t="shared" si="3"/>
        <v>0</v>
      </c>
    </row>
    <row r="58" spans="1:5" ht="12.75">
      <c r="A58" s="247" t="s">
        <v>270</v>
      </c>
      <c r="B58" s="62"/>
      <c r="C58" s="295"/>
      <c r="D58" s="295"/>
      <c r="E58" s="252">
        <f t="shared" si="3"/>
        <v>0</v>
      </c>
    </row>
    <row r="59" spans="1:5" ht="12.75">
      <c r="A59" s="62" t="s">
        <v>449</v>
      </c>
      <c r="B59" s="62"/>
      <c r="C59" s="295"/>
      <c r="D59" s="295"/>
      <c r="E59" s="252">
        <f t="shared" si="3"/>
        <v>0</v>
      </c>
    </row>
    <row r="60" spans="1:5" ht="12.75">
      <c r="A60" s="62" t="s">
        <v>449</v>
      </c>
      <c r="B60" s="62"/>
      <c r="C60" s="295"/>
      <c r="D60" s="295"/>
      <c r="E60" s="252">
        <f t="shared" si="3"/>
        <v>0</v>
      </c>
    </row>
    <row r="61" spans="1:5" ht="13.5" thickBot="1">
      <c r="A61" s="63"/>
      <c r="B61" s="62"/>
      <c r="C61" s="295"/>
      <c r="D61" s="295"/>
      <c r="E61" s="252">
        <f t="shared" si="3"/>
        <v>0</v>
      </c>
    </row>
    <row r="62" spans="1:5" ht="12.75">
      <c r="A62" s="57" t="s">
        <v>132</v>
      </c>
      <c r="C62" s="22"/>
      <c r="D62" s="22"/>
      <c r="E62" s="280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89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466</v>
      </c>
      <c r="B5" s="8"/>
      <c r="C5" s="8" t="s">
        <v>2</v>
      </c>
      <c r="D5" s="8"/>
      <c r="E5" s="8"/>
      <c r="F5" s="8"/>
    </row>
    <row r="6" spans="1:6" ht="12.75">
      <c r="A6" s="418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49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6"/>
      <c r="D17" s="296"/>
      <c r="E17" s="314">
        <f>C17-D17</f>
        <v>0</v>
      </c>
    </row>
    <row r="18" spans="1:5" ht="12.75">
      <c r="A18" s="68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8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/>
      <c r="B22" t="s">
        <v>187</v>
      </c>
      <c r="C22" s="296"/>
      <c r="D22" s="296"/>
      <c r="E22" s="314">
        <f t="shared" si="0"/>
        <v>0</v>
      </c>
    </row>
    <row r="23" spans="1:5" ht="12.75">
      <c r="A23" s="68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8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8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8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8" t="s">
        <v>475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68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2">
        <f t="shared" si="0"/>
        <v>0</v>
      </c>
    </row>
    <row r="39" spans="2:5" ht="12.75">
      <c r="B39" t="s">
        <v>187</v>
      </c>
      <c r="C39" s="295"/>
      <c r="D39" s="296"/>
      <c r="E39" s="252">
        <f t="shared" si="0"/>
        <v>0</v>
      </c>
    </row>
    <row r="40" spans="1:5" ht="12.75">
      <c r="A40" s="69" t="s">
        <v>204</v>
      </c>
      <c r="B40" t="s">
        <v>187</v>
      </c>
      <c r="C40" s="295"/>
      <c r="D40" s="295"/>
      <c r="E40" s="252">
        <f t="shared" si="0"/>
        <v>0</v>
      </c>
    </row>
    <row r="41" spans="1:5" ht="12.75">
      <c r="A41" s="68"/>
      <c r="B41" t="s">
        <v>187</v>
      </c>
      <c r="C41" s="295"/>
      <c r="D41" s="295"/>
      <c r="E41" s="252">
        <f t="shared" si="0"/>
        <v>0</v>
      </c>
    </row>
    <row r="42" spans="1:5" ht="12.75">
      <c r="A42" s="68"/>
      <c r="B42" t="s">
        <v>187</v>
      </c>
      <c r="C42" s="295"/>
      <c r="D42" s="295"/>
      <c r="E42" s="252">
        <f t="shared" si="0"/>
        <v>0</v>
      </c>
    </row>
    <row r="43" spans="1:5" ht="12.75">
      <c r="A43" s="68"/>
      <c r="B43" t="s">
        <v>187</v>
      </c>
      <c r="C43" s="295"/>
      <c r="D43" s="295"/>
      <c r="E43" s="252">
        <f t="shared" si="0"/>
        <v>0</v>
      </c>
    </row>
    <row r="44" spans="1:5" ht="12.75">
      <c r="A44" s="68"/>
      <c r="B44" t="s">
        <v>187</v>
      </c>
      <c r="C44" s="295"/>
      <c r="D44" s="295"/>
      <c r="E44" s="252">
        <f t="shared" si="0"/>
        <v>0</v>
      </c>
    </row>
    <row r="45" spans="1:5" ht="12.75">
      <c r="A45" s="68"/>
      <c r="B45" t="s">
        <v>187</v>
      </c>
      <c r="C45" s="295"/>
      <c r="D45" s="295"/>
      <c r="E45" s="280"/>
    </row>
    <row r="46" spans="1:5" ht="12.75">
      <c r="A46" s="71" t="s">
        <v>170</v>
      </c>
      <c r="B46" t="s">
        <v>189</v>
      </c>
      <c r="C46" s="252">
        <f>SUM(C17:C45)</f>
        <v>0</v>
      </c>
      <c r="D46" s="252">
        <f>SUM(D17:D45)</f>
        <v>0</v>
      </c>
      <c r="E46" s="252">
        <f>SUM(E17:E45)</f>
        <v>0</v>
      </c>
    </row>
    <row r="47" ht="12.75">
      <c r="A47" s="68"/>
    </row>
    <row r="48" ht="12.75">
      <c r="A48" s="68" t="s">
        <v>172</v>
      </c>
    </row>
    <row r="49" spans="1:5" ht="12.75">
      <c r="A49" s="276" t="str">
        <f>IF($E17&gt;$C$11,A17," ")</f>
        <v> </v>
      </c>
      <c r="B49" s="274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6" t="str">
        <f>IF($E18&gt;$C$11,A18," ")</f>
        <v> </v>
      </c>
      <c r="B50" s="274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6" t="str">
        <f>IF($E19&gt;$C$11,#REF!," ")</f>
        <v> </v>
      </c>
      <c r="B51" s="274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6" t="str">
        <f>IF($E20&gt;$C$11,#REF!," ")</f>
        <v> </v>
      </c>
      <c r="B52" s="274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6" t="str">
        <f t="shared" si="2"/>
        <v> </v>
      </c>
      <c r="B54" s="274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6" t="str">
        <f t="shared" si="2"/>
        <v> </v>
      </c>
      <c r="B55" s="274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6" t="str">
        <f t="shared" si="2"/>
        <v> </v>
      </c>
      <c r="B56" s="274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6" t="str">
        <f t="shared" si="2"/>
        <v> </v>
      </c>
      <c r="B57" s="274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6" t="str">
        <f t="shared" si="2"/>
        <v> </v>
      </c>
      <c r="B58" s="274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6" t="str">
        <f t="shared" si="2"/>
        <v> </v>
      </c>
      <c r="B59" s="274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6" t="str">
        <f>IF($E28&gt;$C$11,A28," ")</f>
        <v> </v>
      </c>
      <c r="B60" s="274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6" t="str">
        <f>IF($E29&gt;$C$11,#REF!," ")</f>
        <v> </v>
      </c>
      <c r="B61" s="274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6" t="str">
        <f>IF($E30&gt;$C$11,#REF!," ")</f>
        <v> </v>
      </c>
      <c r="B62" s="274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6" t="str">
        <f>IF($E31&gt;$C$11,A26," ")</f>
        <v> </v>
      </c>
      <c r="B63" s="274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6" t="str">
        <f>IF($E33&gt;$C$11,#REF!," ")</f>
        <v> </v>
      </c>
      <c r="B64" s="274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6" t="str">
        <f>IF($E34&gt;$C$11,#REF!," ")</f>
        <v> </v>
      </c>
      <c r="B65" s="274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6" t="str">
        <f>IF($E35&gt;$C$11,#REF!," ")</f>
        <v> </v>
      </c>
      <c r="B66" s="274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6" t="str">
        <f>IF($E36&gt;$C$11,A36," ")</f>
        <v> </v>
      </c>
      <c r="B67" s="274"/>
      <c r="C67" s="252">
        <f t="shared" si="3"/>
        <v>0</v>
      </c>
      <c r="D67" s="252">
        <f t="shared" si="3"/>
        <v>0</v>
      </c>
      <c r="E67" s="252">
        <f t="shared" si="3"/>
        <v>0</v>
      </c>
    </row>
    <row r="68" spans="1:5" ht="12.75">
      <c r="A68" s="276" t="str">
        <f>IF($E37&gt;$C$11,A37," ")</f>
        <v> </v>
      </c>
      <c r="B68" s="274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6" t="str">
        <f>IF($E38&gt;$C$11,A29," ")</f>
        <v> </v>
      </c>
      <c r="B69" s="274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6" t="str">
        <f>IF($E39&gt;$C$11,A35," ")</f>
        <v> </v>
      </c>
      <c r="B70" s="274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6" t="str">
        <f t="shared" si="4"/>
        <v> </v>
      </c>
      <c r="B72" s="274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6" t="str">
        <f t="shared" si="4"/>
        <v> </v>
      </c>
      <c r="B73" s="274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6" t="str">
        <f t="shared" si="4"/>
        <v> </v>
      </c>
      <c r="B74" s="274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6" t="str">
        <f t="shared" si="4"/>
        <v> </v>
      </c>
      <c r="B75" s="274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6" t="str">
        <f t="shared" si="4"/>
        <v> </v>
      </c>
      <c r="B76" s="275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7" t="s">
        <v>144</v>
      </c>
      <c r="B77" s="274"/>
      <c r="C77" s="252">
        <f>SUM(C49:C75)</f>
        <v>0</v>
      </c>
      <c r="D77" s="252">
        <f>SUM(D49:D75)</f>
        <v>0</v>
      </c>
      <c r="E77" s="252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5"/>
      <c r="D82" s="295"/>
      <c r="E82" s="252">
        <f>C82-D82</f>
        <v>0</v>
      </c>
    </row>
    <row r="83" spans="1:5" ht="12.75">
      <c r="A83" s="72" t="s">
        <v>152</v>
      </c>
      <c r="B83" s="8" t="s">
        <v>188</v>
      </c>
      <c r="C83" s="295"/>
      <c r="D83" s="295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5"/>
      <c r="D84" s="295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5"/>
      <c r="D85" s="295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5"/>
      <c r="D86" s="295"/>
      <c r="E86" s="252">
        <f t="shared" si="5"/>
        <v>0</v>
      </c>
    </row>
    <row r="87" spans="1:5" ht="12.75">
      <c r="A87" s="68" t="s">
        <v>377</v>
      </c>
      <c r="B87" s="8" t="s">
        <v>188</v>
      </c>
      <c r="C87" s="295">
        <v>36467</v>
      </c>
      <c r="D87" s="295"/>
      <c r="E87" s="252">
        <f t="shared" si="5"/>
        <v>36467</v>
      </c>
    </row>
    <row r="88" spans="1:5" ht="12.75">
      <c r="A88" s="68" t="s">
        <v>195</v>
      </c>
      <c r="B88" s="8" t="s">
        <v>188</v>
      </c>
      <c r="C88" s="295"/>
      <c r="D88" s="295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5"/>
      <c r="D89" s="295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5"/>
      <c r="D90" s="295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5"/>
      <c r="D91" s="295"/>
      <c r="E91" s="252">
        <f t="shared" si="5"/>
        <v>0</v>
      </c>
    </row>
    <row r="92" spans="2:5" ht="12.75">
      <c r="B92" s="8" t="s">
        <v>188</v>
      </c>
      <c r="C92" s="295"/>
      <c r="D92" s="295"/>
      <c r="E92" s="252"/>
    </row>
    <row r="93" spans="1:5" ht="12.75">
      <c r="A93" s="68"/>
      <c r="B93" s="8" t="s">
        <v>188</v>
      </c>
      <c r="C93" s="295"/>
      <c r="D93" s="295"/>
      <c r="E93" s="252">
        <f t="shared" si="5"/>
        <v>0</v>
      </c>
    </row>
    <row r="94" spans="1:5" ht="12.75">
      <c r="A94" s="68"/>
      <c r="B94" s="8" t="s">
        <v>188</v>
      </c>
      <c r="C94" s="295"/>
      <c r="D94" s="295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5"/>
      <c r="D95" s="295"/>
      <c r="E95" s="252">
        <f t="shared" si="5"/>
        <v>0</v>
      </c>
    </row>
    <row r="96" spans="1:5" ht="12.75">
      <c r="A96" s="68" t="s">
        <v>476</v>
      </c>
      <c r="B96" s="8" t="s">
        <v>188</v>
      </c>
      <c r="C96" s="295">
        <v>0</v>
      </c>
      <c r="D96" s="295"/>
      <c r="E96" s="252">
        <f t="shared" si="5"/>
        <v>0</v>
      </c>
    </row>
    <row r="97" spans="1:5" ht="12.75">
      <c r="A97" s="68"/>
      <c r="B97" s="8" t="s">
        <v>188</v>
      </c>
      <c r="C97" s="295"/>
      <c r="D97" s="295"/>
      <c r="E97" s="252">
        <f t="shared" si="5"/>
        <v>0</v>
      </c>
    </row>
    <row r="98" spans="1:5" ht="12.75">
      <c r="A98" s="68"/>
      <c r="B98" s="8" t="s">
        <v>188</v>
      </c>
      <c r="C98" s="295"/>
      <c r="D98" s="295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36467</v>
      </c>
      <c r="D99" s="252">
        <f>SUM(D82:D98)</f>
        <v>0</v>
      </c>
      <c r="E99" s="252">
        <f>SUM(E82:E98)</f>
        <v>36467</v>
      </c>
    </row>
    <row r="100" ht="12.75">
      <c r="A100" s="68"/>
    </row>
    <row r="101" ht="12.75">
      <c r="A101" s="68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6" t="str">
        <f t="shared" si="6"/>
        <v> </v>
      </c>
      <c r="B103" s="274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6" t="str">
        <f t="shared" si="6"/>
        <v> </v>
      </c>
      <c r="B104" s="274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6" t="str">
        <f t="shared" si="6"/>
        <v> </v>
      </c>
      <c r="B105" s="274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6" t="str">
        <f t="shared" si="6"/>
        <v> </v>
      </c>
      <c r="B106" s="274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6" t="str">
        <f t="shared" si="6"/>
        <v>Bad debts</v>
      </c>
      <c r="B107" s="274"/>
      <c r="C107" s="252">
        <f t="shared" si="7"/>
        <v>36467</v>
      </c>
      <c r="D107" s="252">
        <f t="shared" si="7"/>
        <v>0</v>
      </c>
      <c r="E107" s="252">
        <f t="shared" si="7"/>
        <v>36467</v>
      </c>
    </row>
    <row r="108" spans="1:5" ht="12.75">
      <c r="A108" s="276" t="str">
        <f t="shared" si="6"/>
        <v> </v>
      </c>
      <c r="B108" s="274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6" t="str">
        <f t="shared" si="6"/>
        <v> </v>
      </c>
      <c r="B109" s="274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6" t="str">
        <f t="shared" si="6"/>
        <v> </v>
      </c>
      <c r="B110" s="274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6" t="str">
        <f t="shared" si="6"/>
        <v> </v>
      </c>
      <c r="B111" s="274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6" t="str">
        <f>IF($E92&gt;$C$11,A95," ")</f>
        <v> </v>
      </c>
      <c r="B112" s="274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6" t="str">
        <f>IF($E93&gt;$C$11,#REF!," ")</f>
        <v> </v>
      </c>
      <c r="B113" s="274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6" t="str">
        <f>IF($E94&gt;$C$11,A94," ")</f>
        <v> </v>
      </c>
      <c r="B114" s="274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6" t="str">
        <f>IF($E95&gt;$C$11,A93," ")</f>
        <v> </v>
      </c>
      <c r="B115" s="274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6" t="str">
        <f>IF($E96&gt;$C$11,A96," ")</f>
        <v> </v>
      </c>
      <c r="B116" s="274"/>
      <c r="C116" s="252">
        <f t="shared" si="7"/>
        <v>0</v>
      </c>
      <c r="D116" s="252">
        <f t="shared" si="7"/>
        <v>0</v>
      </c>
      <c r="E116" s="252">
        <f t="shared" si="7"/>
        <v>0</v>
      </c>
    </row>
    <row r="117" spans="1:5" ht="12.75">
      <c r="A117" s="276" t="str">
        <f>IF($E97&gt;$C$11,A97," ")</f>
        <v> </v>
      </c>
      <c r="B117" s="274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6" t="str">
        <f>IF($E98&gt;$C$11,A98," ")</f>
        <v> </v>
      </c>
      <c r="B118" s="274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79" t="s">
        <v>202</v>
      </c>
      <c r="B119" s="274"/>
      <c r="C119" s="252">
        <f>SUM(C102:C118)</f>
        <v>36467</v>
      </c>
      <c r="D119" s="252">
        <f>SUM(D102:D118)</f>
        <v>0</v>
      </c>
      <c r="E119" s="252">
        <f>SUM(E102:E118)</f>
        <v>36467</v>
      </c>
    </row>
    <row r="120" spans="1:5" ht="12.75">
      <c r="A120" s="279" t="s">
        <v>201</v>
      </c>
      <c r="B120" s="274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79" t="s">
        <v>171</v>
      </c>
      <c r="B121" s="274"/>
      <c r="C121" s="252">
        <f>C119+C120</f>
        <v>36467</v>
      </c>
      <c r="D121" s="252">
        <f>D119+D120</f>
        <v>0</v>
      </c>
      <c r="E121" s="252">
        <f>E119+E120</f>
        <v>36467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" right="0.0393700787401575" top="0.750315" bottom="0.236220472440945" header="0.261811024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3"/>
    </row>
    <row r="4" spans="1:6" ht="1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8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455</v>
      </c>
      <c r="B24" t="s">
        <v>187</v>
      </c>
      <c r="C24" s="296">
        <v>1297</v>
      </c>
      <c r="D24" s="296"/>
      <c r="E24" s="314">
        <f t="shared" si="0"/>
        <v>1297</v>
      </c>
    </row>
    <row r="25" spans="1:5" ht="12.75">
      <c r="A25" s="68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433</v>
      </c>
      <c r="B32" t="s">
        <v>187</v>
      </c>
      <c r="C32" s="296">
        <v>5787</v>
      </c>
      <c r="D32" s="296"/>
      <c r="E32" s="314">
        <f t="shared" si="0"/>
        <v>5787</v>
      </c>
    </row>
    <row r="33" spans="1:5" ht="12.75">
      <c r="A33" s="68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2" t="s">
        <v>452</v>
      </c>
      <c r="C35" s="296">
        <v>325000</v>
      </c>
      <c r="D35" s="296"/>
      <c r="E35" s="314">
        <f t="shared" si="0"/>
        <v>325000</v>
      </c>
    </row>
    <row r="36" spans="1:5" ht="12.75">
      <c r="A36" s="68" t="s">
        <v>435</v>
      </c>
      <c r="C36" s="296"/>
      <c r="D36" s="296"/>
      <c r="E36" s="314">
        <f t="shared" si="0"/>
        <v>0</v>
      </c>
    </row>
    <row r="37" spans="1:5" ht="12.75">
      <c r="A37" s="68" t="s">
        <v>436</v>
      </c>
      <c r="C37" s="296"/>
      <c r="D37" s="296"/>
      <c r="E37" s="314">
        <f t="shared" si="0"/>
        <v>0</v>
      </c>
    </row>
    <row r="38" spans="1:5" ht="12.75">
      <c r="A38" s="82" t="s">
        <v>393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2" t="s">
        <v>387</v>
      </c>
      <c r="B40" t="s">
        <v>187</v>
      </c>
      <c r="C40" s="296">
        <v>1004331</v>
      </c>
      <c r="D40" s="296"/>
      <c r="E40" s="314">
        <f t="shared" si="0"/>
        <v>1004331</v>
      </c>
    </row>
    <row r="41" spans="1:5" ht="12.75">
      <c r="A41" s="68" t="s">
        <v>458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9" t="s">
        <v>204</v>
      </c>
      <c r="B43" t="s">
        <v>187</v>
      </c>
      <c r="C43" s="296"/>
      <c r="D43" s="296"/>
      <c r="E43" s="314">
        <f t="shared" si="0"/>
        <v>0</v>
      </c>
    </row>
    <row r="44" spans="2:5" ht="12.75">
      <c r="B44" t="s">
        <v>187</v>
      </c>
      <c r="C44" s="295"/>
      <c r="D44" s="295"/>
      <c r="E44" s="252">
        <f t="shared" si="0"/>
        <v>0</v>
      </c>
    </row>
    <row r="45" spans="2:5" ht="12.75">
      <c r="B45" t="s">
        <v>187</v>
      </c>
      <c r="C45" s="295"/>
      <c r="D45" s="295"/>
      <c r="E45" s="252">
        <f t="shared" si="0"/>
        <v>0</v>
      </c>
    </row>
    <row r="46" spans="1:5" ht="12.75">
      <c r="A46" s="68"/>
      <c r="B46" t="s">
        <v>187</v>
      </c>
      <c r="C46" s="295"/>
      <c r="D46" s="295"/>
      <c r="E46" s="280"/>
    </row>
    <row r="47" spans="1:5" ht="12.75">
      <c r="A47" s="452" t="s">
        <v>397</v>
      </c>
      <c r="B47" t="s">
        <v>189</v>
      </c>
      <c r="C47" s="252">
        <f>SUM(C19:C46)</f>
        <v>1336415</v>
      </c>
      <c r="D47" s="252">
        <f>SUM(D19:D46)</f>
        <v>0</v>
      </c>
      <c r="E47" s="252">
        <f>SUM(E19:E46)</f>
        <v>1336415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5"/>
      <c r="D51" s="295"/>
      <c r="E51" s="252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5"/>
      <c r="D52" s="295"/>
      <c r="E52" s="252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2">
        <f t="shared" si="1"/>
        <v>0</v>
      </c>
    </row>
    <row r="54" spans="1:5" ht="12.75">
      <c r="A54" t="s">
        <v>437</v>
      </c>
      <c r="B54" s="8" t="s">
        <v>188</v>
      </c>
      <c r="C54" s="295">
        <v>25444</v>
      </c>
      <c r="D54" s="295"/>
      <c r="E54" s="252">
        <f t="shared" si="1"/>
        <v>25444</v>
      </c>
    </row>
    <row r="55" spans="1:5" ht="12.75">
      <c r="A55" s="68" t="s">
        <v>445</v>
      </c>
      <c r="B55" s="8" t="s">
        <v>188</v>
      </c>
      <c r="C55" s="295"/>
      <c r="D55" s="295"/>
      <c r="E55" s="252">
        <f t="shared" si="1"/>
        <v>0</v>
      </c>
    </row>
    <row r="56" spans="1:5" ht="12.75">
      <c r="A56" s="68" t="s">
        <v>457</v>
      </c>
      <c r="B56" s="8" t="s">
        <v>188</v>
      </c>
      <c r="C56" s="295"/>
      <c r="D56" s="295"/>
      <c r="E56" s="252">
        <f t="shared" si="1"/>
        <v>0</v>
      </c>
    </row>
    <row r="57" spans="1:5" ht="12.75">
      <c r="A57" s="2" t="s">
        <v>453</v>
      </c>
      <c r="B57" s="8" t="s">
        <v>188</v>
      </c>
      <c r="C57" s="295">
        <v>325000</v>
      </c>
      <c r="D57" s="295"/>
      <c r="E57" s="252">
        <f t="shared" si="1"/>
        <v>325000</v>
      </c>
    </row>
    <row r="58" spans="1:5" ht="12.75">
      <c r="A58" s="68" t="s">
        <v>456</v>
      </c>
      <c r="B58" s="8" t="s">
        <v>188</v>
      </c>
      <c r="C58" s="295"/>
      <c r="D58" s="295"/>
      <c r="E58" s="252">
        <f t="shared" si="1"/>
        <v>0</v>
      </c>
    </row>
    <row r="59" spans="1:5" ht="12.75">
      <c r="A59" s="68"/>
      <c r="B59" s="8" t="s">
        <v>188</v>
      </c>
      <c r="C59" s="295"/>
      <c r="D59" s="295"/>
      <c r="E59" s="252">
        <f t="shared" si="1"/>
        <v>0</v>
      </c>
    </row>
    <row r="60" spans="1:5" ht="12.75">
      <c r="A60" s="470" t="s">
        <v>394</v>
      </c>
      <c r="B60" s="8" t="s">
        <v>188</v>
      </c>
      <c r="C60" s="295"/>
      <c r="D60" s="295"/>
      <c r="E60" s="252">
        <f t="shared" si="1"/>
        <v>0</v>
      </c>
    </row>
    <row r="61" spans="2:5" ht="12.75">
      <c r="B61" s="8" t="s">
        <v>188</v>
      </c>
      <c r="C61" s="295"/>
      <c r="D61" s="295"/>
      <c r="E61" s="252">
        <f t="shared" si="1"/>
        <v>0</v>
      </c>
    </row>
    <row r="62" spans="1:5" ht="12.75">
      <c r="A62" s="470" t="s">
        <v>387</v>
      </c>
      <c r="B62" s="8" t="s">
        <v>188</v>
      </c>
      <c r="C62" s="295">
        <v>1004331</v>
      </c>
      <c r="D62" s="295"/>
      <c r="E62" s="252">
        <f aca="true" t="shared" si="2" ref="E62:E72">C62-D62</f>
        <v>1004331</v>
      </c>
    </row>
    <row r="63" spans="2:5" ht="12.75">
      <c r="B63" s="8" t="s">
        <v>188</v>
      </c>
      <c r="C63" s="295"/>
      <c r="D63" s="295"/>
      <c r="E63" s="252">
        <f t="shared" si="2"/>
        <v>0</v>
      </c>
    </row>
    <row r="64" spans="2:5" ht="12.75">
      <c r="B64" s="8" t="s">
        <v>188</v>
      </c>
      <c r="C64" s="295"/>
      <c r="D64" s="295"/>
      <c r="E64" s="252">
        <f t="shared" si="2"/>
        <v>0</v>
      </c>
    </row>
    <row r="65" spans="2:5" ht="12.75">
      <c r="B65" s="8" t="s">
        <v>188</v>
      </c>
      <c r="C65" s="295"/>
      <c r="D65" s="295"/>
      <c r="E65" s="252">
        <f t="shared" si="2"/>
        <v>0</v>
      </c>
    </row>
    <row r="66" spans="2:5" ht="12.75">
      <c r="B66" s="8" t="s">
        <v>188</v>
      </c>
      <c r="C66" s="295"/>
      <c r="D66" s="295"/>
      <c r="E66" s="252">
        <f t="shared" si="2"/>
        <v>0</v>
      </c>
    </row>
    <row r="67" spans="1:5" ht="12.75">
      <c r="A67" s="68"/>
      <c r="B67" s="8" t="s">
        <v>188</v>
      </c>
      <c r="C67" s="295"/>
      <c r="D67" s="295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5"/>
      <c r="D68" s="295"/>
      <c r="E68" s="252">
        <f t="shared" si="2"/>
        <v>0</v>
      </c>
    </row>
    <row r="69" spans="1:5" ht="12.75">
      <c r="A69" s="68"/>
      <c r="B69" s="8" t="s">
        <v>188</v>
      </c>
      <c r="C69" s="295"/>
      <c r="D69" s="295"/>
      <c r="E69" s="252">
        <f t="shared" si="2"/>
        <v>0</v>
      </c>
    </row>
    <row r="70" spans="1:5" ht="12.75">
      <c r="A70" s="68"/>
      <c r="B70" s="8" t="s">
        <v>188</v>
      </c>
      <c r="C70" s="295"/>
      <c r="D70" s="295"/>
      <c r="E70" s="252">
        <f t="shared" si="2"/>
        <v>0</v>
      </c>
    </row>
    <row r="71" spans="1:5" ht="12.75">
      <c r="A71" s="68"/>
      <c r="B71" s="8" t="s">
        <v>188</v>
      </c>
      <c r="C71" s="295"/>
      <c r="D71" s="295"/>
      <c r="E71" s="252">
        <f t="shared" si="2"/>
        <v>0</v>
      </c>
    </row>
    <row r="72" spans="1:5" ht="12.75">
      <c r="A72" s="68"/>
      <c r="B72" s="8" t="s">
        <v>188</v>
      </c>
      <c r="C72" s="295"/>
      <c r="D72" s="295"/>
      <c r="E72" s="280">
        <f t="shared" si="2"/>
        <v>0</v>
      </c>
    </row>
    <row r="73" spans="1:5" ht="12.75">
      <c r="A73" s="451" t="s">
        <v>396</v>
      </c>
      <c r="B73" s="8" t="s">
        <v>189</v>
      </c>
      <c r="C73" s="252">
        <f>SUM(C51:C72)</f>
        <v>1354775</v>
      </c>
      <c r="D73" s="252">
        <f>SUM(D51:D72)</f>
        <v>0</v>
      </c>
      <c r="E73" s="252">
        <f>SUM(E51:E72)</f>
        <v>1354775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71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25">
      <selection activeCell="E51" sqref="E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7" t="str">
        <f>REGINFO!A1</f>
        <v>PILs TAXES - EB-2008-0381</v>
      </c>
      <c r="B1" s="388"/>
      <c r="C1" s="345"/>
      <c r="D1" s="345"/>
      <c r="E1" s="345"/>
      <c r="F1" s="345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5"/>
      <c r="C4" s="345"/>
      <c r="D4" s="345"/>
      <c r="E4" s="345"/>
      <c r="F4" s="345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2005</v>
      </c>
      <c r="B5" s="345"/>
      <c r="C5" s="345"/>
      <c r="D5" s="345"/>
      <c r="E5" s="345"/>
      <c r="F5" s="345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6"/>
      <c r="B7" s="345"/>
      <c r="C7" s="345"/>
      <c r="D7" s="345"/>
      <c r="E7" s="345"/>
      <c r="F7" s="413" t="s">
        <v>337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506" t="s">
        <v>487</v>
      </c>
      <c r="B8" s="507"/>
      <c r="C8" s="507"/>
      <c r="D8" s="507"/>
      <c r="E8" s="345"/>
      <c r="F8" s="38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400001</v>
      </c>
      <c r="F9" s="377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4" t="s">
        <v>489</v>
      </c>
      <c r="B10" s="329"/>
      <c r="C10" s="378" t="s">
        <v>111</v>
      </c>
      <c r="D10" s="378"/>
      <c r="E10" s="378" t="s">
        <v>111</v>
      </c>
      <c r="F10" s="379" t="s">
        <v>483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4"/>
      <c r="B11" s="329" t="s">
        <v>116</v>
      </c>
      <c r="C11" s="380">
        <v>400000</v>
      </c>
      <c r="D11" s="380"/>
      <c r="E11" s="380">
        <v>1128000</v>
      </c>
      <c r="F11" s="381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5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6" t="s">
        <v>300</v>
      </c>
      <c r="B13" s="412">
        <v>2005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6" t="s">
        <v>299</v>
      </c>
      <c r="B14" s="246"/>
      <c r="C14" s="330">
        <v>0.1312</v>
      </c>
      <c r="D14" s="330"/>
      <c r="E14" s="331">
        <v>0.1775</v>
      </c>
      <c r="F14" s="331">
        <v>0.2212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6" t="s">
        <v>304</v>
      </c>
      <c r="B15" s="246"/>
      <c r="C15" s="332">
        <v>0.055</v>
      </c>
      <c r="D15" s="332"/>
      <c r="E15" s="333">
        <v>0.0975</v>
      </c>
      <c r="F15" s="333">
        <v>0.14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6" t="s">
        <v>260</v>
      </c>
      <c r="B16" s="246"/>
      <c r="C16" s="334">
        <f>SUM(C14:C15)</f>
        <v>0.1862</v>
      </c>
      <c r="D16" s="334"/>
      <c r="E16" s="335">
        <f>SUM(E14:E15)</f>
        <v>0.275</v>
      </c>
      <c r="F16" s="335">
        <f>SUM(F14:F15)</f>
        <v>0.3612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6"/>
      <c r="B17" s="246"/>
      <c r="C17" s="330"/>
      <c r="D17" s="330"/>
      <c r="E17" s="331"/>
      <c r="F17" s="331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5" t="s">
        <v>109</v>
      </c>
      <c r="B18" s="245"/>
      <c r="C18" s="336">
        <v>0.003</v>
      </c>
      <c r="D18" s="330"/>
      <c r="E18" s="331"/>
      <c r="F18" s="331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5" t="s">
        <v>110</v>
      </c>
      <c r="B19" s="239"/>
      <c r="C19" s="337">
        <v>0.00175</v>
      </c>
      <c r="D19" s="338"/>
      <c r="E19" s="339"/>
      <c r="F19" s="339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5" t="s">
        <v>113</v>
      </c>
      <c r="B20" s="239"/>
      <c r="C20" s="338">
        <v>0.0112</v>
      </c>
      <c r="D20" s="340"/>
      <c r="E20" s="341"/>
      <c r="F20" s="341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7" t="s">
        <v>332</v>
      </c>
      <c r="B21" s="409" t="s">
        <v>488</v>
      </c>
      <c r="C21" s="364">
        <v>7500000</v>
      </c>
      <c r="D21" s="340"/>
      <c r="E21" s="341"/>
      <c r="F21" s="341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7" t="s">
        <v>333</v>
      </c>
      <c r="B22" s="410" t="s">
        <v>482</v>
      </c>
      <c r="C22" s="365">
        <v>50000000</v>
      </c>
      <c r="D22" s="342"/>
      <c r="E22" s="343"/>
      <c r="F22" s="343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500" t="s">
        <v>494</v>
      </c>
      <c r="B23" s="501"/>
      <c r="C23" s="501"/>
      <c r="D23" s="501"/>
      <c r="E23" s="501"/>
      <c r="F23" s="501"/>
      <c r="G23" s="441"/>
      <c r="H23" s="423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4"/>
      <c r="B24" s="415"/>
      <c r="C24" s="415"/>
      <c r="D24" s="415"/>
      <c r="E24" s="415"/>
      <c r="F24" s="415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2"/>
      <c r="B25" s="383"/>
      <c r="C25" s="386"/>
      <c r="D25" s="345"/>
      <c r="E25" s="345"/>
      <c r="F25" s="413" t="s">
        <v>338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6" t="s">
        <v>490</v>
      </c>
      <c r="B26" s="507"/>
      <c r="C26" s="507"/>
      <c r="D26" s="507"/>
      <c r="E26" s="507"/>
      <c r="F26" s="507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3" t="s">
        <v>112</v>
      </c>
      <c r="B27" s="328"/>
      <c r="C27" s="370">
        <v>0</v>
      </c>
      <c r="D27" s="370">
        <v>250001</v>
      </c>
      <c r="E27" s="370">
        <v>400001</v>
      </c>
      <c r="F27" s="371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4" t="s">
        <v>441</v>
      </c>
      <c r="B28" s="329"/>
      <c r="C28" s="372" t="s">
        <v>111</v>
      </c>
      <c r="D28" s="372" t="s">
        <v>111</v>
      </c>
      <c r="E28" s="372" t="s">
        <v>111</v>
      </c>
      <c r="F28" s="373" t="s">
        <v>483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4"/>
      <c r="B29" s="329" t="s">
        <v>116</v>
      </c>
      <c r="C29" s="374">
        <v>250000</v>
      </c>
      <c r="D29" s="374">
        <v>400000</v>
      </c>
      <c r="E29" s="374">
        <v>1128000</v>
      </c>
      <c r="F29" s="375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5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6" t="s">
        <v>115</v>
      </c>
      <c r="B31" s="412">
        <v>2005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6" t="s">
        <v>299</v>
      </c>
      <c r="B32" s="412">
        <v>2005</v>
      </c>
      <c r="C32" s="330">
        <v>0.1312</v>
      </c>
      <c r="D32" s="330">
        <v>0.2212</v>
      </c>
      <c r="E32" s="331">
        <v>0.2212</v>
      </c>
      <c r="F32" s="331">
        <v>0.2212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6" t="s">
        <v>29</v>
      </c>
      <c r="B33" s="412">
        <v>2005</v>
      </c>
      <c r="C33" s="332">
        <v>0.055</v>
      </c>
      <c r="D33" s="332">
        <v>0.055</v>
      </c>
      <c r="E33" s="333">
        <v>0.0975</v>
      </c>
      <c r="F33" s="333">
        <v>0.14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6" t="s">
        <v>260</v>
      </c>
      <c r="B34" s="412">
        <v>2005</v>
      </c>
      <c r="C34" s="334">
        <f>SUM(C32:C33)</f>
        <v>0.1862</v>
      </c>
      <c r="D34" s="334">
        <f>SUM(D32:D33)</f>
        <v>0.2762</v>
      </c>
      <c r="E34" s="335">
        <f>SUM(E32:E33)</f>
        <v>0.3187</v>
      </c>
      <c r="F34" s="335">
        <f>SUM(F32:F33)</f>
        <v>0.3612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6"/>
      <c r="B35" s="246"/>
      <c r="C35" s="330"/>
      <c r="D35" s="330"/>
      <c r="E35" s="331"/>
      <c r="F35" s="331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5" t="s">
        <v>109</v>
      </c>
      <c r="B36" s="412">
        <v>2005</v>
      </c>
      <c r="C36" s="336">
        <v>0.003</v>
      </c>
      <c r="D36" s="330"/>
      <c r="E36" s="331"/>
      <c r="F36" s="331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5" t="s">
        <v>110</v>
      </c>
      <c r="B37" s="412">
        <v>2005</v>
      </c>
      <c r="C37" s="337">
        <v>0.002</v>
      </c>
      <c r="D37" s="338"/>
      <c r="E37" s="339"/>
      <c r="F37" s="339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5" t="s">
        <v>113</v>
      </c>
      <c r="B38" s="412">
        <v>2005</v>
      </c>
      <c r="C38" s="338">
        <v>0.0112</v>
      </c>
      <c r="D38" s="340"/>
      <c r="E38" s="341"/>
      <c r="F38" s="341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7" t="s">
        <v>492</v>
      </c>
      <c r="B39" s="409" t="s">
        <v>488</v>
      </c>
      <c r="C39" s="364">
        <v>7500000</v>
      </c>
      <c r="D39" s="340"/>
      <c r="E39" s="341"/>
      <c r="F39" s="341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7" t="s">
        <v>493</v>
      </c>
      <c r="B40" s="410" t="s">
        <v>482</v>
      </c>
      <c r="C40" s="365">
        <v>50000000</v>
      </c>
      <c r="D40" s="342"/>
      <c r="E40" s="343"/>
      <c r="F40" s="343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502" t="s">
        <v>335</v>
      </c>
      <c r="B41" s="501"/>
      <c r="C41" s="501"/>
      <c r="D41" s="501"/>
      <c r="E41" s="501"/>
      <c r="F41" s="501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503"/>
      <c r="B42" s="503"/>
      <c r="C42" s="503"/>
      <c r="D42" s="503"/>
      <c r="E42" s="503"/>
      <c r="F42" s="503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2"/>
      <c r="B43" s="383"/>
      <c r="C43" s="384"/>
      <c r="D43" s="383"/>
      <c r="E43" s="383"/>
      <c r="F43" s="413" t="s">
        <v>339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1" t="s">
        <v>491</v>
      </c>
      <c r="B44" s="368"/>
      <c r="C44" s="369"/>
      <c r="D44" s="368"/>
      <c r="E44" s="345"/>
      <c r="F44" s="385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3" t="s">
        <v>112</v>
      </c>
      <c r="B45" s="328"/>
      <c r="C45" s="370">
        <v>0</v>
      </c>
      <c r="D45" s="370">
        <v>250001</v>
      </c>
      <c r="E45" s="370">
        <v>400001</v>
      </c>
      <c r="F45" s="371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4"/>
      <c r="B46" s="329"/>
      <c r="C46" s="372" t="s">
        <v>111</v>
      </c>
      <c r="D46" s="372" t="s">
        <v>111</v>
      </c>
      <c r="E46" s="372" t="s">
        <v>111</v>
      </c>
      <c r="F46" s="373" t="s">
        <v>483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4"/>
      <c r="B47" s="344" t="s">
        <v>116</v>
      </c>
      <c r="C47" s="374">
        <v>250000</v>
      </c>
      <c r="D47" s="374">
        <v>400000</v>
      </c>
      <c r="E47" s="374">
        <v>1128000</v>
      </c>
      <c r="F47" s="375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5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6" t="s">
        <v>115</v>
      </c>
      <c r="B49" s="412">
        <v>2005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6" t="s">
        <v>299</v>
      </c>
      <c r="B50" s="246"/>
      <c r="C50" s="354">
        <v>0.1312</v>
      </c>
      <c r="D50" s="354">
        <v>0.2212</v>
      </c>
      <c r="E50" s="355">
        <v>0.2212</v>
      </c>
      <c r="F50" s="355">
        <v>0.2212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6" t="s">
        <v>29</v>
      </c>
      <c r="B51" s="246"/>
      <c r="C51" s="356">
        <v>0.055</v>
      </c>
      <c r="D51" s="356">
        <v>0.055</v>
      </c>
      <c r="E51" s="357">
        <v>0.14</v>
      </c>
      <c r="F51" s="357">
        <v>0.14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6" t="s">
        <v>260</v>
      </c>
      <c r="B52" s="246"/>
      <c r="C52" s="334">
        <f>SUM(C50:C51)</f>
        <v>0.1862</v>
      </c>
      <c r="D52" s="334">
        <f>SUM(D50:D51)</f>
        <v>0.2762</v>
      </c>
      <c r="E52" s="335">
        <f>SUM(E50:E51)</f>
        <v>0.3612</v>
      </c>
      <c r="F52" s="335">
        <f>SUM(F50:F51)</f>
        <v>0.3612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6"/>
      <c r="B53" s="246"/>
      <c r="C53" s="354"/>
      <c r="D53" s="354"/>
      <c r="E53" s="355"/>
      <c r="F53" s="355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5" t="s">
        <v>109</v>
      </c>
      <c r="B54" s="245"/>
      <c r="C54" s="358">
        <v>0.003</v>
      </c>
      <c r="D54" s="354"/>
      <c r="E54" s="355"/>
      <c r="F54" s="355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5" t="s">
        <v>110</v>
      </c>
      <c r="B55" s="239"/>
      <c r="C55" s="359">
        <v>0.002</v>
      </c>
      <c r="D55" s="360"/>
      <c r="E55" s="361"/>
      <c r="F55" s="361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5" t="s">
        <v>113</v>
      </c>
      <c r="B56" s="239"/>
      <c r="C56" s="360">
        <v>0.0112</v>
      </c>
      <c r="D56" s="362"/>
      <c r="E56" s="363"/>
      <c r="F56" s="363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7" t="s">
        <v>349</v>
      </c>
      <c r="B57" s="409" t="s">
        <v>488</v>
      </c>
      <c r="C57" s="364">
        <v>6955928</v>
      </c>
      <c r="D57" s="362"/>
      <c r="E57" s="363"/>
      <c r="F57" s="363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7" t="s">
        <v>350</v>
      </c>
      <c r="B58" s="410" t="s">
        <v>482</v>
      </c>
      <c r="C58" s="365">
        <v>45995000</v>
      </c>
      <c r="D58" s="366"/>
      <c r="E58" s="367"/>
      <c r="F58" s="367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500" t="s">
        <v>351</v>
      </c>
      <c r="B59" s="504"/>
      <c r="C59" s="504"/>
      <c r="D59" s="504"/>
      <c r="E59" s="504"/>
      <c r="F59" s="504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505"/>
      <c r="B60" s="505"/>
      <c r="C60" s="505"/>
      <c r="D60" s="505"/>
      <c r="E60" s="505"/>
      <c r="F60" s="505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6"/>
      <c r="B61" s="347"/>
      <c r="C61" s="347"/>
      <c r="D61" s="347"/>
      <c r="E61" s="347"/>
      <c r="F61" s="349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6"/>
      <c r="B62" s="347"/>
      <c r="C62" s="348"/>
      <c r="D62" s="348"/>
      <c r="E62" s="348"/>
      <c r="F62" s="350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6"/>
      <c r="B63" s="345"/>
      <c r="C63" s="345"/>
      <c r="D63" s="345"/>
      <c r="E63" s="345"/>
      <c r="F63" s="345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1"/>
      <c r="B64" s="352"/>
      <c r="C64" s="353"/>
      <c r="D64" s="353"/>
      <c r="E64" s="353"/>
      <c r="F64" s="353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76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">
      <selection activeCell="E51" sqref="E5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2005</v>
      </c>
      <c r="E4" s="420" t="s">
        <v>321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246317</v>
      </c>
      <c r="F11" s="422"/>
      <c r="G11" s="399">
        <f>E22</f>
        <v>139188</v>
      </c>
      <c r="H11" s="422"/>
      <c r="I11" s="399">
        <f>G22</f>
        <v>-112822</v>
      </c>
      <c r="J11" s="393"/>
      <c r="K11" s="399">
        <f>I22</f>
        <v>-52859.75</v>
      </c>
      <c r="L11" s="393"/>
      <c r="M11" s="399">
        <f>K22</f>
        <v>-281343.5</v>
      </c>
      <c r="N11" s="393"/>
      <c r="O11" s="399">
        <f>C11</f>
        <v>0</v>
      </c>
    </row>
    <row r="12" spans="1:17" ht="27" customHeight="1">
      <c r="A12" s="82" t="s">
        <v>398</v>
      </c>
      <c r="B12" s="67" t="s">
        <v>190</v>
      </c>
      <c r="C12" s="398">
        <v>246317</v>
      </c>
      <c r="D12" s="394"/>
      <c r="E12" s="398">
        <f>899961</f>
        <v>899961</v>
      </c>
      <c r="F12" s="96"/>
      <c r="G12" s="421">
        <f>C12+E12</f>
        <v>1146278</v>
      </c>
      <c r="H12" s="96"/>
      <c r="I12" s="421">
        <f>(E12/12*9)+(G12/12*3)</f>
        <v>961540.25</v>
      </c>
      <c r="J12" s="394"/>
      <c r="K12" s="421">
        <f>E12/12*3</f>
        <v>224990.25</v>
      </c>
      <c r="L12" s="394"/>
      <c r="M12" s="421">
        <f>830648/12*4</f>
        <v>276882.6666666667</v>
      </c>
      <c r="N12" s="394"/>
      <c r="O12" s="399">
        <f aca="true" t="shared" si="0" ref="O12:O20">SUM(C12:N12)</f>
        <v>3755969.1666666665</v>
      </c>
      <c r="Q12" s="22"/>
    </row>
    <row r="13" spans="1:15" ht="27" customHeight="1">
      <c r="A13" s="82" t="s">
        <v>440</v>
      </c>
      <c r="B13" s="67"/>
      <c r="C13" s="398"/>
      <c r="D13" s="96"/>
      <c r="E13" s="398"/>
      <c r="F13" s="96"/>
      <c r="G13" s="398"/>
      <c r="H13" s="96"/>
      <c r="I13" s="398"/>
      <c r="J13" s="394"/>
      <c r="K13" s="398">
        <f>830648/12*9</f>
        <v>622986</v>
      </c>
      <c r="L13" s="394"/>
      <c r="M13" s="398"/>
      <c r="N13" s="394"/>
      <c r="O13" s="399">
        <f t="shared" si="0"/>
        <v>622986</v>
      </c>
    </row>
    <row r="14" spans="1:15" ht="38.25">
      <c r="A14" s="82" t="s">
        <v>399</v>
      </c>
      <c r="B14" s="67" t="s">
        <v>190</v>
      </c>
      <c r="C14" s="398"/>
      <c r="D14" s="394"/>
      <c r="E14" s="398">
        <v>747</v>
      </c>
      <c r="F14" s="96"/>
      <c r="G14" s="398">
        <v>0</v>
      </c>
      <c r="H14" s="96"/>
      <c r="I14" s="431"/>
      <c r="J14" s="394"/>
      <c r="K14" s="398"/>
      <c r="L14" s="394"/>
      <c r="M14" s="398"/>
      <c r="N14" s="394"/>
      <c r="O14" s="399">
        <f t="shared" si="0"/>
        <v>747</v>
      </c>
    </row>
    <row r="15" spans="1:15" ht="27" customHeight="1">
      <c r="A15" s="82" t="s">
        <v>400</v>
      </c>
      <c r="B15" s="67" t="s">
        <v>190</v>
      </c>
      <c r="C15" s="398"/>
      <c r="D15" s="394"/>
      <c r="E15" s="398">
        <v>0</v>
      </c>
      <c r="F15" s="96"/>
      <c r="G15" s="398">
        <v>-132648</v>
      </c>
      <c r="H15" s="96"/>
      <c r="I15" s="398">
        <v>-59421</v>
      </c>
      <c r="J15" s="394"/>
      <c r="K15" s="398">
        <v>-32986</v>
      </c>
      <c r="L15" s="394"/>
      <c r="M15" s="398">
        <f>TAXCALC!E132</f>
        <v>31225.923076923085</v>
      </c>
      <c r="N15" s="394"/>
      <c r="O15" s="399">
        <f t="shared" si="0"/>
        <v>-193829.0769230769</v>
      </c>
    </row>
    <row r="16" spans="1:15" ht="27" customHeight="1">
      <c r="A16" s="82" t="s">
        <v>401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>
        <v>0</v>
      </c>
      <c r="L16" s="394"/>
      <c r="M16" s="398"/>
      <c r="N16" s="394"/>
      <c r="O16" s="399">
        <f t="shared" si="0"/>
        <v>0</v>
      </c>
    </row>
    <row r="17" spans="1:15" ht="27.75" customHeight="1">
      <c r="A17" s="82" t="s">
        <v>402</v>
      </c>
      <c r="B17" s="67" t="s">
        <v>190</v>
      </c>
      <c r="C17" s="398"/>
      <c r="D17" s="394"/>
      <c r="E17" s="398">
        <v>0</v>
      </c>
      <c r="F17" s="96"/>
      <c r="G17" s="398">
        <v>-5088</v>
      </c>
      <c r="H17" s="96"/>
      <c r="I17" s="398">
        <v>-39813</v>
      </c>
      <c r="J17" s="394"/>
      <c r="K17" s="398">
        <v>-82248</v>
      </c>
      <c r="L17" s="394"/>
      <c r="M17" s="398">
        <f>TAXCALC!E181</f>
        <v>0</v>
      </c>
      <c r="N17" s="394"/>
      <c r="O17" s="399">
        <f t="shared" si="0"/>
        <v>-127149</v>
      </c>
    </row>
    <row r="18" spans="1:15" ht="26.25">
      <c r="A18" s="82" t="s">
        <v>403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5" ht="24" customHeight="1">
      <c r="A19" s="435" t="s">
        <v>404</v>
      </c>
      <c r="B19" s="67" t="s">
        <v>190</v>
      </c>
      <c r="C19" s="398"/>
      <c r="D19" s="394"/>
      <c r="E19" s="398">
        <v>4029</v>
      </c>
      <c r="F19" s="96"/>
      <c r="G19" s="398">
        <v>4526</v>
      </c>
      <c r="H19" s="96"/>
      <c r="I19" s="398">
        <v>-4020</v>
      </c>
      <c r="J19" s="394"/>
      <c r="K19" s="398">
        <v>-2115</v>
      </c>
      <c r="L19" s="394"/>
      <c r="M19" s="398">
        <v>-4690</v>
      </c>
      <c r="N19" s="394"/>
      <c r="O19" s="399">
        <f t="shared" si="0"/>
        <v>-2270</v>
      </c>
    </row>
    <row r="20" spans="1:15" ht="24.75" customHeight="1">
      <c r="A20" s="82" t="s">
        <v>470</v>
      </c>
      <c r="B20" s="67" t="s">
        <v>188</v>
      </c>
      <c r="C20" s="398">
        <v>0</v>
      </c>
      <c r="D20" s="394"/>
      <c r="E20" s="398">
        <v>-1011866</v>
      </c>
      <c r="F20" s="96"/>
      <c r="G20" s="398">
        <v>-1265078</v>
      </c>
      <c r="H20" s="96"/>
      <c r="I20" s="398">
        <v>-798324</v>
      </c>
      <c r="J20" s="394"/>
      <c r="K20" s="398">
        <v>-959111</v>
      </c>
      <c r="L20" s="394"/>
      <c r="M20" s="398">
        <v>-232679</v>
      </c>
      <c r="N20" s="394"/>
      <c r="O20" s="399">
        <f t="shared" si="0"/>
        <v>-4267058</v>
      </c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374</v>
      </c>
      <c r="B22" s="34"/>
      <c r="C22" s="400">
        <f>SUM(C11:C20)</f>
        <v>246317</v>
      </c>
      <c r="D22" s="422"/>
      <c r="E22" s="400">
        <f>SUM(E11:E20)</f>
        <v>139188</v>
      </c>
      <c r="F22" s="422"/>
      <c r="G22" s="400">
        <f>SUM(G11:G20)</f>
        <v>-112822</v>
      </c>
      <c r="H22" s="422"/>
      <c r="I22" s="400">
        <f>SUM(I11:I20)</f>
        <v>-52859.75</v>
      </c>
      <c r="J22" s="393"/>
      <c r="K22" s="400">
        <f>SUM(K11:K20)</f>
        <v>-281343.5</v>
      </c>
      <c r="L22" s="393"/>
      <c r="M22" s="400">
        <f>SUM(M11:M21)</f>
        <v>-210603.91025641022</v>
      </c>
      <c r="N22" s="393"/>
      <c r="O22" s="492">
        <f>SUM(O11:O20)</f>
        <v>-210603.91025641095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9"/>
      <c r="M23" s="445"/>
      <c r="N23" s="189"/>
      <c r="O23" s="445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6"/>
      <c r="B25" s="437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6" t="s">
        <v>405</v>
      </c>
      <c r="B26" s="437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9"/>
      <c r="M27" s="189"/>
      <c r="N27" s="189"/>
      <c r="O27" s="189"/>
    </row>
    <row r="28" spans="1:15" ht="12.75">
      <c r="A28" s="436" t="s">
        <v>406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9"/>
      <c r="M28" s="189"/>
      <c r="N28" s="189"/>
      <c r="O28" s="189"/>
    </row>
    <row r="29" spans="1:15" ht="12.75">
      <c r="A29" s="439" t="s">
        <v>407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9"/>
      <c r="M29" s="189"/>
      <c r="N29" s="189"/>
      <c r="O29" s="189"/>
    </row>
    <row r="30" spans="1:15" ht="9" customHeight="1">
      <c r="A30" s="189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9"/>
      <c r="M30" s="189"/>
      <c r="N30" s="189"/>
      <c r="O30" s="189"/>
    </row>
    <row r="31" spans="1:15" ht="12.75">
      <c r="A31" s="453" t="s">
        <v>408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09" t="s">
        <v>409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3"/>
      <c r="Q33" s="423"/>
      <c r="R33" s="423"/>
      <c r="S33" s="423"/>
    </row>
    <row r="34" spans="1:19" ht="12.75">
      <c r="A34" s="508" t="s">
        <v>410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3"/>
      <c r="Q34" s="423"/>
      <c r="R34" s="423"/>
      <c r="S34" s="423"/>
    </row>
    <row r="35" spans="1:19" ht="12.75">
      <c r="A35" s="508" t="s">
        <v>431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3"/>
      <c r="Q35" s="423"/>
      <c r="R35" s="423"/>
      <c r="S35" s="423"/>
    </row>
    <row r="36" spans="1:19" ht="12.75">
      <c r="A36" s="508" t="s">
        <v>411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3"/>
      <c r="Q36" s="423"/>
      <c r="R36" s="423"/>
      <c r="S36" s="423"/>
    </row>
    <row r="37" spans="1:19" ht="12.75">
      <c r="A37" s="440" t="s">
        <v>371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372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412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413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9"/>
      <c r="M42" s="189"/>
      <c r="N42" s="189"/>
      <c r="O42" s="189"/>
    </row>
    <row r="43" spans="1:15" ht="12.75">
      <c r="A43" s="437" t="s">
        <v>415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9"/>
      <c r="M43" s="189"/>
      <c r="N43" s="189"/>
      <c r="O43" s="189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9"/>
      <c r="M44" s="189"/>
      <c r="N44" s="189"/>
      <c r="O44" s="189"/>
    </row>
    <row r="45" spans="1:15" ht="12.75">
      <c r="A45" s="442" t="s">
        <v>416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9"/>
      <c r="M45" s="189"/>
      <c r="N45" s="189"/>
      <c r="O45" s="189"/>
    </row>
    <row r="46" spans="1:15" ht="12.75">
      <c r="A46" s="437" t="s">
        <v>417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9"/>
      <c r="M46" s="189"/>
      <c r="N46" s="189"/>
      <c r="O46" s="189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9"/>
      <c r="M47" s="189"/>
      <c r="N47" s="189"/>
      <c r="O47" s="189"/>
    </row>
    <row r="48" spans="1:15" ht="12.75">
      <c r="A48" s="442" t="s">
        <v>418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9"/>
      <c r="M48" s="189"/>
      <c r="N48" s="189"/>
      <c r="O48" s="189"/>
    </row>
    <row r="49" spans="1:15" ht="12.75">
      <c r="A49" s="437" t="s">
        <v>419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9"/>
      <c r="M49" s="189"/>
      <c r="N49" s="189"/>
      <c r="O49" s="189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9"/>
      <c r="M50" s="189"/>
      <c r="N50" s="189"/>
      <c r="O50" s="189"/>
    </row>
    <row r="51" spans="1:15" ht="12.75">
      <c r="A51" s="442" t="s">
        <v>420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9"/>
      <c r="M51" s="189"/>
      <c r="N51" s="189"/>
      <c r="O51" s="189"/>
    </row>
    <row r="52" spans="1:15" ht="12.75">
      <c r="A52" s="437" t="s">
        <v>417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9"/>
      <c r="M52" s="189"/>
      <c r="N52" s="189"/>
      <c r="O52" s="189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9"/>
      <c r="M53" s="189"/>
      <c r="N53" s="189"/>
      <c r="O53" s="189"/>
    </row>
    <row r="54" spans="1:15" ht="12.75">
      <c r="A54" s="437" t="s">
        <v>421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9"/>
      <c r="M54" s="189"/>
      <c r="N54" s="189"/>
      <c r="O54" s="189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9"/>
      <c r="M55" s="189"/>
      <c r="N55" s="189"/>
      <c r="O55" s="189"/>
    </row>
    <row r="56" spans="1:15" ht="12.75" customHeight="1">
      <c r="A56" s="442" t="s">
        <v>422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9"/>
      <c r="M56" s="189"/>
      <c r="N56" s="189"/>
      <c r="O56" s="189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9"/>
      <c r="M57" s="189"/>
      <c r="N57" s="189"/>
      <c r="O57" s="189"/>
    </row>
    <row r="58" spans="1:15" ht="12.75">
      <c r="A58" s="437" t="s">
        <v>423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9"/>
      <c r="M58" s="189"/>
      <c r="N58" s="189"/>
      <c r="O58" s="189"/>
    </row>
    <row r="59" spans="1:15" ht="12.75">
      <c r="A59" s="437" t="s">
        <v>424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9"/>
      <c r="M59" s="189"/>
      <c r="N59" s="189"/>
      <c r="O59" s="189"/>
    </row>
    <row r="60" spans="1:15" ht="12.75">
      <c r="A60" s="437" t="s">
        <v>425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9"/>
      <c r="M60" s="189"/>
      <c r="N60" s="189"/>
      <c r="O60" s="189"/>
    </row>
    <row r="61" spans="1:15" ht="12.75">
      <c r="A61" s="437" t="s">
        <v>381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9"/>
      <c r="M61" s="189"/>
      <c r="N61" s="189"/>
      <c r="O61" s="189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9"/>
      <c r="M62" s="189"/>
      <c r="N62" s="189"/>
      <c r="O62" s="189"/>
    </row>
    <row r="63" spans="1:15" ht="12.75">
      <c r="A63" s="437" t="s">
        <v>426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9"/>
      <c r="M63" s="189"/>
      <c r="N63" s="189"/>
      <c r="O63" s="189"/>
    </row>
    <row r="64" spans="1:15" ht="12.75">
      <c r="A64" s="437" t="s">
        <v>427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9"/>
      <c r="M64" s="189"/>
      <c r="N64" s="189"/>
      <c r="O64" s="189"/>
    </row>
    <row r="65" spans="1:15" ht="12.75">
      <c r="A65" s="437" t="s">
        <v>383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9"/>
      <c r="M65" s="189"/>
      <c r="N65" s="189"/>
      <c r="O65" s="189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9"/>
      <c r="M66" s="189"/>
      <c r="N66" s="189"/>
      <c r="O66" s="189"/>
    </row>
    <row r="67" spans="1:15" ht="12.75">
      <c r="A67" s="437" t="s">
        <v>382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9"/>
      <c r="M67" s="189"/>
      <c r="N67" s="189"/>
      <c r="O67" s="189"/>
    </row>
    <row r="68" spans="1:15" ht="12.75">
      <c r="A68" s="437" t="s">
        <v>384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9"/>
      <c r="M68" s="189"/>
      <c r="N68" s="189"/>
      <c r="O68" s="189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9"/>
      <c r="M69" s="189"/>
      <c r="N69" s="189"/>
      <c r="O69" s="189"/>
    </row>
    <row r="70" spans="1:15" ht="12.75">
      <c r="A70" s="437" t="s">
        <v>428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9"/>
      <c r="M70" s="189"/>
      <c r="N70" s="189"/>
      <c r="O70" s="189"/>
    </row>
    <row r="71" spans="1:15" ht="12.75">
      <c r="A71" s="437" t="s">
        <v>429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9"/>
      <c r="M71" s="189"/>
      <c r="N71" s="189"/>
      <c r="O71" s="189"/>
    </row>
    <row r="72" spans="1:15" ht="12.75">
      <c r="A72" s="437" t="s">
        <v>430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9"/>
      <c r="M72" s="189"/>
      <c r="N72" s="189"/>
      <c r="O72" s="189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9"/>
      <c r="M73" s="189"/>
      <c r="N73" s="189"/>
      <c r="O73" s="189"/>
    </row>
    <row r="74" spans="1:15" ht="12.75" customHeight="1">
      <c r="A74" s="508" t="s">
        <v>460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7" t="s">
        <v>373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9"/>
      <c r="M75" s="189"/>
      <c r="N75" s="189"/>
      <c r="O75" s="189"/>
    </row>
    <row r="76" spans="1:15" ht="12.75">
      <c r="A76" s="189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9"/>
      <c r="M76" s="189"/>
      <c r="N76" s="189"/>
      <c r="O76" s="189"/>
    </row>
    <row r="77" spans="1:15" ht="12.75">
      <c r="A77" s="189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9"/>
      <c r="M77" s="189"/>
      <c r="N77" s="189"/>
      <c r="O77" s="189"/>
    </row>
    <row r="78" spans="1:17" ht="12.75">
      <c r="A78" s="189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9"/>
      <c r="O78" s="189"/>
      <c r="P78" s="189"/>
      <c r="Q78" s="189"/>
    </row>
    <row r="79" spans="1:17" ht="12.75">
      <c r="A79" s="189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9"/>
      <c r="O79" s="189"/>
      <c r="P79" s="189"/>
      <c r="Q79" s="189"/>
    </row>
    <row r="80" spans="1:17" ht="12.75">
      <c r="A80" s="189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9"/>
      <c r="O80" s="189"/>
      <c r="P80" s="189"/>
      <c r="Q80" s="189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9"/>
      <c r="O81" s="189"/>
      <c r="P81" s="189"/>
      <c r="Q81" s="189"/>
    </row>
    <row r="82" spans="1:17" ht="12.75">
      <c r="A82" s="189"/>
      <c r="B82" s="189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9"/>
      <c r="O82" s="189"/>
      <c r="P82" s="189"/>
      <c r="Q82" s="189"/>
    </row>
    <row r="83" spans="1:17" ht="12.75">
      <c r="A83" s="189"/>
      <c r="B83" s="18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9"/>
      <c r="O83" s="189"/>
      <c r="P83" s="189"/>
      <c r="Q83" s="189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9"/>
      <c r="O84" s="189"/>
      <c r="P84" s="189"/>
      <c r="Q84" s="189"/>
    </row>
    <row r="85" spans="1:17" ht="12.75">
      <c r="A85" s="189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9"/>
      <c r="O85" s="189"/>
      <c r="P85" s="189"/>
      <c r="Q85" s="189"/>
    </row>
    <row r="86" spans="1:17" ht="12.75">
      <c r="A86" s="189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9"/>
      <c r="O86" s="189"/>
      <c r="P86" s="189"/>
      <c r="Q86" s="189"/>
    </row>
    <row r="87" spans="1:17" ht="12.75">
      <c r="A87" s="189"/>
      <c r="B87" s="189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9"/>
      <c r="O87" s="189"/>
      <c r="P87" s="189"/>
      <c r="Q87" s="189"/>
    </row>
    <row r="88" spans="1:17" ht="12.75">
      <c r="A88" s="189"/>
      <c r="B88" s="189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9"/>
      <c r="O88" s="189"/>
      <c r="P88" s="189"/>
      <c r="Q88" s="189"/>
    </row>
    <row r="89" spans="1:17" ht="12.75">
      <c r="A89" s="189"/>
      <c r="B89" s="189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9"/>
      <c r="O89" s="189"/>
      <c r="P89" s="189"/>
      <c r="Q89" s="189"/>
    </row>
    <row r="90" spans="1:17" ht="12.75">
      <c r="A90" s="189"/>
      <c r="B90" s="189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9"/>
      <c r="O90" s="189"/>
      <c r="P90" s="189"/>
      <c r="Q90" s="189"/>
    </row>
    <row r="91" spans="1:17" ht="12.75">
      <c r="A91" s="189"/>
      <c r="B91" s="189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9"/>
      <c r="O91" s="189"/>
      <c r="P91" s="189"/>
      <c r="Q91" s="189"/>
    </row>
    <row r="92" spans="1:17" ht="12.75">
      <c r="A92" s="189"/>
      <c r="B92" s="189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9"/>
      <c r="B93" s="189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50315" bottom="0.236220472440945" header="0.261811024" footer="0"/>
  <pageSetup fitToHeight="1" fitToWidth="1" horizontalDpi="600" verticalDpi="600" orientation="portrait" scale="70" r:id="rId3"/>
  <headerFooter alignWithMargins="0">
    <oddHeader>&amp;R&amp;9Halton Hills Hydro Inc.
EB-2008-0381
Deferred PILs Combined Proceeding
Appendix B</oddHeader>
    <oddFooter>&amp;L&amp;8March 22, 2010&amp;R&amp;"Arial,Bold"&amp;9&amp;A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2010-03-22T19:19:30Z</cp:lastPrinted>
  <dcterms:created xsi:type="dcterms:W3CDTF">2001-11-07T16:15:53Z</dcterms:created>
  <dcterms:modified xsi:type="dcterms:W3CDTF">2010-03-22T19:19:33Z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