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<sst xmlns="http://schemas.openxmlformats.org/spreadsheetml/2006/main" count="876" uniqueCount="503">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</sst>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0" fillId="11" borderId="8" xfId="0" applyNumberFormat="1" applyFill="1" applyBorder="1" applyAlignment="1" applyProtection="1">
      <alignment horizontal="right" vertical="top"/>
      <protection locked="0"/>
    </xf>
    <xf numFmtId="3" fontId="8" fillId="9" borderId="8" xfId="0" applyNumberFormat="1" applyFont="1" applyFill="1" applyBorder="1" applyAlignment="1">
      <alignment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2" xfId="0" applyFill="1" applyBorder="1" applyAlignment="1">
      <alignment vertical="top"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477</v>
      </c>
      <c r="C3" s="8"/>
      <c r="D3" s="458" t="s">
        <v>451</v>
      </c>
      <c r="E3" s="8"/>
      <c r="F3" s="8"/>
      <c r="G3" s="8"/>
      <c r="H3" s="8"/>
    </row>
    <row r="4" spans="1:8" ht="12.75">
      <c r="A4" s="2" t="s">
        <v>484</v>
      </c>
      <c r="C4" s="8"/>
      <c r="D4" s="457" t="s">
        <v>446</v>
      </c>
      <c r="E4" s="431"/>
      <c r="H4" s="8"/>
    </row>
    <row r="5" spans="1:8" ht="12.75">
      <c r="A5" s="52"/>
      <c r="C5" s="8"/>
      <c r="D5" s="456" t="s">
        <v>447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1" t="s">
        <v>316</v>
      </c>
      <c r="B19" s="8" t="s">
        <v>313</v>
      </c>
      <c r="C19" s="8" t="s">
        <v>64</v>
      </c>
      <c r="D19" s="391"/>
    </row>
    <row r="20" spans="1:4" ht="13.5" thickBot="1">
      <c r="A20" s="492"/>
      <c r="B20" s="8" t="s">
        <v>314</v>
      </c>
      <c r="C20" s="8" t="s">
        <v>64</v>
      </c>
      <c r="D20" s="259"/>
    </row>
    <row r="21" spans="1:4" ht="12.75">
      <c r="A21" s="491" t="s">
        <v>312</v>
      </c>
      <c r="B21" s="8" t="s">
        <v>313</v>
      </c>
      <c r="C21" s="8"/>
      <c r="D21" s="426">
        <v>1</v>
      </c>
    </row>
    <row r="22" spans="1:4" ht="12.75">
      <c r="A22" s="491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485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715405</v>
      </c>
      <c r="E47" s="390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9">
        <v>715191</v>
      </c>
      <c r="E48" s="390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0">
        <v>715191</v>
      </c>
      <c r="E49" s="390"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443</v>
      </c>
      <c r="D51" s="431"/>
      <c r="E51" s="390">
        <f t="shared" si="0"/>
        <v>0</v>
      </c>
      <c r="H51" s="40"/>
      <c r="J51" s="5"/>
      <c r="K51" s="5"/>
    </row>
    <row r="52" spans="1:11" ht="12.75">
      <c r="A52" t="s">
        <v>467</v>
      </c>
      <c r="D52" s="431"/>
      <c r="E52" s="390">
        <f t="shared" si="0"/>
        <v>0</v>
      </c>
      <c r="H52" s="40"/>
      <c r="J52" s="5"/>
      <c r="K52" s="5"/>
    </row>
    <row r="53" spans="4:11" ht="12.75">
      <c r="D53" s="431"/>
      <c r="E53" s="390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workbookViewId="0" topLeftCell="A121">
      <selection activeCell="B3" sqref="B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469</v>
      </c>
      <c r="H1" s="211"/>
    </row>
    <row r="2" spans="1:8" ht="12.75">
      <c r="A2" s="212" t="s">
        <v>468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470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8"/>
    </row>
    <row r="7" spans="1:8" ht="12.75">
      <c r="A7" s="212" t="str">
        <f>REGINFO!A4</f>
        <v>Reporting period:  2002</v>
      </c>
      <c r="B7" s="116"/>
      <c r="D7" s="138"/>
      <c r="E7" s="116"/>
      <c r="G7" s="116"/>
      <c r="H7" s="468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343</v>
      </c>
      <c r="B16" s="126">
        <v>1</v>
      </c>
      <c r="C16" s="261">
        <f>REGINFO!E54</f>
        <v>1430596</v>
      </c>
      <c r="D16" s="17"/>
      <c r="E16" s="269">
        <f>G16-C16</f>
        <v>1104835</v>
      </c>
      <c r="F16" s="3"/>
      <c r="G16" s="269">
        <f>TAXREC!E50</f>
        <v>2535431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1460685</v>
      </c>
      <c r="D20" s="18"/>
      <c r="E20" s="269">
        <f>G20-C20</f>
        <v>181508</v>
      </c>
      <c r="F20" s="6"/>
      <c r="G20" s="269">
        <f>TAXREC!E61</f>
        <v>1642193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36264</v>
      </c>
      <c r="F21" s="6"/>
      <c r="G21" s="269">
        <f>TAXREC!E62</f>
        <v>36264</v>
      </c>
      <c r="H21" s="152"/>
    </row>
    <row r="22" spans="1:8" ht="12.75">
      <c r="A22" s="159" t="s">
        <v>264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263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265</v>
      </c>
      <c r="B24" s="128">
        <v>5</v>
      </c>
      <c r="C24" s="263">
        <v>151437</v>
      </c>
      <c r="D24" s="18"/>
      <c r="E24" s="269">
        <f>G24-C24</f>
        <v>-151437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0</v>
      </c>
      <c r="F26" s="6"/>
      <c r="G26" s="269">
        <f>TAXREC!E92</f>
        <v>0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26588</v>
      </c>
      <c r="F28" s="6"/>
      <c r="G28" s="269">
        <f>TAXREC!E67</f>
        <v>26588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5">
      <c r="A30" s="487" t="s">
        <v>399</v>
      </c>
      <c r="B30" s="128"/>
      <c r="C30" s="261"/>
      <c r="D30" s="18"/>
      <c r="E30" s="269">
        <f>G30-C30</f>
        <v>4649</v>
      </c>
      <c r="F30" s="6"/>
      <c r="G30" s="269">
        <f>TAXREC!E66</f>
        <v>4649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344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1072272</v>
      </c>
      <c r="D33" s="133"/>
      <c r="E33" s="269">
        <f aca="true" t="shared" si="0" ref="E33:E42">G33-C33</f>
        <v>627486</v>
      </c>
      <c r="F33" s="6"/>
      <c r="G33" s="269">
        <f>TAXREC!E97+TAXREC!E98</f>
        <v>1699758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18743</v>
      </c>
      <c r="F34" s="6"/>
      <c r="G34" s="269">
        <f>TAXREC!E99</f>
        <v>18743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266</v>
      </c>
      <c r="B36" s="128">
        <v>10</v>
      </c>
      <c r="C36" s="263">
        <v>55617</v>
      </c>
      <c r="D36" s="133"/>
      <c r="E36" s="269">
        <f t="shared" si="0"/>
        <v>-55617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REGINFO!D66</f>
        <v>605476.9994162288</v>
      </c>
      <c r="D37" s="133"/>
      <c r="E37" s="269">
        <f t="shared" si="0"/>
        <v>202670.00058377115</v>
      </c>
      <c r="F37" s="6"/>
      <c r="G37" s="269">
        <f>TAXREC!E51</f>
        <v>808147</v>
      </c>
      <c r="H37" s="152"/>
    </row>
    <row r="38" spans="1:8" ht="12.75">
      <c r="A38" s="156" t="s">
        <v>262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261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171683</v>
      </c>
      <c r="F46" s="6"/>
      <c r="G46" s="252">
        <f>TAXREC!E110</f>
        <v>171683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5">
      <c r="A48" s="487" t="s">
        <v>399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330</v>
      </c>
      <c r="B50" s="126"/>
      <c r="C50" s="265">
        <f>C16+SUM(C20:C30)-SUM(C33:C48)</f>
        <v>1309352.0005837712</v>
      </c>
      <c r="D50" s="103"/>
      <c r="E50" s="265">
        <f>E16+SUM(E20:E30)-SUM(E33:E48)</f>
        <v>237441.99941622885</v>
      </c>
      <c r="F50" s="434" t="s">
        <v>371</v>
      </c>
      <c r="G50" s="265">
        <f>G16+SUM(G20:G30)-SUM(G33:G48)</f>
        <v>1546794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338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342</v>
      </c>
      <c r="B53" s="128">
        <v>13</v>
      </c>
      <c r="C53" s="264">
        <f>IF($C$50&gt;'Tax Rates'!$E$11,'Tax Rates'!$F$16,IF($C$50&gt;'Tax Rates'!$C$11,'Tax Rates'!$E$16,'Tax Rates'!$C$16))</f>
        <v>0.3862</v>
      </c>
      <c r="D53" s="103"/>
      <c r="E53" s="270">
        <f>+G53-C53</f>
        <v>-0.002438066817173956</v>
      </c>
      <c r="F53" s="115"/>
      <c r="G53" s="476">
        <f>TAXREC!E151</f>
        <v>0.38376193318282603</v>
      </c>
      <c r="H53" s="152"/>
      <c r="I53" s="473" t="s">
        <v>480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505671.7426254524</v>
      </c>
      <c r="D55" s="103"/>
      <c r="E55" s="269">
        <f>G55-C55</f>
        <v>-239473.7426254524</v>
      </c>
      <c r="F55" s="434" t="s">
        <v>372</v>
      </c>
      <c r="G55" s="266">
        <f>TAXREC!E144</f>
        <v>266198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4" t="s">
        <v>372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505671.7426254524</v>
      </c>
      <c r="D60" s="134"/>
      <c r="E60" s="271">
        <f>+E55-E58</f>
        <v>-239473.7426254524</v>
      </c>
      <c r="F60" s="434" t="s">
        <v>372</v>
      </c>
      <c r="G60" s="271">
        <f>+G55-G58</f>
        <v>266198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25052968</v>
      </c>
      <c r="D66" s="103"/>
      <c r="E66" s="269">
        <f>G66-C66</f>
        <v>4558604</v>
      </c>
      <c r="F66" s="6"/>
      <c r="G66" s="478">
        <v>29611572</v>
      </c>
      <c r="H66" s="152"/>
      <c r="I66" s="479" t="s">
        <v>481</v>
      </c>
    </row>
    <row r="67" spans="1:10" ht="12.75">
      <c r="A67" s="153" t="s">
        <v>364</v>
      </c>
      <c r="B67" s="126">
        <v>16</v>
      </c>
      <c r="C67" s="262">
        <f>IF(C66&gt;0,'Tax Rates'!C21,0)</f>
        <v>5000000</v>
      </c>
      <c r="D67" s="103"/>
      <c r="E67" s="269">
        <f>G67-C67</f>
        <v>-5000000</v>
      </c>
      <c r="F67" s="6"/>
      <c r="G67" s="478">
        <v>0</v>
      </c>
      <c r="H67" s="152"/>
      <c r="I67" s="479" t="s">
        <v>481</v>
      </c>
      <c r="J67" s="480" t="s">
        <v>482</v>
      </c>
    </row>
    <row r="68" spans="1:8" ht="12.75">
      <c r="A68" s="153" t="s">
        <v>42</v>
      </c>
      <c r="B68" s="126"/>
      <c r="C68" s="266">
        <f>IF((C66-C67)&gt;0,C66-C67,0)</f>
        <v>20052968</v>
      </c>
      <c r="D68" s="103"/>
      <c r="E68" s="269">
        <f>SUM(E66:E67)</f>
        <v>-441396</v>
      </c>
      <c r="F68" s="115"/>
      <c r="G68" s="266">
        <f>G66-G67</f>
        <v>29611572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365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6">
        <f>IF(C68&gt;0,C68*C70,0)*REGINFO!$B$6/REGINFO!$B$7</f>
        <v>60158.904</v>
      </c>
      <c r="D72" s="102"/>
      <c r="E72" s="269">
        <f>+G72-C72</f>
        <v>28675.811999999998</v>
      </c>
      <c r="F72" s="481" t="s">
        <v>483</v>
      </c>
      <c r="G72" s="266">
        <f>IF(G68&gt;0,G68*G70,0)*REGINFO!$B$6/REGINFO!$B$7</f>
        <v>88834.716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25052968</v>
      </c>
      <c r="D75" s="103"/>
      <c r="E75" s="269">
        <f>+G75-C75</f>
        <v>3973803</v>
      </c>
      <c r="F75" s="6"/>
      <c r="G75" s="478">
        <v>29026771</v>
      </c>
      <c r="H75" s="152"/>
      <c r="I75" s="479" t="s">
        <v>481</v>
      </c>
    </row>
    <row r="76" spans="1:9" ht="12.75">
      <c r="A76" s="153" t="s">
        <v>364</v>
      </c>
      <c r="B76" s="126">
        <v>19</v>
      </c>
      <c r="C76" s="262">
        <f>IF(C75&gt;0,'Tax Rates'!C22,0)</f>
        <v>10000000</v>
      </c>
      <c r="D76" s="18"/>
      <c r="E76" s="269">
        <f>+G76-C76</f>
        <v>0</v>
      </c>
      <c r="F76" s="6"/>
      <c r="G76" s="478">
        <f>'Tax Rates'!C58</f>
        <v>10000000</v>
      </c>
      <c r="H76" s="152"/>
      <c r="I76" s="479" t="s">
        <v>481</v>
      </c>
    </row>
    <row r="77" spans="1:8" ht="12.75">
      <c r="A77" s="153" t="s">
        <v>42</v>
      </c>
      <c r="B77" s="126"/>
      <c r="C77" s="266">
        <f>IF((C75-C76)&gt;0,C75-C76,0)</f>
        <v>15052968</v>
      </c>
      <c r="D77" s="19"/>
      <c r="E77" s="269">
        <f>SUM(E75:E76)</f>
        <v>3973803</v>
      </c>
      <c r="F77" s="115"/>
      <c r="G77" s="266">
        <f>G75-G76</f>
        <v>19026771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365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6">
        <f>IF(C77&gt;0,C77*C79,0)*REGINFO!$B$6/REGINFO!$B$7</f>
        <v>33869.178</v>
      </c>
      <c r="D81" s="103"/>
      <c r="E81" s="269">
        <f>+G81-C81</f>
        <v>8941.056749999996</v>
      </c>
      <c r="F81" s="6"/>
      <c r="G81" s="266">
        <f>G77*G79*B9/B10</f>
        <v>42810.234749999996</v>
      </c>
      <c r="H81" s="152"/>
    </row>
    <row r="82" spans="1:8" ht="12.75">
      <c r="A82" s="153" t="s">
        <v>319</v>
      </c>
      <c r="B82" s="126">
        <v>21</v>
      </c>
      <c r="C82" s="302">
        <f>IF(C77&gt;0,IF(C60&gt;0,C50*'Tax Rates'!C20,0),0)</f>
        <v>14664.742406538237</v>
      </c>
      <c r="D82" s="103"/>
      <c r="E82" s="269">
        <f>+G82-C82</f>
        <v>-14664.742406538237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19204.435593461763</v>
      </c>
      <c r="D84" s="16"/>
      <c r="E84" s="269">
        <f>E81-E82</f>
        <v>23605.799156538233</v>
      </c>
      <c r="F84" s="104"/>
      <c r="G84" s="266">
        <f>G81-G82</f>
        <v>42810.234749999996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373</v>
      </c>
      <c r="B90" s="128">
        <v>22</v>
      </c>
      <c r="C90" s="266">
        <f>C60/(1-C88)</f>
        <v>809074.7882007238</v>
      </c>
      <c r="D90" s="20"/>
      <c r="E90" s="140"/>
      <c r="F90" s="433" t="s">
        <v>494</v>
      </c>
      <c r="G90" s="272">
        <f>TAXREC!E156</f>
        <v>266198</v>
      </c>
      <c r="H90" s="152"/>
    </row>
    <row r="91" spans="1:8" ht="12.75">
      <c r="A91" s="159" t="s">
        <v>374</v>
      </c>
      <c r="B91" s="128">
        <v>23</v>
      </c>
      <c r="C91" s="266">
        <f>C84/(1-C88)</f>
        <v>30727.09694953882</v>
      </c>
      <c r="D91" s="20"/>
      <c r="E91" s="140"/>
      <c r="F91" s="433" t="s">
        <v>494</v>
      </c>
      <c r="G91" s="272">
        <f>TAXREC!E158</f>
        <v>41444</v>
      </c>
      <c r="H91" s="152"/>
    </row>
    <row r="92" spans="1:8" ht="12.75">
      <c r="A92" s="159" t="s">
        <v>352</v>
      </c>
      <c r="B92" s="128">
        <v>24</v>
      </c>
      <c r="C92" s="266">
        <f>C72</f>
        <v>60158.904</v>
      </c>
      <c r="D92" s="20"/>
      <c r="E92" s="140"/>
      <c r="F92" s="433" t="s">
        <v>494</v>
      </c>
      <c r="G92" s="272">
        <f>TAXREC!E157</f>
        <v>83789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495</v>
      </c>
      <c r="B95" s="126">
        <v>25</v>
      </c>
      <c r="C95" s="271">
        <f>SUM(C90:C93)</f>
        <v>899960.7891502626</v>
      </c>
      <c r="D95" s="6"/>
      <c r="E95" s="140"/>
      <c r="F95" s="433" t="s">
        <v>494</v>
      </c>
      <c r="G95" s="416">
        <f>SUM(G90:G94)</f>
        <v>391431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350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36264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367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368</v>
      </c>
      <c r="B107" s="128">
        <v>6</v>
      </c>
      <c r="C107" s="113"/>
      <c r="D107" s="3"/>
      <c r="E107" s="252">
        <f>E28</f>
        <v>26588</v>
      </c>
      <c r="F107" s="37"/>
      <c r="G107" s="202"/>
      <c r="H107" s="165"/>
    </row>
    <row r="108" spans="1:8" ht="12.75">
      <c r="A108" s="157" t="s">
        <v>366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18743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322</v>
      </c>
      <c r="B112" s="128">
        <v>11</v>
      </c>
      <c r="C112" s="113"/>
      <c r="D112" s="3"/>
      <c r="E112" s="475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369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370</v>
      </c>
      <c r="B118" s="128">
        <v>12</v>
      </c>
      <c r="C118" s="113"/>
      <c r="D118" s="3"/>
      <c r="E118" s="252">
        <f>E46</f>
        <v>171683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-223394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497</v>
      </c>
      <c r="B122" s="128"/>
      <c r="C122" s="113"/>
      <c r="D122" s="3" t="s">
        <v>231</v>
      </c>
      <c r="E122" s="472">
        <f>IF((E120+G50)&gt;'Tax Rates'!$E$47,'Tax Rates'!$F$52-1.12%,IF((E120+G50)&gt;'Tax Rates'!$D$47,'Tax Rates'!$E$52-1.12%,IF((E120+G50)&gt;'Tax Rates'!$C$47,'Tax Rates'!$D$52-1.12%,'Tax Rates'!$C$52-1.12%)))</f>
        <v>0.37256193318282604</v>
      </c>
      <c r="F122" s="473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6">
        <f>E120*E122</f>
        <v>-83228.10050144423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-83228.10050144423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472">
        <f>IF((E120+C50)&gt;'Tax Rates'!$E$47,'Tax Rates'!$F$52-1.12%,IF((E120+C50)&gt;'Tax Rates'!$D$47,'Tax Rates'!$E$52-1.12%,IF((E120+C50)&gt;'Tax Rates'!$C$47,'Tax Rates'!$D$52-1.12%,'Tax Rates'!$C$52-1.12%)))</f>
        <v>0.37256193318282604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356</v>
      </c>
      <c r="B132" s="131"/>
      <c r="C132" s="113"/>
      <c r="D132" s="3"/>
      <c r="E132" s="265">
        <f>E128/(1-E130)</f>
        <v>-132647.51519403054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359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4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472">
        <f>IF((E120+E136)&gt;'Tax Rates'!E47,'Tax Rates'!F52,IF((E120+E136)&gt;'Tax Rates'!D47,'Tax Rates'!E52,IF((E120+E136)&gt;'Tax Rates'!C47,'Tax Rates'!D52,'Tax Rates'!C52)))</f>
        <v>0.38376193318282603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502479.45496082876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502479.45496082876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4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-3192.28766462364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6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4">
        <f>C66</f>
        <v>25052968</v>
      </c>
      <c r="F151" s="37"/>
      <c r="G151" s="202"/>
      <c r="H151" s="165"/>
    </row>
    <row r="152" spans="1:8" ht="12.75">
      <c r="A152" s="172" t="s">
        <v>362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4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363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7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7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25052968</v>
      </c>
      <c r="F162" s="37"/>
      <c r="G162" s="202"/>
      <c r="H162" s="165"/>
    </row>
    <row r="163" spans="1:8" ht="12.75">
      <c r="A163" s="172" t="s">
        <v>361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4">
        <f>E162-E163</f>
        <v>15052968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4">
        <f>IF(E164&gt;0,E164*E166*B9/B10,0)</f>
        <v>33869.178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9">
        <f>IF(E164&gt;0,IF(E144&gt;0,E136*'Tax Rates'!C56,0),0)</f>
        <v>14664.742406538237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4">
        <f>E168-E169</f>
        <v>19204.435593461763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351</v>
      </c>
      <c r="B172" s="131"/>
      <c r="C172" s="113"/>
      <c r="D172" s="119" t="s">
        <v>188</v>
      </c>
      <c r="E172" s="307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7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348</v>
      </c>
      <c r="B175" s="131"/>
      <c r="C175" s="113"/>
      <c r="D175" s="120"/>
      <c r="E175" s="472">
        <f>IF((E120+G50)&gt;'Tax Rates'!E47,'Tax Rates'!F52-1.12%,IF((E120+G50)&gt;'Tax Rates'!D47,'Tax Rates'!E52-1.12%,IF((E120+G50)&gt;'Tax Rates'!C47,'Tax Rates'!D52,'Tax Rates'!C52-1.12%)))</f>
        <v>0.37256193318282604</v>
      </c>
      <c r="F175" s="473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4">
        <f>E148/(1-E175)</f>
        <v>-5087.813177828473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357</v>
      </c>
      <c r="B181" s="131"/>
      <c r="C181" s="113"/>
      <c r="D181" s="120" t="s">
        <v>189</v>
      </c>
      <c r="E181" s="304">
        <f>SUM(E177:E179)</f>
        <v>-5087.813177828473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349</v>
      </c>
      <c r="B183" s="131"/>
      <c r="C183" s="113"/>
      <c r="D183" s="120" t="s">
        <v>187</v>
      </c>
      <c r="E183" s="304">
        <f>E132</f>
        <v>-132647.51519403054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358</v>
      </c>
      <c r="B185" s="131"/>
      <c r="C185" s="113"/>
      <c r="D185" s="120" t="s">
        <v>189</v>
      </c>
      <c r="E185" s="304">
        <f>E181+E183</f>
        <v>-137735.328371859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10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345</v>
      </c>
      <c r="B196" s="128"/>
      <c r="C196" s="113"/>
      <c r="D196" s="121"/>
      <c r="E196" s="310">
        <f>E193-E194</f>
        <v>302693.0905837711</v>
      </c>
      <c r="F196" s="3"/>
      <c r="G196" s="124"/>
      <c r="H196" s="165"/>
    </row>
    <row r="197" spans="1:8" ht="12.75">
      <c r="A197" s="156" t="s">
        <v>346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0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0"/>
      <c r="H200" s="165"/>
    </row>
    <row r="201" spans="1:8" ht="12.75">
      <c r="A201" s="156" t="s">
        <v>252</v>
      </c>
      <c r="B201" s="128"/>
      <c r="C201" s="113"/>
      <c r="D201" s="121"/>
      <c r="E201" s="310">
        <f>G37+G42</f>
        <v>808147</v>
      </c>
      <c r="F201" s="3"/>
      <c r="G201" s="490"/>
      <c r="H201" s="165"/>
    </row>
    <row r="202" spans="1:8" ht="12.75">
      <c r="A202" s="156" t="s">
        <v>347</v>
      </c>
      <c r="B202" s="128"/>
      <c r="C202" s="113"/>
      <c r="D202" s="121"/>
      <c r="E202" s="310">
        <f>REGINFO!D62</f>
        <v>908170.09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321</v>
      </c>
      <c r="B206" s="128"/>
      <c r="C206" s="113"/>
      <c r="D206" s="121"/>
      <c r="E206" s="474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302693.0905837711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workbookViewId="0" topLeftCell="A121">
      <selection activeCell="B3" sqref="B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328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326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327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7">
        <v>39024565</v>
      </c>
      <c r="D31" s="288"/>
      <c r="E31" s="286">
        <f>C31-D31</f>
        <v>39024565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1197549</v>
      </c>
      <c r="D32" s="288"/>
      <c r="E32" s="286">
        <f>C32-D32</f>
        <v>1197549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/>
      <c r="D33" s="288"/>
      <c r="E33" s="286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/>
      <c r="D34" s="288"/>
      <c r="E34" s="286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31847778</v>
      </c>
      <c r="D39" s="288"/>
      <c r="E39" s="286">
        <f>C39-D39</f>
        <v>31847778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f>3042942+1387058+1001342+479292+288438+230203-2508163</f>
        <v>3921112</v>
      </c>
      <c r="D40" s="288"/>
      <c r="E40" s="286">
        <f aca="true" t="shared" si="0" ref="E40:E48">C40-D40</f>
        <v>3921112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7"/>
      <c r="D41" s="288"/>
      <c r="E41" s="286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7"/>
      <c r="D42" s="288"/>
      <c r="E42" s="286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7">
        <f>1628989+13204</f>
        <v>1642193</v>
      </c>
      <c r="D43" s="288"/>
      <c r="E43" s="286">
        <f t="shared" si="0"/>
        <v>1642193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7">
        <v>149400</v>
      </c>
      <c r="D44" s="288"/>
      <c r="E44" s="286">
        <f t="shared" si="0"/>
        <v>149400</v>
      </c>
      <c r="F44" s="11"/>
      <c r="G44" s="11"/>
      <c r="H44" s="6"/>
      <c r="I44" s="6"/>
    </row>
    <row r="45" spans="1:11" ht="12.75">
      <c r="A45" s="4" t="s">
        <v>501</v>
      </c>
      <c r="B45" s="23" t="s">
        <v>188</v>
      </c>
      <c r="C45" s="287">
        <f>1768393-1642193</f>
        <v>126200</v>
      </c>
      <c r="D45" s="288"/>
      <c r="E45" s="286">
        <f t="shared" si="0"/>
        <v>126200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7"/>
      <c r="D46" s="288"/>
      <c r="E46" s="286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2535431</v>
      </c>
      <c r="D50" s="283">
        <f>SUM(D31:D36)-SUM(D39:D49)</f>
        <v>0</v>
      </c>
      <c r="E50" s="283">
        <f>SUM(E31:E35)-SUM(E39:E48)</f>
        <v>2535431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v>808147</v>
      </c>
      <c r="D51" s="287"/>
      <c r="E51" s="284">
        <f>+C51-D51</f>
        <v>808147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7">
        <v>305000</v>
      </c>
      <c r="D52" s="287"/>
      <c r="E52" s="285">
        <f>+C52-D52</f>
        <v>305000</v>
      </c>
      <c r="F52" s="8"/>
    </row>
    <row r="53" spans="1:6" ht="12.75">
      <c r="A53" s="2" t="s">
        <v>131</v>
      </c>
      <c r="B53" s="8" t="s">
        <v>189</v>
      </c>
      <c r="C53" s="283">
        <f>C50-C51-C52</f>
        <v>1422284</v>
      </c>
      <c r="D53" s="283">
        <f>D50-D51-D52</f>
        <v>0</v>
      </c>
      <c r="E53" s="283">
        <f>E50-E51-E52</f>
        <v>1422284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9">
        <f>C52</f>
        <v>305000</v>
      </c>
      <c r="D59" s="289">
        <f>D52</f>
        <v>0</v>
      </c>
      <c r="E59" s="274">
        <f>+C59-D59</f>
        <v>305000</v>
      </c>
      <c r="F59" s="8"/>
    </row>
    <row r="60" spans="1:6" ht="12.75">
      <c r="A60" s="4" t="s">
        <v>329</v>
      </c>
      <c r="B60" s="8" t="s">
        <v>187</v>
      </c>
      <c r="C60" s="319">
        <v>50519</v>
      </c>
      <c r="D60" s="319"/>
      <c r="E60" s="274">
        <f>+C60-D60</f>
        <v>50519</v>
      </c>
      <c r="F60" s="8"/>
    </row>
    <row r="61" spans="1:7" ht="12.75">
      <c r="A61" t="s">
        <v>4</v>
      </c>
      <c r="B61" s="8" t="s">
        <v>187</v>
      </c>
      <c r="C61" s="482">
        <f>C43</f>
        <v>1642193</v>
      </c>
      <c r="D61" s="289">
        <f>D43</f>
        <v>0</v>
      </c>
      <c r="E61" s="274">
        <f>+C61-D61</f>
        <v>1642193</v>
      </c>
      <c r="F61" s="8"/>
      <c r="G61" s="418"/>
    </row>
    <row r="62" spans="1:6" ht="12.75">
      <c r="A62" t="s">
        <v>6</v>
      </c>
      <c r="B62" s="8" t="s">
        <v>187</v>
      </c>
      <c r="C62" s="319">
        <v>36264</v>
      </c>
      <c r="D62" s="289">
        <v>0</v>
      </c>
      <c r="E62" s="274">
        <f>+C62-D62</f>
        <v>36264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4">
        <f>+C64-D64</f>
        <v>0</v>
      </c>
      <c r="F64" s="8"/>
    </row>
    <row r="65" spans="1:6" ht="12.75">
      <c r="A65" t="s">
        <v>448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0" t="s">
        <v>399</v>
      </c>
      <c r="B66" s="8"/>
      <c r="C66" s="449">
        <f>'TAXREC 3 No True-up'!C47</f>
        <v>4649</v>
      </c>
      <c r="D66" s="449">
        <f>'TAXREC 3 No True-up'!D47</f>
        <v>0</v>
      </c>
      <c r="E66" s="274">
        <f>+C66-D66</f>
        <v>4649</v>
      </c>
      <c r="F66" s="8"/>
    </row>
    <row r="67" spans="1:6" ht="12.75">
      <c r="A67" t="s">
        <v>160</v>
      </c>
      <c r="B67" s="8" t="s">
        <v>187</v>
      </c>
      <c r="C67" s="252">
        <f>'TAXREC 2'!C77</f>
        <v>26588</v>
      </c>
      <c r="D67" s="252">
        <f>'TAXREC 2'!D77</f>
        <v>0</v>
      </c>
      <c r="E67" s="274">
        <f>+C67-D67</f>
        <v>26588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2065213</v>
      </c>
      <c r="D70" s="274">
        <f>SUM(D59:D68)</f>
        <v>0</v>
      </c>
      <c r="E70" s="274">
        <f>SUM(E59:E68)</f>
        <v>2065213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/>
      <c r="D74" s="296"/>
      <c r="E74" s="274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 t="s">
        <v>488</v>
      </c>
      <c r="B76" s="8" t="s">
        <v>187</v>
      </c>
      <c r="C76" s="483"/>
      <c r="D76" s="296"/>
      <c r="E76" s="484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2065213</v>
      </c>
      <c r="D82" s="252">
        <f>D70+D80</f>
        <v>0</v>
      </c>
      <c r="E82" s="252">
        <f>E70+E80</f>
        <v>2065213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 </v>
      </c>
      <c r="B86" s="275"/>
      <c r="C86" s="292">
        <f t="shared" si="3"/>
        <v>0</v>
      </c>
      <c r="D86" s="292">
        <f t="shared" si="3"/>
        <v>0</v>
      </c>
      <c r="E86" s="292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0</v>
      </c>
      <c r="D92" s="281">
        <f>SUM(D85:D91)</f>
        <v>0</v>
      </c>
      <c r="E92" s="281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5" t="s">
        <v>436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>
        <v>1616937</v>
      </c>
      <c r="D97" s="296"/>
      <c r="E97" s="274">
        <f>+C97-D97</f>
        <v>1616937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>
        <v>82821</v>
      </c>
      <c r="D98" s="296"/>
      <c r="E98" s="274">
        <f>+C98-D98</f>
        <v>82821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>
        <v>18743</v>
      </c>
      <c r="D99" s="296"/>
      <c r="E99" s="274">
        <f>+C99-D99</f>
        <v>18743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0" t="s">
        <v>399</v>
      </c>
      <c r="B108" s="8"/>
      <c r="C108" s="255">
        <f>'TAXREC 3 No True-up'!C73</f>
        <v>0</v>
      </c>
      <c r="D108" s="255">
        <f>'TAXREC 3 No True-up'!D73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171683</v>
      </c>
      <c r="D110" s="252">
        <f>'TAXREC 2'!D119</f>
        <v>0</v>
      </c>
      <c r="E110" s="252">
        <f>'TAXREC 2'!E119</f>
        <v>171683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1890184</v>
      </c>
      <c r="D113" s="252">
        <f>SUM(D97:D111)</f>
        <v>0</v>
      </c>
      <c r="E113" s="252">
        <f>SUM(E97:E111)</f>
        <v>1890184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1890184</v>
      </c>
      <c r="D122" s="252">
        <f>D113+D120</f>
        <v>0</v>
      </c>
      <c r="E122" s="252">
        <f>+E113+E120</f>
        <v>1890184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1597313</v>
      </c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1597313</v>
      </c>
      <c r="D134" s="252">
        <f>D53+D82-D122</f>
        <v>0</v>
      </c>
      <c r="E134" s="252">
        <f>E53+E82-E122</f>
        <v>1597313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9">
        <f>I133-I134</f>
        <v>50519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6">
        <v>903659</v>
      </c>
      <c r="D136" s="296"/>
      <c r="E136" s="266">
        <f>C136-D136</f>
        <v>903659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2"/>
      <c r="D137" s="312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2"/>
      <c r="D138" s="312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693654</v>
      </c>
      <c r="D139" s="253">
        <f>D134-D136-D137-D138</f>
        <v>0</v>
      </c>
      <c r="E139" s="253">
        <f>E134-E136-E137-E138</f>
        <v>693654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300">
        <v>181123</v>
      </c>
      <c r="D142" s="300"/>
      <c r="E142" s="253">
        <f>C142-D142</f>
        <v>181123</v>
      </c>
      <c r="F142" s="8"/>
      <c r="G142" s="45" t="s">
        <v>502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300">
        <v>85075</v>
      </c>
      <c r="D143" s="300"/>
      <c r="E143" s="294">
        <f>C143-D143</f>
        <v>85075</v>
      </c>
      <c r="F143" s="8"/>
      <c r="G143" s="45" t="s">
        <v>502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266198</v>
      </c>
      <c r="D144" s="253">
        <f>D142+D143</f>
        <v>0</v>
      </c>
      <c r="E144" s="253">
        <f>E142+E143</f>
        <v>266198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266198</v>
      </c>
      <c r="D146" s="253">
        <f>D144-D145</f>
        <v>0</v>
      </c>
      <c r="E146" s="253">
        <f>E144-E145</f>
        <v>266198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7">
        <f>C142/C139</f>
        <v>0.2611143307758623</v>
      </c>
      <c r="D149" s="5"/>
      <c r="E149" s="408">
        <f>C149</f>
        <v>0.2611143307758623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7">
        <f>C143/C139</f>
        <v>0.12264760240696371</v>
      </c>
      <c r="D150" s="5"/>
      <c r="E150" s="408">
        <f>C150</f>
        <v>0.12264760240696371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8">
        <f>SUM(C149:C150)</f>
        <v>0.38376193318282603</v>
      </c>
      <c r="D151" s="488" t="s">
        <v>496</v>
      </c>
      <c r="E151" s="408">
        <f>SUM(E149:E150)</f>
        <v>0.38376193318282603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493</v>
      </c>
      <c r="B155" s="8"/>
    </row>
    <row r="156" spans="1:5" ht="12.75">
      <c r="A156" t="s">
        <v>219</v>
      </c>
      <c r="B156" s="87" t="s">
        <v>187</v>
      </c>
      <c r="C156" s="252">
        <f>C146</f>
        <v>266198</v>
      </c>
      <c r="D156" s="252">
        <f>D146</f>
        <v>0</v>
      </c>
      <c r="E156" s="252">
        <f>E146</f>
        <v>266198</v>
      </c>
    </row>
    <row r="157" spans="1:5" ht="12.75">
      <c r="A157" t="s">
        <v>20</v>
      </c>
      <c r="B157" s="87" t="s">
        <v>187</v>
      </c>
      <c r="C157" s="485">
        <v>83789</v>
      </c>
      <c r="D157" s="252"/>
      <c r="E157" s="252">
        <f>C157+D157</f>
        <v>83789</v>
      </c>
    </row>
    <row r="158" spans="1:5" ht="12.75">
      <c r="A158" t="s">
        <v>218</v>
      </c>
      <c r="B158" s="87" t="s">
        <v>187</v>
      </c>
      <c r="C158" s="485">
        <v>41444</v>
      </c>
      <c r="D158" s="252"/>
      <c r="E158" s="252">
        <f>C158+D158</f>
        <v>41444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391431</v>
      </c>
      <c r="D160" s="252">
        <f>D156+D157+D158</f>
        <v>0</v>
      </c>
      <c r="E160" s="252">
        <f>E156+E157+E158</f>
        <v>391431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281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6"/>
      <c r="D15" s="296"/>
      <c r="E15" s="252">
        <f t="shared" si="0"/>
        <v>0</v>
      </c>
    </row>
    <row r="16" spans="1:5" ht="12.75">
      <c r="A16" s="62" t="s">
        <v>283</v>
      </c>
      <c r="B16" s="62"/>
      <c r="C16" s="296"/>
      <c r="D16" s="296"/>
      <c r="E16" s="252">
        <f t="shared" si="0"/>
        <v>0</v>
      </c>
    </row>
    <row r="17" spans="1:5" ht="12.75">
      <c r="A17" s="62" t="s">
        <v>284</v>
      </c>
      <c r="B17" s="62"/>
      <c r="C17" s="296"/>
      <c r="D17" s="296"/>
      <c r="E17" s="252">
        <f t="shared" si="0"/>
        <v>0</v>
      </c>
    </row>
    <row r="18" spans="1:5" ht="12.75">
      <c r="A18" s="62" t="s">
        <v>453</v>
      </c>
      <c r="B18" s="62"/>
      <c r="C18" s="296"/>
      <c r="D18" s="296"/>
      <c r="E18" s="252">
        <f t="shared" si="0"/>
        <v>0</v>
      </c>
    </row>
    <row r="19" spans="1:5" ht="12.75">
      <c r="A19" s="62" t="s">
        <v>453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281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6"/>
      <c r="D27" s="296"/>
      <c r="E27" s="252">
        <f t="shared" si="1"/>
        <v>0</v>
      </c>
    </row>
    <row r="28" spans="1:5" ht="12.75">
      <c r="A28" s="62" t="s">
        <v>283</v>
      </c>
      <c r="B28" s="62"/>
      <c r="C28" s="296"/>
      <c r="D28" s="296"/>
      <c r="E28" s="252">
        <f t="shared" si="1"/>
        <v>0</v>
      </c>
    </row>
    <row r="29" spans="1:5" ht="12.75">
      <c r="A29" s="62" t="s">
        <v>284</v>
      </c>
      <c r="B29" s="62"/>
      <c r="C29" s="296"/>
      <c r="D29" s="296"/>
      <c r="E29" s="252">
        <f t="shared" si="1"/>
        <v>0</v>
      </c>
    </row>
    <row r="30" spans="1:5" ht="12.75">
      <c r="A30" s="62" t="s">
        <v>453</v>
      </c>
      <c r="B30" s="62"/>
      <c r="C30" s="296"/>
      <c r="D30" s="296"/>
      <c r="E30" s="252">
        <f t="shared" si="1"/>
        <v>0</v>
      </c>
    </row>
    <row r="31" spans="1:5" ht="12.75">
      <c r="A31" s="62" t="s">
        <v>453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6"/>
      <c r="D43" s="296"/>
      <c r="E43" s="252">
        <f t="shared" si="2"/>
        <v>0</v>
      </c>
    </row>
    <row r="44" spans="1:5" ht="12.75">
      <c r="A44" s="62" t="s">
        <v>268</v>
      </c>
      <c r="B44" s="62"/>
      <c r="C44" s="296"/>
      <c r="D44" s="296"/>
      <c r="E44" s="252">
        <f t="shared" si="2"/>
        <v>0</v>
      </c>
    </row>
    <row r="45" spans="1:5" ht="12.75">
      <c r="A45" s="62" t="s">
        <v>269</v>
      </c>
      <c r="B45" s="62"/>
      <c r="C45" s="296"/>
      <c r="D45" s="296"/>
      <c r="E45" s="252">
        <f t="shared" si="2"/>
        <v>0</v>
      </c>
    </row>
    <row r="46" spans="1:5" ht="12.75">
      <c r="A46" s="62" t="s">
        <v>270</v>
      </c>
      <c r="B46" s="62"/>
      <c r="C46" s="296"/>
      <c r="D46" s="296"/>
      <c r="E46" s="252">
        <f t="shared" si="2"/>
        <v>0</v>
      </c>
    </row>
    <row r="47" spans="1:5" ht="12.75">
      <c r="A47" s="62" t="s">
        <v>453</v>
      </c>
      <c r="B47" s="62"/>
      <c r="C47" s="296"/>
      <c r="D47" s="296"/>
      <c r="E47" s="252">
        <f t="shared" si="2"/>
        <v>0</v>
      </c>
    </row>
    <row r="48" spans="1:5" ht="12.75">
      <c r="A48" s="62" t="s">
        <v>453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6"/>
      <c r="D55" s="296"/>
      <c r="E55" s="252">
        <f t="shared" si="3"/>
        <v>0</v>
      </c>
    </row>
    <row r="56" spans="1:5" ht="12.75">
      <c r="A56" s="247" t="s">
        <v>268</v>
      </c>
      <c r="B56" s="62"/>
      <c r="C56" s="296"/>
      <c r="D56" s="296"/>
      <c r="E56" s="252">
        <f t="shared" si="3"/>
        <v>0</v>
      </c>
    </row>
    <row r="57" spans="1:5" ht="12.75">
      <c r="A57" s="247" t="s">
        <v>269</v>
      </c>
      <c r="B57" s="62"/>
      <c r="C57" s="296"/>
      <c r="D57" s="296"/>
      <c r="E57" s="252">
        <f t="shared" si="3"/>
        <v>0</v>
      </c>
    </row>
    <row r="58" spans="1:5" ht="12.75">
      <c r="A58" s="247" t="s">
        <v>270</v>
      </c>
      <c r="B58" s="62"/>
      <c r="C58" s="296"/>
      <c r="D58" s="296"/>
      <c r="E58" s="252">
        <f t="shared" si="3"/>
        <v>0</v>
      </c>
    </row>
    <row r="59" spans="1:5" ht="12.75">
      <c r="A59" s="62" t="s">
        <v>453</v>
      </c>
      <c r="B59" s="62"/>
      <c r="C59" s="296"/>
      <c r="D59" s="296"/>
      <c r="E59" s="252">
        <f t="shared" si="3"/>
        <v>0</v>
      </c>
    </row>
    <row r="60" spans="1:5" ht="12.75">
      <c r="A60" s="62" t="s">
        <v>453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workbookViewId="0" topLeftCell="A1">
      <pane xSplit="1" ySplit="6" topLeftCell="B7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471</v>
      </c>
      <c r="B5" s="8"/>
      <c r="C5" s="8" t="s">
        <v>2</v>
      </c>
      <c r="D5" s="8"/>
      <c r="E5" s="8"/>
      <c r="F5" s="8"/>
    </row>
    <row r="6" spans="1:6" ht="12.75">
      <c r="A6" s="418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4">
        <f>C17-D17</f>
        <v>0</v>
      </c>
    </row>
    <row r="18" spans="1:5" ht="12.75">
      <c r="A18" s="68" t="s">
        <v>253</v>
      </c>
      <c r="B18" t="s">
        <v>187</v>
      </c>
      <c r="C18" s="297"/>
      <c r="D18" s="297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/>
      <c r="D19" s="297"/>
      <c r="E19" s="314">
        <f t="shared" si="0"/>
        <v>0</v>
      </c>
    </row>
    <row r="20" spans="1:5" ht="12.75">
      <c r="A20" s="68" t="s">
        <v>454</v>
      </c>
      <c r="B20" t="s">
        <v>187</v>
      </c>
      <c r="C20" s="297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/>
      <c r="B22" t="s">
        <v>187</v>
      </c>
      <c r="C22" s="297"/>
      <c r="D22" s="297"/>
      <c r="E22" s="314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254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4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4">
        <f t="shared" si="0"/>
        <v>0</v>
      </c>
    </row>
    <row r="36" spans="1:5" ht="12.75">
      <c r="A36" s="68" t="s">
        <v>486</v>
      </c>
      <c r="B36" t="s">
        <v>187</v>
      </c>
      <c r="C36" s="297">
        <v>26588</v>
      </c>
      <c r="D36" s="297"/>
      <c r="E36" s="314">
        <f t="shared" si="0"/>
        <v>26588</v>
      </c>
    </row>
    <row r="37" spans="1:5" ht="12.75">
      <c r="A37" s="68"/>
      <c r="B37" t="s">
        <v>187</v>
      </c>
      <c r="C37" s="297"/>
      <c r="D37" s="297"/>
      <c r="E37" s="314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26588</v>
      </c>
      <c r="D46" s="252">
        <f>SUM(D17:D45)</f>
        <v>0</v>
      </c>
      <c r="E46" s="252">
        <f>SUM(E17:E45)</f>
        <v>26588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str">
        <f>IF($E19&gt;$C$11,#REF!," ")</f>
        <v> </v>
      </c>
      <c r="B51" s="275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Provision for bad debts</v>
      </c>
      <c r="B67" s="275"/>
      <c r="C67" s="252">
        <f t="shared" si="3"/>
        <v>26588</v>
      </c>
      <c r="D67" s="252">
        <f t="shared" si="3"/>
        <v>0</v>
      </c>
      <c r="E67" s="252">
        <f t="shared" si="3"/>
        <v>26588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26588</v>
      </c>
      <c r="D77" s="252">
        <f>SUM(D49:D75)</f>
        <v>0</v>
      </c>
      <c r="E77" s="252">
        <f>SUM(E49:E75)</f>
        <v>26588</v>
      </c>
    </row>
    <row r="78" spans="1:5" ht="12.75">
      <c r="A78" s="278" t="s">
        <v>203</v>
      </c>
      <c r="B78" s="279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8" t="s">
        <v>170</v>
      </c>
      <c r="B79" s="279"/>
      <c r="C79" s="316">
        <f>C77+C78</f>
        <v>26588</v>
      </c>
      <c r="D79" s="316">
        <f>D77+D78</f>
        <v>0</v>
      </c>
      <c r="E79" s="316">
        <f>E77+E78</f>
        <v>26588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381</v>
      </c>
      <c r="B87" s="8" t="s">
        <v>188</v>
      </c>
      <c r="C87" s="296">
        <v>1631</v>
      </c>
      <c r="D87" s="296"/>
      <c r="E87" s="252">
        <f t="shared" si="5"/>
        <v>1631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 t="s">
        <v>487</v>
      </c>
      <c r="B96" s="8" t="s">
        <v>188</v>
      </c>
      <c r="C96" s="296">
        <v>170052</v>
      </c>
      <c r="D96" s="296"/>
      <c r="E96" s="252">
        <f t="shared" si="5"/>
        <v>170052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171683</v>
      </c>
      <c r="D99" s="252">
        <f>SUM(D82:D98)</f>
        <v>0</v>
      </c>
      <c r="E99" s="252">
        <f>SUM(E82:E98)</f>
        <v>171683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Bad debts</v>
      </c>
      <c r="B107" s="275"/>
      <c r="C107" s="252">
        <f t="shared" si="7"/>
        <v>1631</v>
      </c>
      <c r="D107" s="252">
        <f t="shared" si="7"/>
        <v>0</v>
      </c>
      <c r="E107" s="252">
        <f t="shared" si="7"/>
        <v>1631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Non-taxable load transfers</v>
      </c>
      <c r="B116" s="275"/>
      <c r="C116" s="252">
        <f t="shared" si="7"/>
        <v>170052</v>
      </c>
      <c r="D116" s="252">
        <f t="shared" si="7"/>
        <v>0</v>
      </c>
      <c r="E116" s="252">
        <f t="shared" si="7"/>
        <v>170052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171683</v>
      </c>
      <c r="D119" s="252">
        <f>SUM(D102:D118)</f>
        <v>0</v>
      </c>
      <c r="E119" s="252">
        <f>SUM(E102:E118)</f>
        <v>171683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171683</v>
      </c>
      <c r="D121" s="252">
        <f>D119+D120</f>
        <v>0</v>
      </c>
      <c r="E121" s="252">
        <f>E119+E120</f>
        <v>171683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3"/>
    </row>
    <row r="4" spans="1:6" ht="15">
      <c r="A4" s="467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9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4">
        <f aca="true" t="shared" si="0" ref="E19:E45">C19-D19</f>
        <v>0</v>
      </c>
    </row>
    <row r="20" spans="1:5" ht="12.75">
      <c r="A20" t="s">
        <v>392</v>
      </c>
      <c r="B20" t="s">
        <v>187</v>
      </c>
      <c r="C20" s="297"/>
      <c r="D20" s="297"/>
      <c r="E20" s="314">
        <f t="shared" si="0"/>
        <v>0</v>
      </c>
    </row>
    <row r="21" spans="1:5" ht="12.75">
      <c r="A21" t="s">
        <v>458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 t="s">
        <v>395</v>
      </c>
      <c r="B22" t="s">
        <v>187</v>
      </c>
      <c r="C22" s="297"/>
      <c r="D22" s="315"/>
      <c r="E22" s="314">
        <f t="shared" si="0"/>
        <v>0</v>
      </c>
    </row>
    <row r="23" spans="1:5" ht="12.75">
      <c r="A23" s="68" t="s">
        <v>396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459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442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394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393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437</v>
      </c>
      <c r="B32" t="s">
        <v>187</v>
      </c>
      <c r="C32" s="297">
        <v>4423</v>
      </c>
      <c r="D32" s="297"/>
      <c r="E32" s="314">
        <f t="shared" si="0"/>
        <v>4423</v>
      </c>
    </row>
    <row r="33" spans="1:5" ht="12.75">
      <c r="A33" s="68" t="s">
        <v>438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455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82" t="s">
        <v>456</v>
      </c>
      <c r="C35" s="297">
        <v>226</v>
      </c>
      <c r="D35" s="297"/>
      <c r="E35" s="314">
        <f t="shared" si="0"/>
        <v>226</v>
      </c>
    </row>
    <row r="36" spans="1:5" ht="12.75">
      <c r="A36" s="68" t="s">
        <v>439</v>
      </c>
      <c r="C36" s="297"/>
      <c r="D36" s="297"/>
      <c r="E36" s="314">
        <f t="shared" si="0"/>
        <v>0</v>
      </c>
    </row>
    <row r="37" spans="1:5" ht="12.75">
      <c r="A37" s="68" t="s">
        <v>440</v>
      </c>
      <c r="C37" s="297"/>
      <c r="D37" s="297"/>
      <c r="E37" s="314">
        <f t="shared" si="0"/>
        <v>0</v>
      </c>
    </row>
    <row r="38" spans="1:5" ht="12.75">
      <c r="A38" s="68" t="s">
        <v>462</v>
      </c>
      <c r="C38" s="297"/>
      <c r="D38" s="297"/>
      <c r="E38" s="314">
        <f t="shared" si="0"/>
        <v>0</v>
      </c>
    </row>
    <row r="39" spans="2:5" ht="12.75">
      <c r="B39" t="s">
        <v>187</v>
      </c>
      <c r="C39" s="297"/>
      <c r="D39" s="297"/>
      <c r="E39" s="314">
        <f t="shared" si="0"/>
        <v>0</v>
      </c>
    </row>
    <row r="40" spans="1:5" ht="12.75">
      <c r="A40" s="82" t="s">
        <v>397</v>
      </c>
      <c r="B40" t="s">
        <v>187</v>
      </c>
      <c r="C40" s="297"/>
      <c r="D40" s="297"/>
      <c r="E40" s="314">
        <f t="shared" si="0"/>
        <v>0</v>
      </c>
    </row>
    <row r="41" spans="1:5" ht="12.75">
      <c r="A41" s="82" t="s">
        <v>391</v>
      </c>
      <c r="B41" t="s">
        <v>187</v>
      </c>
      <c r="C41" s="297"/>
      <c r="D41" s="297"/>
      <c r="E41" s="314">
        <f t="shared" si="0"/>
        <v>0</v>
      </c>
    </row>
    <row r="42" spans="2:5" ht="12.75">
      <c r="B42" t="s">
        <v>187</v>
      </c>
      <c r="C42" s="297"/>
      <c r="D42" s="297"/>
      <c r="E42" s="314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4">
        <f t="shared" si="0"/>
        <v>0</v>
      </c>
    </row>
    <row r="44" spans="2:5" ht="12.75">
      <c r="B44" t="s">
        <v>187</v>
      </c>
      <c r="C44" s="296"/>
      <c r="D44" s="296"/>
      <c r="E44" s="252">
        <f t="shared" si="0"/>
        <v>0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2" t="s">
        <v>401</v>
      </c>
      <c r="B47" t="s">
        <v>189</v>
      </c>
      <c r="C47" s="252">
        <f>SUM(C19:C46)</f>
        <v>4649</v>
      </c>
      <c r="D47" s="252">
        <f>SUM(D19:D46)</f>
        <v>0</v>
      </c>
      <c r="E47" s="252">
        <f>SUM(E19:E46)</f>
        <v>4649</v>
      </c>
    </row>
    <row r="48" ht="12.75">
      <c r="A48" s="68"/>
    </row>
    <row r="49" ht="12.75">
      <c r="A49" s="82" t="s">
        <v>145</v>
      </c>
    </row>
    <row r="51" spans="1:5" ht="12.75">
      <c r="A51" s="72" t="s">
        <v>392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458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393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441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449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461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457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460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2:5" ht="12.75"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2:5" ht="12.75"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1:5" ht="12.75">
      <c r="A64" s="471" t="s">
        <v>398</v>
      </c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1:5" ht="12.75">
      <c r="A66" s="471" t="s">
        <v>391</v>
      </c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/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1" t="s">
        <v>400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workbookViewId="0" topLeftCell="A22">
      <selection activeCell="B3" sqref="B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7" t="str">
        <f>REGINFO!A1</f>
        <v>PILs TAXES - EB-2008-381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2002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339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499" t="s">
        <v>498</v>
      </c>
      <c r="B8" s="500"/>
      <c r="C8" s="500"/>
      <c r="D8" s="500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200001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473</v>
      </c>
      <c r="B10" s="329"/>
      <c r="C10" s="378" t="s">
        <v>111</v>
      </c>
      <c r="D10" s="378"/>
      <c r="E10" s="378" t="s">
        <v>111</v>
      </c>
      <c r="F10" s="379" t="s">
        <v>499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200000</v>
      </c>
      <c r="D11" s="380"/>
      <c r="E11" s="380">
        <v>700000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0.2612</v>
      </c>
      <c r="F14" s="331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0.06</v>
      </c>
      <c r="D15" s="332"/>
      <c r="E15" s="333">
        <v>0.06</v>
      </c>
      <c r="F15" s="333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0.1912</v>
      </c>
      <c r="D16" s="334"/>
      <c r="E16" s="335">
        <v>0.3412</v>
      </c>
      <c r="F16" s="335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0.00225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334</v>
      </c>
      <c r="B21" s="409" t="s">
        <v>478</v>
      </c>
      <c r="C21" s="364">
        <v>5000000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335</v>
      </c>
      <c r="B22" s="410" t="s">
        <v>479</v>
      </c>
      <c r="C22" s="365">
        <v>10000000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3" t="s">
        <v>500</v>
      </c>
      <c r="B23" s="494"/>
      <c r="C23" s="494"/>
      <c r="D23" s="494"/>
      <c r="E23" s="494"/>
      <c r="F23" s="494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340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1" t="s">
        <v>492</v>
      </c>
      <c r="B26" s="502"/>
      <c r="C26" s="502"/>
      <c r="D26" s="502"/>
      <c r="E26" s="502"/>
      <c r="F26" s="502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/>
      <c r="E27" s="370">
        <v>200001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445</v>
      </c>
      <c r="B28" s="329"/>
      <c r="C28" s="372" t="s">
        <v>111</v>
      </c>
      <c r="D28" s="372"/>
      <c r="E28" s="372" t="s">
        <v>111</v>
      </c>
      <c r="F28" s="373" t="s">
        <v>499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200000</v>
      </c>
      <c r="D29" s="374"/>
      <c r="E29" s="374">
        <v>700000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2002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2002</v>
      </c>
      <c r="C32" s="330">
        <v>0.1312</v>
      </c>
      <c r="D32" s="330"/>
      <c r="E32" s="331">
        <v>0.2612</v>
      </c>
      <c r="F32" s="331">
        <v>0.2612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2002</v>
      </c>
      <c r="C33" s="332">
        <v>0.06</v>
      </c>
      <c r="D33" s="332"/>
      <c r="E33" s="333">
        <v>0.06</v>
      </c>
      <c r="F33" s="333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2002</v>
      </c>
      <c r="C34" s="334">
        <f>SUM(C32:C33)</f>
        <v>0.1912</v>
      </c>
      <c r="D34" s="334"/>
      <c r="E34" s="335">
        <f>SUM(E32:E33)</f>
        <v>0.3212</v>
      </c>
      <c r="F34" s="335">
        <f>SUM(F32:F33)</f>
        <v>0.3862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2002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2002</v>
      </c>
      <c r="C37" s="337">
        <v>0.00225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2002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489</v>
      </c>
      <c r="B39" s="409" t="s">
        <v>478</v>
      </c>
      <c r="C39" s="364">
        <v>5000000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490</v>
      </c>
      <c r="B40" s="410" t="s">
        <v>479</v>
      </c>
      <c r="C40" s="365">
        <v>10000000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5" t="s">
        <v>337</v>
      </c>
      <c r="B41" s="494"/>
      <c r="C41" s="494"/>
      <c r="D41" s="494"/>
      <c r="E41" s="494"/>
      <c r="F41" s="494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96"/>
      <c r="B42" s="496"/>
      <c r="C42" s="496"/>
      <c r="D42" s="496"/>
      <c r="E42" s="496"/>
      <c r="F42" s="496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341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491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/>
      <c r="E45" s="370">
        <v>200001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/>
      <c r="E46" s="372" t="s">
        <v>111</v>
      </c>
      <c r="F46" s="373" t="s">
        <v>499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200000</v>
      </c>
      <c r="D47" s="374"/>
      <c r="E47" s="374">
        <v>700000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2002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/>
      <c r="E50" s="355">
        <v>0.2212</v>
      </c>
      <c r="F50" s="355">
        <f>TAXREC!C149</f>
        <v>0.2611143307758623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0.06</v>
      </c>
      <c r="D51" s="356"/>
      <c r="E51" s="357">
        <v>0.0975</v>
      </c>
      <c r="F51" s="357">
        <f>TAXREC!C150</f>
        <v>0.12264760240696371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0.1912</v>
      </c>
      <c r="D52" s="334"/>
      <c r="E52" s="335">
        <f>SUM(E50:E51)</f>
        <v>0.3187</v>
      </c>
      <c r="F52" s="335">
        <f>SUM(F50:F51)</f>
        <v>0.38376193318282603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0.00225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353</v>
      </c>
      <c r="B57" s="409" t="s">
        <v>478</v>
      </c>
      <c r="C57" s="364">
        <v>4668892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354</v>
      </c>
      <c r="B58" s="410" t="s">
        <v>479</v>
      </c>
      <c r="C58" s="365">
        <v>10000000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3" t="s">
        <v>355</v>
      </c>
      <c r="B59" s="497"/>
      <c r="C59" s="497"/>
      <c r="D59" s="497"/>
      <c r="E59" s="497"/>
      <c r="F59" s="497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498"/>
      <c r="B60" s="498"/>
      <c r="C60" s="498"/>
      <c r="D60" s="498"/>
      <c r="E60" s="498"/>
      <c r="F60" s="498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2002</v>
      </c>
      <c r="E4" s="420" t="s">
        <v>323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0</v>
      </c>
      <c r="F11" s="422"/>
      <c r="G11" s="399">
        <f>E22</f>
        <v>0</v>
      </c>
      <c r="H11" s="422"/>
      <c r="I11" s="399">
        <f>G22</f>
        <v>0</v>
      </c>
      <c r="J11" s="393"/>
      <c r="K11" s="399">
        <f>I22</f>
        <v>0</v>
      </c>
      <c r="L11" s="393"/>
      <c r="M11" s="399">
        <f>K22</f>
        <v>0</v>
      </c>
      <c r="N11" s="393"/>
      <c r="O11" s="399">
        <f>C11</f>
        <v>0</v>
      </c>
    </row>
    <row r="12" spans="1:15" ht="27" customHeight="1">
      <c r="A12" s="82" t="s">
        <v>402</v>
      </c>
      <c r="B12" s="67" t="s">
        <v>190</v>
      </c>
      <c r="C12" s="398"/>
      <c r="D12" s="394"/>
      <c r="E12" s="398"/>
      <c r="F12" s="96"/>
      <c r="G12" s="421">
        <f>C12+E12</f>
        <v>0</v>
      </c>
      <c r="H12" s="96"/>
      <c r="I12" s="421">
        <f>(E12/12*9)+(G12/12*3)</f>
        <v>0</v>
      </c>
      <c r="J12" s="394"/>
      <c r="K12" s="421">
        <f>E12/12*3</f>
        <v>0</v>
      </c>
      <c r="L12" s="394"/>
      <c r="M12" s="421">
        <f>K13/9*12/4</f>
        <v>0</v>
      </c>
      <c r="N12" s="394"/>
      <c r="O12" s="399">
        <f aca="true" t="shared" si="0" ref="O12:O20">SUM(C12:N12)</f>
        <v>0</v>
      </c>
    </row>
    <row r="13" spans="1:15" ht="27" customHeight="1">
      <c r="A13" s="82" t="s">
        <v>444</v>
      </c>
      <c r="B13" s="67"/>
      <c r="C13" s="421"/>
      <c r="D13" s="394"/>
      <c r="E13" s="421"/>
      <c r="F13" s="96"/>
      <c r="G13" s="421"/>
      <c r="H13" s="96"/>
      <c r="I13" s="421"/>
      <c r="J13" s="394"/>
      <c r="K13" s="398"/>
      <c r="L13" s="394"/>
      <c r="M13" s="421"/>
      <c r="N13" s="394"/>
      <c r="O13" s="399">
        <f t="shared" si="0"/>
        <v>0</v>
      </c>
    </row>
    <row r="14" spans="1:15" ht="26.25">
      <c r="A14" s="82" t="s">
        <v>403</v>
      </c>
      <c r="B14" s="67" t="s">
        <v>190</v>
      </c>
      <c r="C14" s="398"/>
      <c r="D14" s="394"/>
      <c r="E14" s="398"/>
      <c r="F14" s="96"/>
      <c r="G14" s="398"/>
      <c r="H14" s="96"/>
      <c r="I14" s="398"/>
      <c r="J14" s="394"/>
      <c r="K14" s="398"/>
      <c r="L14" s="394"/>
      <c r="M14" s="398"/>
      <c r="N14" s="394"/>
      <c r="O14" s="399">
        <f t="shared" si="0"/>
        <v>0</v>
      </c>
    </row>
    <row r="15" spans="1:15" ht="27" customHeight="1">
      <c r="A15" s="82" t="s">
        <v>404</v>
      </c>
      <c r="B15" s="67" t="s">
        <v>190</v>
      </c>
      <c r="C15" s="398"/>
      <c r="D15" s="394"/>
      <c r="E15" s="398"/>
      <c r="F15" s="96"/>
      <c r="G15" s="398"/>
      <c r="H15" s="96"/>
      <c r="I15" s="398"/>
      <c r="J15" s="394"/>
      <c r="K15" s="398"/>
      <c r="L15" s="394"/>
      <c r="M15" s="421">
        <f>TAXCALC!E132</f>
        <v>-132647.51519403054</v>
      </c>
      <c r="N15" s="394"/>
      <c r="O15" s="399">
        <f t="shared" si="0"/>
        <v>-132647.51519403054</v>
      </c>
    </row>
    <row r="16" spans="1:15" ht="27" customHeight="1">
      <c r="A16" s="82" t="s">
        <v>405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/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406</v>
      </c>
      <c r="B17" s="67" t="s">
        <v>190</v>
      </c>
      <c r="C17" s="398"/>
      <c r="D17" s="394"/>
      <c r="E17" s="398"/>
      <c r="F17" s="96"/>
      <c r="G17" s="398"/>
      <c r="H17" s="96"/>
      <c r="I17" s="398"/>
      <c r="J17" s="394"/>
      <c r="K17" s="398"/>
      <c r="L17" s="394"/>
      <c r="M17" s="421">
        <f>TAXCALC!E181</f>
        <v>-5087.813177828473</v>
      </c>
      <c r="N17" s="394"/>
      <c r="O17" s="399">
        <f t="shared" si="0"/>
        <v>-5087.813177828473</v>
      </c>
    </row>
    <row r="18" spans="1:15" ht="26.25">
      <c r="A18" s="82" t="s">
        <v>407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408</v>
      </c>
      <c r="B19" s="67" t="s">
        <v>190</v>
      </c>
      <c r="C19" s="398"/>
      <c r="D19" s="394"/>
      <c r="E19" s="398"/>
      <c r="F19" s="96"/>
      <c r="G19" s="398"/>
      <c r="H19" s="96"/>
      <c r="I19" s="398"/>
      <c r="J19" s="394"/>
      <c r="K19" s="398"/>
      <c r="L19" s="394"/>
      <c r="M19" s="398"/>
      <c r="N19" s="394"/>
      <c r="O19" s="399">
        <f t="shared" si="0"/>
        <v>0</v>
      </c>
    </row>
    <row r="20" spans="1:15" ht="24.75" customHeight="1">
      <c r="A20" s="82" t="s">
        <v>476</v>
      </c>
      <c r="B20" s="67" t="s">
        <v>188</v>
      </c>
      <c r="C20" s="421">
        <v>0</v>
      </c>
      <c r="D20" s="394"/>
      <c r="E20" s="398"/>
      <c r="F20" s="96"/>
      <c r="G20" s="398"/>
      <c r="H20" s="96"/>
      <c r="I20" s="398"/>
      <c r="J20" s="394"/>
      <c r="K20" s="398"/>
      <c r="L20" s="394"/>
      <c r="M20" s="398"/>
      <c r="N20" s="394"/>
      <c r="O20" s="399">
        <f t="shared" si="0"/>
        <v>0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378</v>
      </c>
      <c r="B22" s="34"/>
      <c r="C22" s="400">
        <f>SUM(C11:C20)</f>
        <v>0</v>
      </c>
      <c r="D22" s="422"/>
      <c r="E22" s="400">
        <f>SUM(E11:E20)</f>
        <v>0</v>
      </c>
      <c r="F22" s="422"/>
      <c r="G22" s="400">
        <f>SUM(G11:G20)</f>
        <v>0</v>
      </c>
      <c r="H22" s="422"/>
      <c r="I22" s="400">
        <f>SUM(I11:I20)</f>
        <v>0</v>
      </c>
      <c r="J22" s="393"/>
      <c r="K22" s="400">
        <f>SUM(K11:K20)</f>
        <v>0</v>
      </c>
      <c r="L22" s="393"/>
      <c r="M22" s="400">
        <f>SUM(M11:M21)</f>
        <v>-137735.328371859</v>
      </c>
      <c r="N22" s="393"/>
      <c r="O22" s="453">
        <f>SUM(O11:O20)</f>
        <v>-137735.328371859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9"/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ht="12.75">
      <c r="A25" s="436"/>
      <c r="B25" s="437"/>
      <c r="C25" s="463"/>
      <c r="D25" s="463"/>
      <c r="E25" s="463"/>
      <c r="F25" s="463"/>
      <c r="G25" s="463"/>
      <c r="H25" s="463"/>
      <c r="I25" s="463"/>
      <c r="J25" s="464"/>
      <c r="K25" s="463"/>
      <c r="L25" s="465"/>
      <c r="M25" s="466"/>
      <c r="N25" s="465"/>
      <c r="O25" s="466"/>
    </row>
    <row r="26" spans="1:15" ht="12.75">
      <c r="A26" s="436" t="s">
        <v>409</v>
      </c>
      <c r="B26" s="437"/>
      <c r="C26" s="463"/>
      <c r="D26" s="463"/>
      <c r="E26" s="463"/>
      <c r="F26" s="463"/>
      <c r="G26" s="463"/>
      <c r="H26" s="463"/>
      <c r="I26" s="463"/>
      <c r="J26" s="464"/>
      <c r="K26" s="463"/>
      <c r="L26" s="465"/>
      <c r="M26" s="466"/>
      <c r="N26" s="465"/>
      <c r="O26" s="466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410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411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4" t="s">
        <v>412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9" ht="12.75">
      <c r="A33" s="504" t="s">
        <v>413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3"/>
      <c r="Q33" s="423"/>
      <c r="R33" s="423"/>
      <c r="S33" s="423"/>
    </row>
    <row r="34" spans="1:19" ht="12.75">
      <c r="A34" s="503" t="s">
        <v>414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3"/>
      <c r="Q34" s="423"/>
      <c r="R34" s="423"/>
      <c r="S34" s="423"/>
    </row>
    <row r="35" spans="1:19" ht="12.75">
      <c r="A35" s="503" t="s">
        <v>435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3"/>
      <c r="Q35" s="423"/>
      <c r="R35" s="423"/>
      <c r="S35" s="423"/>
    </row>
    <row r="36" spans="1:19" ht="12.75">
      <c r="A36" s="503" t="s">
        <v>415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3"/>
      <c r="Q36" s="423"/>
      <c r="R36" s="423"/>
      <c r="S36" s="423"/>
    </row>
    <row r="37" spans="1:19" ht="12.75">
      <c r="A37" s="440" t="s">
        <v>375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376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417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418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419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420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421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422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423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421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425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426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428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429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385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430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431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387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386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388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432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433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434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3" t="s">
        <v>464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7" t="s">
        <v>377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2010-03-22T18:56:59Z</cp:lastPrinted>
  <dcterms:created xsi:type="dcterms:W3CDTF">2001-11-07T16:15:53Z</dcterms:created>
  <dcterms:modified xsi:type="dcterms:W3CDTF">2010-03-22T18:57:04Z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