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dsmelsky</author>
  </authors>
  <commentList>
    <comment ref="C51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As per Revised PILS_ C&amp;DM Capital Portion of 2005 3rd Tranche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<sst xmlns="http://schemas.openxmlformats.org/spreadsheetml/2006/main" count="877" uniqueCount="503">
  <si>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</si>
  <si>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</si>
  <si>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</si>
  <si>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</si>
  <si>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</si>
  <si>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</si>
  <si>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</si>
  <si>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</si>
  <si>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</si>
  <si>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</si>
  <si>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</si>
  <si>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</si>
  <si>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</si>
  <si>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</si>
  <si>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</si>
  <si>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</si>
  <si>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</si>
  <si>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</si>
  <si>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</si>
  <si>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</si>
  <si>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</si>
  <si>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</si>
  <si>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</si>
  <si>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</si>
  <si>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</si>
  <si>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</si>
  <si>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</si>
  <si>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</si>
  <si>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</si>
  <si>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</si>
  <si>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</si>
  <si>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</si>
  <si>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</si>
  <si>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</si>
  <si>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</si>
  <si>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</si>
  <si>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</si>
  <si>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</si>
  <si>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</si>
  <si>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</si>
  <si>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</si>
  <si>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</si>
  <si>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</si>
  <si>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</si>
  <si>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</si>
  <si>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</si>
  <si>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</si>
  <si>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</si>
  <si>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</si>
  <si>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</si>
  <si>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</si>
  <si>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</si>
  <si>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</si>
  <si>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</si>
  <si>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</si>
  <si>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</si>
  <si>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</si>
  <si>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</si>
  <si>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</si>
  <si>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</si>
  <si>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</si>
  <si>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</si>
  <si>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</si>
  <si>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</si>
  <si>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</si>
  <si>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</si>
  <si>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</si>
  <si>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</si>
  <si>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</si>
  <si>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</si>
  <si>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</si>
  <si>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</si>
  <si>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</si>
  <si>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</si>
  <si>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</si>
  <si>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</si>
  <si>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</si>
  <si>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</si>
  <si>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</si>
  <si>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</si>
  <si>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</si>
  <si>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</si>
  <si>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</si>
  <si>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</si>
  <si>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</si>
  <si>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</si>
  <si>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</si>
  <si>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</si>
  <si>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</si>
  <si>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</si>
  <si>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</si>
  <si>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</si>
  <si>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</si>
  <si>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</si>
  <si>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</si>
  <si>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</si>
  <si>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</si>
  <si>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</si>
  <si>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</si>
  <si>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</si>
  <si>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</si>
  <si>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</si>
  <si>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</si>
  <si>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</si>
  <si>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</si>
  <si>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</si>
  <si>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</si>
  <si>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</si>
  <si>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</si>
  <si>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</si>
  <si>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</si>
  <si>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</si>
  <si>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</si>
  <si>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</si>
  <si>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</si>
  <si>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</si>
  <si>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</si>
  <si>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</si>
  <si>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</si>
  <si>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</si>
  <si>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</si>
  <si>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</si>
  <si>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</si>
  <si>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</si>
  <si>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</si>
  <si>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</si>
  <si>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</si>
  <si>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</si>
  <si>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</si>
  <si>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</si>
  <si>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</si>
  <si>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</si>
  <si>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</si>
  <si>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</si>
  <si>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</si>
  <si>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</si>
  <si>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</si>
  <si>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</si>
  <si>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</si>
  <si>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</si>
  <si>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</si>
  <si>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</si>
  <si>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</si>
  <si>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</si>
  <si>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</si>
  <si>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</si>
  <si>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</si>
  <si>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</si>
  <si>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</si>
  <si>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</si>
  <si>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</si>
  <si>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</si>
  <si>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</si>
  <si>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</si>
  <si>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</si>
  <si>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</si>
  <si>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</si>
  <si>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</si>
  <si>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</si>
  <si>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</si>
  <si>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</si>
  <si>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</si>
  <si>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</si>
  <si>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</si>
  <si>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</si>
  <si>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</si>
  <si>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</si>
  <si>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</si>
  <si>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</si>
  <si>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</si>
  <si>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</si>
  <si>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</si>
  <si>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</si>
  <si>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</si>
  <si>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</si>
  <si>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</si>
  <si>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</si>
  <si>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</si>
  <si>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</si>
  <si>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</si>
  <si>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</si>
  <si>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</si>
  <si>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</si>
  <si>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</si>
  <si>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</si>
  <si>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</si>
  <si>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</si>
  <si>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</si>
  <si>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</si>
  <si>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</si>
  <si>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</si>
  <si>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</si>
  <si>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</si>
  <si>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</si>
  <si>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</si>
  <si>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</si>
  <si>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</si>
  <si>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</si>
  <si>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</si>
  <si>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</si>
  <si>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</si>
  <si>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</si>
  <si>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</si>
  <si>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</si>
  <si>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</si>
  <si>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</si>
  <si>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</si>
  <si>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</si>
  <si>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</si>
  <si>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</si>
  <si>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</si>
  <si>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</si>
  <si>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</si>
  <si>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</si>
  <si>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</si>
  <si>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</si>
  <si>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</si>
  <si>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</si>
  <si>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</si>
  <si>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</si>
  <si>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</si>
  <si>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</si>
  <si>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</si>
  <si>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</si>
  <si>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</si>
  <si>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</si>
  <si>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</si>
  <si>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</si>
  <si>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</si>
  <si>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</si>
  <si>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</si>
  <si>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</si>
  <si>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</si>
  <si>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</si>
  <si>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</si>
  <si>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</si>
  <si>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</si>
  <si>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</si>
  <si>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</si>
  <si>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</si>
  <si>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</si>
  <si>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</si>
  <si>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</si>
  <si>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</si>
  <si>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</si>
  <si>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</si>
  <si>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</si>
  <si>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</si>
  <si>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</si>
  <si>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</si>
  <si>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</si>
  <si>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</si>
  <si>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</si>
  <si>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</si>
  <si>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</si>
  <si>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</si>
  <si>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</si>
  <si>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</si>
  <si>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</si>
  <si>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</si>
  <si>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</si>
  <si>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</si>
  <si>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</si>
  <si>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</si>
  <si>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</si>
  <si>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</si>
  <si>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</si>
  <si>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</si>
  <si>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</si>
  <si>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</si>
  <si>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</si>
  <si>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</si>
  <si>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</si>
  <si>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</si>
  <si>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</si>
  <si>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</si>
  <si>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</si>
  <si>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</si>
  <si>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</si>
  <si>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</si>
  <si>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</si>
  <si>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</si>
  <si>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</si>
  <si>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</si>
  <si>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</si>
  <si>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</si>
  <si>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</si>
  <si>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</si>
  <si>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</si>
  <si>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</si>
  <si>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</si>
  <si>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</si>
  <si>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</si>
  <si>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</si>
  <si>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</si>
  <si>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</si>
  <si>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</si>
  <si>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</si>
  <si>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</si>
  <si>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</si>
  <si>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</si>
  <si>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</si>
  <si>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</si>
  <si>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</si>
  <si>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</si>
  <si>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</si>
  <si>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</si>
  <si>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</si>
  <si>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</si>
  <si>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</si>
  <si>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</si>
  <si>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</si>
  <si>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</si>
  <si>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</si>
  <si>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</si>
  <si>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</si>
  <si>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</si>
  <si>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</si>
  <si>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</si>
  <si>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</si>
  <si>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</si>
  <si>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</si>
  <si>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</si>
  <si>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</si>
  <si>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</si>
  <si>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</si>
  <si>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</si>
  <si>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</si>
  <si>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</si>
  <si>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</si>
  <si>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</si>
  <si>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</si>
  <si>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</si>
  <si>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</si>
  <si>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</si>
  <si>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</si>
  <si>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</si>
  <si>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</si>
  <si>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</si>
  <si>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</si>
  <si>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</si>
  <si>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</si>
  <si>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</si>
  <si>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</si>
  <si>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</si>
  <si>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</si>
  <si>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</si>
  <si>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</si>
  <si>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</si>
  <si>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</si>
  <si>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</si>
  <si>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</si>
  <si>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</si>
  <si>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</si>
  <si>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</si>
  <si>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</si>
  <si>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</si>
  <si>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</si>
  <si>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</si>
  <si>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</si>
  <si>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</si>
  <si>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</si>
  <si>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</si>
  <si>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</si>
  <si>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</si>
  <si>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</si>
  <si>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</si>
  <si>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</si>
  <si>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</si>
  <si>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</si>
  <si>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</si>
  <si>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</si>
  <si>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</si>
  <si>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</si>
  <si>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</si>
  <si>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</si>
  <si>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</si>
  <si>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</si>
  <si>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</si>
  <si>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</si>
  <si>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</si>
  <si>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</si>
  <si>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</si>
  <si>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</si>
  <si>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</si>
  <si>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</si>
  <si>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</si>
  <si>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</si>
  <si>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</si>
  <si>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</si>
  <si>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</si>
  <si>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</si>
  <si>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</si>
  <si>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</si>
  <si>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</si>
  <si>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</si>
  <si>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</si>
  <si>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</si>
  <si>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</si>
  <si>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</si>
  <si>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</si>
  <si>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</si>
  <si>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</si>
  <si>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</si>
  <si>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</si>
  <si>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</si>
  <si>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</si>
  <si>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</si>
  <si>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</si>
  <si>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</si>
  <si>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</si>
  <si>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</si>
  <si>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</si>
  <si>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</si>
  <si>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</si>
  <si>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</si>
  <si>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</si>
  <si>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</si>
  <si>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</si>
  <si>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</si>
  <si>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</si>
  <si>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</si>
  <si>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</si>
  <si>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</si>
  <si>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</si>
  <si>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</si>
  <si>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</si>
  <si>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</si>
  <si>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</si>
  <si>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</si>
  <si>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</si>
  <si>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</si>
  <si>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</si>
  <si>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</si>
  <si>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</si>
  <si>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</si>
  <si>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</si>
  <si>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</si>
  <si>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</si>
  <si>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</si>
  <si>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</si>
  <si>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</si>
  <si>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</si>
  <si>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</si>
  <si>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</si>
  <si>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</si>
  <si>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</si>
  <si>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</si>
  <si>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</si>
  <si>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</si>
  <si>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</si>
  <si>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</si>
  <si>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</si>
  <si>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</si>
  <si>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</si>
  <si>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</si>
  <si>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</si>
  <si>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</si>
  <si>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</si>
  <si>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</si>
  <si>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</si>
  <si>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</si>
  <si>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</si>
  <si>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</si>
  <si>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</si>
  <si>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</si>
  <si>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</si>
  <si>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</si>
  <si>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</si>
  <si>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</si>
  <si>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</si>
  <si>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</si>
  <si>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</si>
  <si>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</si>
  <si>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</si>
  <si>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</si>
  <si>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</si>
  <si>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</si>
  <si>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</si>
  <si>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</si>
  <si>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</si>
  <si>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</si>
  <si>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</si>
  <si>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</si>
  <si>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</si>
  <si>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</si>
  <si>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</si>
  <si>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</si>
  <si>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</si>
  <si>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</si>
  <si>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</si>
  <si>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</si>
  <si>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</si>
  <si>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</si>
  <si>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</si>
  <si>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</si>
  <si>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</si>
  <si>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</si>
  <si>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</si>
  <si>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</si>
  <si>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Total deemed interest  (REGINFO CELL D61)</t>
  </si>
  <si>
    <t>Deemed Proxy Interest</t>
  </si>
  <si>
    <t>DEEMED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</si>
</sst>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2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11" borderId="11" xfId="0" applyNumberFormat="1" applyFont="1" applyFill="1" applyBorder="1" applyAlignment="1" applyProtection="1">
      <alignment horizontal="center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/>
    </xf>
    <xf numFmtId="3" fontId="0" fillId="5" borderId="53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5" fontId="0" fillId="0" borderId="0" xfId="18" applyNumberFormat="1" applyBorder="1" applyAlignment="1">
      <alignment vertical="top"/>
    </xf>
    <xf numFmtId="10" fontId="0" fillId="11" borderId="0" xfId="27" applyFill="1" applyAlignment="1">
      <alignment vertical="top"/>
    </xf>
    <xf numFmtId="3" fontId="0" fillId="13" borderId="8" xfId="0" applyNumberFormat="1" applyFill="1" applyBorder="1" applyAlignment="1" applyProtection="1">
      <alignment vertical="top"/>
      <protection/>
    </xf>
    <xf numFmtId="0" fontId="0" fillId="11" borderId="0" xfId="0" applyFill="1" applyBorder="1" applyAlignment="1">
      <alignment vertical="top"/>
    </xf>
    <xf numFmtId="0" fontId="0" fillId="11" borderId="0" xfId="0" applyFill="1" applyAlignment="1">
      <alignment horizontal="center" vertical="top"/>
    </xf>
    <xf numFmtId="37" fontId="0" fillId="11" borderId="12" xfId="0" applyNumberFormat="1" applyFill="1" applyBorder="1" applyAlignment="1">
      <alignment horizontal="center" vertical="top"/>
    </xf>
    <xf numFmtId="3" fontId="0" fillId="11" borderId="0" xfId="0" applyNumberFormat="1" applyFill="1" applyBorder="1" applyAlignment="1">
      <alignment horizontal="center"/>
    </xf>
    <xf numFmtId="0" fontId="3" fillId="11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34">
      <selection activeCell="D52" sqref="D5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471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5" t="s">
        <v>442</v>
      </c>
      <c r="E4" s="430"/>
      <c r="H4" s="8"/>
    </row>
    <row r="5" spans="1:8" ht="12.75">
      <c r="A5" s="52"/>
      <c r="C5" s="8"/>
      <c r="D5" s="454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8"/>
    </row>
    <row r="18" spans="1:4" ht="15" customHeight="1">
      <c r="A18" s="391" t="s">
        <v>315</v>
      </c>
      <c r="C18" s="8"/>
      <c r="D18" s="8"/>
    </row>
    <row r="19" spans="1:4" ht="15" customHeight="1">
      <c r="A19" s="501" t="s">
        <v>316</v>
      </c>
      <c r="B19" s="8" t="s">
        <v>313</v>
      </c>
      <c r="C19" s="8" t="s">
        <v>64</v>
      </c>
      <c r="D19" s="390"/>
    </row>
    <row r="20" spans="1:4" ht="13.5" thickBot="1">
      <c r="A20" s="502"/>
      <c r="B20" s="8" t="s">
        <v>314</v>
      </c>
      <c r="C20" s="8" t="s">
        <v>64</v>
      </c>
      <c r="D20" s="258"/>
    </row>
    <row r="21" spans="1:4" ht="12.75">
      <c r="A21" s="501" t="s">
        <v>312</v>
      </c>
      <c r="B21" s="8" t="s">
        <v>313</v>
      </c>
      <c r="C21" s="8"/>
      <c r="D21" s="425">
        <v>1</v>
      </c>
    </row>
    <row r="22" spans="1:4" ht="12.75">
      <c r="A22" s="501"/>
      <c r="B22" s="8" t="s">
        <v>314</v>
      </c>
      <c r="C22" s="8"/>
      <c r="D22" s="425">
        <v>1</v>
      </c>
    </row>
    <row r="23" spans="1:4" ht="7.5" customHeight="1">
      <c r="A23" s="54"/>
      <c r="C23" s="8"/>
      <c r="D23" s="390"/>
    </row>
    <row r="24" spans="1:4" ht="12.75">
      <c r="A24" s="54" t="s">
        <v>212</v>
      </c>
      <c r="C24" s="8" t="s">
        <v>213</v>
      </c>
      <c r="D24" s="426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spans="1:4" ht="12.75">
      <c r="A29" s="257" t="s">
        <v>70</v>
      </c>
      <c r="D29" s="497" t="s">
        <v>502</v>
      </c>
    </row>
    <row r="30" ht="12.75">
      <c r="A30" s="35"/>
    </row>
    <row r="31" spans="1:8" ht="12.75">
      <c r="A31" t="s">
        <v>287</v>
      </c>
      <c r="D31" s="423">
        <v>35272411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3021082.00215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0</v>
      </c>
      <c r="E43" s="389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3021082.00215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1007027</v>
      </c>
      <c r="E47" s="389">
        <f aca="true" t="shared" si="0" ref="E47:E53">D47</f>
        <v>1007027</v>
      </c>
      <c r="H47" s="40"/>
      <c r="J47" s="5"/>
      <c r="K47" s="5"/>
    </row>
    <row r="48" spans="1:11" ht="12.75">
      <c r="A48" t="s">
        <v>290</v>
      </c>
      <c r="D48" s="428">
        <v>1007027</v>
      </c>
      <c r="E48" s="389">
        <f>D48</f>
        <v>1007027</v>
      </c>
      <c r="F48" s="22"/>
      <c r="H48" s="40"/>
      <c r="J48" s="5"/>
      <c r="K48" s="5"/>
    </row>
    <row r="49" spans="1:11" ht="12.75">
      <c r="A49" t="s">
        <v>291</v>
      </c>
      <c r="D49" s="429"/>
      <c r="E49" s="389">
        <f>D49</f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C51" s="494">
        <v>0.94</v>
      </c>
      <c r="D51" s="430">
        <v>1007028</v>
      </c>
      <c r="E51" s="389">
        <f>+C51*D51+1</f>
        <v>946607.32</v>
      </c>
      <c r="G51" s="3"/>
      <c r="H51" s="40"/>
      <c r="J51" s="5"/>
      <c r="K51" s="5"/>
    </row>
    <row r="52" spans="1:11" ht="12.75">
      <c r="A52" t="s">
        <v>462</v>
      </c>
      <c r="D52" s="430"/>
      <c r="E52" s="389">
        <v>108653</v>
      </c>
      <c r="G52" s="493"/>
      <c r="H52" s="40"/>
      <c r="J52" s="5"/>
      <c r="K52" s="5"/>
    </row>
    <row r="53" spans="4:11" ht="12.75">
      <c r="D53" s="430"/>
      <c r="E53" s="389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3069314.32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17636205.5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1742457.1034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17636205.5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1278624.89875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426208.15820198477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852416.3164039695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852416.3164039695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1278624.89875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" right="0.0393700787401575" top="0.81" bottom="0.236220472440945" header="0.261811024" footer="0"/>
  <pageSetup fitToHeight="1" fitToWidth="1" horizontalDpi="600" verticalDpi="600" orientation="portrait" scale="85" r:id="rId3"/>
  <headerFooter alignWithMargins="0">
    <oddHeader>&amp;R&amp;9Halton Hills Hydro Inc.
EB-2008-0381
Deferred PILs Combined Proceeding 
Appendix A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67">
      <selection activeCell="D52" sqref="D5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4" t="s">
        <v>465</v>
      </c>
      <c r="H2" s="217"/>
    </row>
    <row r="3" spans="1:8" ht="12.75">
      <c r="A3" s="211" t="s">
        <v>49</v>
      </c>
      <c r="B3" s="218"/>
      <c r="C3" s="219"/>
      <c r="D3" s="214"/>
      <c r="E3" s="138" t="s">
        <v>21</v>
      </c>
      <c r="F3" s="220" t="s">
        <v>21</v>
      </c>
      <c r="G3" s="138"/>
      <c r="H3" s="217"/>
    </row>
    <row r="4" spans="1:8" ht="12.75">
      <c r="A4" s="221" t="s">
        <v>41</v>
      </c>
      <c r="B4" s="222"/>
      <c r="C4" s="219"/>
      <c r="D4" s="214"/>
      <c r="E4" s="138" t="s">
        <v>250</v>
      </c>
      <c r="F4" s="220" t="s">
        <v>22</v>
      </c>
      <c r="G4" s="138"/>
      <c r="H4" s="217"/>
    </row>
    <row r="5" spans="1:8" ht="12.75">
      <c r="A5" s="211">
        <f>REGINFO!E2</f>
        <v>0</v>
      </c>
      <c r="B5" s="222"/>
      <c r="C5" s="219"/>
      <c r="D5" s="214"/>
      <c r="E5" s="138"/>
      <c r="F5" s="220"/>
      <c r="G5" s="184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6"/>
      <c r="D6" s="138"/>
      <c r="E6" s="116"/>
      <c r="G6" s="116"/>
      <c r="H6" s="466"/>
    </row>
    <row r="7" spans="1:8" ht="12.75">
      <c r="A7" s="211" t="str">
        <f>REGINFO!A4</f>
        <v>Reporting period:  2005</v>
      </c>
      <c r="B7" s="116"/>
      <c r="D7" s="138"/>
      <c r="E7" s="116"/>
      <c r="G7" s="116"/>
      <c r="H7" s="466"/>
    </row>
    <row r="8" spans="2:12" ht="12.75">
      <c r="B8" s="222"/>
      <c r="C8" s="230"/>
      <c r="D8" s="214"/>
      <c r="E8" s="138"/>
      <c r="F8" s="220"/>
      <c r="G8" s="184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8"/>
      <c r="F9" s="220"/>
      <c r="G9" s="184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1"/>
      <c r="B13" s="223"/>
      <c r="C13" s="224"/>
      <c r="D13" s="225"/>
      <c r="E13" s="226"/>
      <c r="F13" s="227"/>
      <c r="G13" s="228"/>
      <c r="H13" s="229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59">
        <f>REGINFO!E54</f>
        <v>3069314.32</v>
      </c>
      <c r="D16" s="17"/>
      <c r="E16" s="267">
        <f>G16-C16</f>
        <v>-609218.3199999998</v>
      </c>
      <c r="F16" s="3"/>
      <c r="G16" s="267">
        <f>TAXREC!E50</f>
        <v>2460096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1">
        <v>1682279</v>
      </c>
      <c r="D20" s="18"/>
      <c r="E20" s="267">
        <f>G20-C20</f>
        <v>200022</v>
      </c>
      <c r="F20" s="6"/>
      <c r="G20" s="267">
        <f>TAXREC!E61</f>
        <v>1882301</v>
      </c>
      <c r="H20" s="152"/>
    </row>
    <row r="21" spans="1:8" ht="12.75">
      <c r="A21" s="159" t="s">
        <v>56</v>
      </c>
      <c r="B21" s="128">
        <v>3</v>
      </c>
      <c r="C21" s="261">
        <v>15448</v>
      </c>
      <c r="D21" s="18"/>
      <c r="E21" s="267">
        <f>G21-C21</f>
        <v>13772</v>
      </c>
      <c r="F21" s="6"/>
      <c r="G21" s="267">
        <f>TAXREC!E62</f>
        <v>29220</v>
      </c>
      <c r="H21" s="152"/>
    </row>
    <row r="22" spans="1:8" ht="12.75">
      <c r="A22" s="159" t="s">
        <v>264</v>
      </c>
      <c r="B22" s="128">
        <v>4</v>
      </c>
      <c r="C22" s="261"/>
      <c r="D22" s="18"/>
      <c r="E22" s="267">
        <f>G22-C22</f>
        <v>70004</v>
      </c>
      <c r="F22" s="6"/>
      <c r="G22" s="267">
        <f>TAXREC!E63</f>
        <v>70004</v>
      </c>
      <c r="H22" s="152"/>
    </row>
    <row r="23" spans="1:8" ht="12.75">
      <c r="A23" s="159" t="s">
        <v>263</v>
      </c>
      <c r="B23" s="128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2"/>
    </row>
    <row r="24" spans="1:8" ht="12.75">
      <c r="A24" s="159" t="s">
        <v>265</v>
      </c>
      <c r="B24" s="128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1">
        <v>52983</v>
      </c>
      <c r="D26" s="18"/>
      <c r="E26" s="267">
        <f>G26-C26</f>
        <v>-52983</v>
      </c>
      <c r="F26" s="6"/>
      <c r="G26" s="267">
        <f>TAXREC!E92</f>
        <v>0</v>
      </c>
      <c r="H26" s="152"/>
    </row>
    <row r="27" spans="1:8" ht="12.75">
      <c r="A27" s="159" t="s">
        <v>159</v>
      </c>
      <c r="B27" s="128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2"/>
    </row>
    <row r="28" spans="1:8" ht="12.75">
      <c r="A28" s="159" t="s">
        <v>158</v>
      </c>
      <c r="B28" s="128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2"/>
    </row>
    <row r="29" spans="1:8" ht="12.75">
      <c r="A29" s="159" t="s">
        <v>157</v>
      </c>
      <c r="B29" s="128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2"/>
    </row>
    <row r="30" spans="1:8" ht="15">
      <c r="A30" s="483" t="s">
        <v>395</v>
      </c>
      <c r="B30" s="128"/>
      <c r="C30" s="259"/>
      <c r="D30" s="18"/>
      <c r="E30" s="267">
        <f>G30-C30</f>
        <v>1336415</v>
      </c>
      <c r="F30" s="6"/>
      <c r="G30" s="267">
        <f>TAXREC!E66</f>
        <v>1336415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1">
        <v>1562567</v>
      </c>
      <c r="D33" s="133"/>
      <c r="E33" s="267">
        <f aca="true" t="shared" si="0" ref="E33:E42">G33-C33</f>
        <v>91111</v>
      </c>
      <c r="F33" s="6"/>
      <c r="G33" s="267">
        <f>TAXREC!E97+TAXREC!E98</f>
        <v>1653678</v>
      </c>
      <c r="H33" s="152"/>
    </row>
    <row r="34" spans="1:8" ht="12.75">
      <c r="A34" s="159" t="s">
        <v>57</v>
      </c>
      <c r="B34" s="128">
        <v>8</v>
      </c>
      <c r="C34" s="261">
        <v>13548</v>
      </c>
      <c r="D34" s="133"/>
      <c r="E34" s="267">
        <f t="shared" si="0"/>
        <v>3172</v>
      </c>
      <c r="F34" s="6"/>
      <c r="G34" s="267">
        <f>TAXREC!E99</f>
        <v>16720</v>
      </c>
      <c r="H34" s="152"/>
    </row>
    <row r="35" spans="1:8" ht="12.75">
      <c r="A35" s="159" t="s">
        <v>45</v>
      </c>
      <c r="B35" s="128">
        <v>9</v>
      </c>
      <c r="C35" s="261">
        <v>0</v>
      </c>
      <c r="D35" s="133"/>
      <c r="E35" s="267">
        <f t="shared" si="0"/>
        <v>0</v>
      </c>
      <c r="F35" s="6"/>
      <c r="G35" s="267">
        <f>TAXREC!E100</f>
        <v>0</v>
      </c>
      <c r="H35" s="152"/>
    </row>
    <row r="36" spans="1:8" ht="12.75">
      <c r="A36" s="159" t="s">
        <v>266</v>
      </c>
      <c r="B36" s="128">
        <v>10</v>
      </c>
      <c r="C36" s="261"/>
      <c r="D36" s="133"/>
      <c r="E36" s="267">
        <f t="shared" si="0"/>
        <v>0</v>
      </c>
      <c r="F36" s="6"/>
      <c r="G36" s="267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0">
        <f>+REGINFO!D70</f>
        <v>1278624.89875</v>
      </c>
      <c r="D37" s="498"/>
      <c r="E37" s="267">
        <f t="shared" si="0"/>
        <v>-89790.89874999993</v>
      </c>
      <c r="F37" s="6"/>
      <c r="G37" s="495">
        <f>TAXREC!E51</f>
        <v>1188834</v>
      </c>
      <c r="H37" s="152"/>
    </row>
    <row r="38" spans="1:8" ht="12.75">
      <c r="A38" s="156" t="s">
        <v>262</v>
      </c>
      <c r="B38" s="126">
        <v>4</v>
      </c>
      <c r="C38" s="261"/>
      <c r="D38" s="133"/>
      <c r="E38" s="267">
        <f t="shared" si="0"/>
        <v>0</v>
      </c>
      <c r="F38" s="6"/>
      <c r="G38" s="267">
        <f>TAXREC!E104</f>
        <v>0</v>
      </c>
      <c r="H38" s="152"/>
    </row>
    <row r="39" spans="1:8" ht="12.75">
      <c r="A39" s="156" t="s">
        <v>261</v>
      </c>
      <c r="B39" s="126">
        <v>4</v>
      </c>
      <c r="C39" s="261"/>
      <c r="D39" s="133"/>
      <c r="E39" s="267">
        <f t="shared" si="0"/>
        <v>0</v>
      </c>
      <c r="F39" s="6"/>
      <c r="G39" s="267">
        <f>TAXREC!E105</f>
        <v>0</v>
      </c>
      <c r="H39" s="152"/>
    </row>
    <row r="40" spans="1:8" ht="12.75">
      <c r="A40" s="156" t="s">
        <v>12</v>
      </c>
      <c r="B40" s="126">
        <v>3</v>
      </c>
      <c r="C40" s="261"/>
      <c r="D40" s="133"/>
      <c r="E40" s="267">
        <f t="shared" si="0"/>
        <v>0</v>
      </c>
      <c r="F40" s="6"/>
      <c r="G40" s="267">
        <f>TAXREC!E106</f>
        <v>0</v>
      </c>
      <c r="H40" s="152"/>
    </row>
    <row r="41" spans="1:8" ht="12.75">
      <c r="A41" s="156" t="s">
        <v>13</v>
      </c>
      <c r="B41" s="126">
        <v>3</v>
      </c>
      <c r="C41" s="261"/>
      <c r="D41" s="133"/>
      <c r="E41" s="267">
        <f t="shared" si="0"/>
        <v>0</v>
      </c>
      <c r="F41" s="6"/>
      <c r="G41" s="267">
        <f>TAXREC!E107</f>
        <v>0</v>
      </c>
      <c r="H41" s="152"/>
    </row>
    <row r="42" spans="1:8" ht="12.75">
      <c r="A42" s="156" t="s">
        <v>184</v>
      </c>
      <c r="B42" s="126">
        <v>11</v>
      </c>
      <c r="C42" s="261"/>
      <c r="D42" s="133"/>
      <c r="E42" s="267">
        <f t="shared" si="0"/>
        <v>0</v>
      </c>
      <c r="F42" s="6"/>
      <c r="G42" s="267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1">
        <v>66837</v>
      </c>
      <c r="D44" s="133"/>
      <c r="E44" s="267">
        <f>G44-C44</f>
        <v>-66837</v>
      </c>
      <c r="F44" s="6"/>
      <c r="G44" s="251">
        <f>TAXREC!E130</f>
        <v>0</v>
      </c>
      <c r="H44" s="152"/>
    </row>
    <row r="45" spans="1:8" ht="12.75">
      <c r="A45" s="159" t="s">
        <v>153</v>
      </c>
      <c r="B45" s="128">
        <v>12</v>
      </c>
      <c r="C45" s="261">
        <v>35200</v>
      </c>
      <c r="D45" s="133"/>
      <c r="E45" s="267">
        <f>G45-C45</f>
        <v>-35200</v>
      </c>
      <c r="F45" s="6"/>
      <c r="G45" s="251">
        <f>TAXREC!E131</f>
        <v>0</v>
      </c>
      <c r="H45" s="152"/>
    </row>
    <row r="46" spans="1:8" ht="12.75">
      <c r="A46" s="159" t="s">
        <v>155</v>
      </c>
      <c r="B46" s="128">
        <v>12</v>
      </c>
      <c r="C46" s="261"/>
      <c r="D46" s="133"/>
      <c r="E46" s="267">
        <f>G46-C46</f>
        <v>36467</v>
      </c>
      <c r="F46" s="6"/>
      <c r="G46" s="251">
        <f>TAXREC!E110</f>
        <v>36467</v>
      </c>
      <c r="H46" s="152"/>
    </row>
    <row r="47" spans="1:8" ht="12.75">
      <c r="A47" s="159" t="s">
        <v>154</v>
      </c>
      <c r="B47" s="128">
        <v>12</v>
      </c>
      <c r="C47" s="261"/>
      <c r="D47" s="133"/>
      <c r="E47" s="267">
        <f>G47-C47</f>
        <v>0</v>
      </c>
      <c r="F47" s="6"/>
      <c r="G47" s="251">
        <f>TAXREC!E111</f>
        <v>0</v>
      </c>
      <c r="H47" s="152"/>
    </row>
    <row r="48" spans="1:8" ht="15">
      <c r="A48" s="483" t="s">
        <v>395</v>
      </c>
      <c r="B48" s="128"/>
      <c r="C48" s="259"/>
      <c r="D48" s="133"/>
      <c r="E48" s="267">
        <f>G48-C48</f>
        <v>1354775</v>
      </c>
      <c r="F48" s="6"/>
      <c r="G48" s="251">
        <f>TAXREC!E108</f>
        <v>1354775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3">
        <f>C16+SUM(C20:C30)-SUM(C33:C48)</f>
        <v>1863247.4212500006</v>
      </c>
      <c r="D50" s="103"/>
      <c r="E50" s="263">
        <f>E16+SUM(E20:E30)-SUM(E33:E48)</f>
        <v>-335685.4212499999</v>
      </c>
      <c r="F50" s="433" t="s">
        <v>367</v>
      </c>
      <c r="G50" s="263">
        <f>G16+SUM(G20:G30)-SUM(G33:G48)</f>
        <v>1527562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2">
        <f>IF($C$50&gt;'Tax Rates'!$E$11,'Tax Rates'!$F$16,IF($C$50&gt;'Tax Rates'!$C$11,'Tax Rates'!$E$16,'Tax Rates'!$C$16))</f>
        <v>0.3612</v>
      </c>
      <c r="D53" s="103"/>
      <c r="E53" s="268">
        <f>+G53-C53</f>
        <v>-0.023488130213425107</v>
      </c>
      <c r="F53" s="115"/>
      <c r="G53" s="474">
        <f>TAXREC!E151</f>
        <v>0.3377118697865749</v>
      </c>
      <c r="H53" s="152"/>
      <c r="I53" s="471" t="s">
        <v>472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4">
        <f>IF(C50&gt;0,C50*C53,0)</f>
        <v>673004.9685555003</v>
      </c>
      <c r="D55" s="103"/>
      <c r="E55" s="267">
        <f>G55-C55</f>
        <v>-157129.1493205803</v>
      </c>
      <c r="F55" s="433" t="s">
        <v>368</v>
      </c>
      <c r="G55" s="264">
        <f>TAXREC!E144</f>
        <v>515875.81923491997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5"/>
      <c r="D58" s="133"/>
      <c r="E58" s="267">
        <f>+G58-C58</f>
        <v>0</v>
      </c>
      <c r="F58" s="433" t="s">
        <v>368</v>
      </c>
      <c r="G58" s="270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6">
        <f>+C55-C58</f>
        <v>673004.9685555003</v>
      </c>
      <c r="D60" s="134"/>
      <c r="E60" s="269">
        <f>+E55-E58</f>
        <v>-157129.1493205803</v>
      </c>
      <c r="F60" s="433" t="s">
        <v>368</v>
      </c>
      <c r="G60" s="269">
        <f>+G55-G58</f>
        <v>515875.81923491997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4">
        <f>Ratebase</f>
        <v>35272411</v>
      </c>
      <c r="D66" s="103"/>
      <c r="E66" s="267">
        <f>G66-C66</f>
        <v>-221457</v>
      </c>
      <c r="F66" s="6"/>
      <c r="G66" s="476">
        <v>35050954</v>
      </c>
      <c r="H66" s="152"/>
      <c r="I66" s="477" t="s">
        <v>473</v>
      </c>
    </row>
    <row r="67" spans="1:10" ht="12.75">
      <c r="A67" s="153" t="s">
        <v>360</v>
      </c>
      <c r="B67" s="126">
        <v>16</v>
      </c>
      <c r="C67" s="260">
        <f>IF(C66&gt;0,'Tax Rates'!C21,0)</f>
        <v>7500000</v>
      </c>
      <c r="D67" s="103"/>
      <c r="E67" s="267">
        <f>G67-C67</f>
        <v>-544072</v>
      </c>
      <c r="F67" s="6"/>
      <c r="G67" s="267">
        <f>'Tax Rates'!C57</f>
        <v>6955928</v>
      </c>
      <c r="H67" s="152"/>
      <c r="I67" s="477" t="s">
        <v>473</v>
      </c>
      <c r="J67" s="478" t="s">
        <v>474</v>
      </c>
    </row>
    <row r="68" spans="1:8" ht="12.75">
      <c r="A68" s="153" t="s">
        <v>42</v>
      </c>
      <c r="B68" s="126"/>
      <c r="C68" s="264">
        <f>IF((C66-C67)&gt;0,C66-C67,0)</f>
        <v>27772411</v>
      </c>
      <c r="D68" s="103"/>
      <c r="E68" s="267">
        <f>SUM(E66:E67)</f>
        <v>-765529</v>
      </c>
      <c r="F68" s="115"/>
      <c r="G68" s="264">
        <f>G66-G67</f>
        <v>28095026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1">
        <f>'Tax Rates'!C18</f>
        <v>0.003</v>
      </c>
      <c r="D70" s="103"/>
      <c r="E70" s="268">
        <f>+G70-C70</f>
        <v>0</v>
      </c>
      <c r="F70" s="6"/>
      <c r="G70" s="301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4">
        <f>IF(C68&gt;0,C68*C70,0)*REGINFO!$B$6/REGINFO!$B$7</f>
        <v>83317.23300000001</v>
      </c>
      <c r="D72" s="102"/>
      <c r="E72" s="267">
        <f>+G72-C72</f>
        <v>967.8450000000012</v>
      </c>
      <c r="F72" s="479"/>
      <c r="G72" s="264">
        <f>IF(G68&gt;0,G68*G70,0)*REGINFO!$B$6/REGINFO!$B$7</f>
        <v>84285.07800000001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4">
        <f>Ratebase</f>
        <v>35272411</v>
      </c>
      <c r="D75" s="103"/>
      <c r="E75" s="267">
        <f>+G75-C75</f>
        <v>-35272411</v>
      </c>
      <c r="F75" s="6"/>
      <c r="G75" s="476">
        <v>0</v>
      </c>
      <c r="H75" s="152"/>
      <c r="I75" s="477" t="s">
        <v>473</v>
      </c>
    </row>
    <row r="76" spans="1:9" ht="12.75">
      <c r="A76" s="153" t="s">
        <v>360</v>
      </c>
      <c r="B76" s="126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2"/>
      <c r="I76" s="477" t="s">
        <v>473</v>
      </c>
    </row>
    <row r="77" spans="1:8" ht="12.75">
      <c r="A77" s="153" t="s">
        <v>42</v>
      </c>
      <c r="B77" s="126"/>
      <c r="C77" s="264">
        <f>IF((C75-C76)&gt;0,C75-C76,0)</f>
        <v>0</v>
      </c>
      <c r="D77" s="19"/>
      <c r="E77" s="267">
        <f>SUM(E75:E76)</f>
        <v>-39277411</v>
      </c>
      <c r="F77" s="115"/>
      <c r="G77" s="264">
        <f>IF(G76&gt;G75,0,G75-G76)</f>
        <v>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1">
        <f>'Tax Rates'!C19</f>
        <v>0.00175</v>
      </c>
      <c r="D79" s="103"/>
      <c r="E79" s="268">
        <f>G79-C79</f>
        <v>0.00025</v>
      </c>
      <c r="F79" s="6"/>
      <c r="G79" s="268">
        <f>'Tax Rates'!C55</f>
        <v>0.002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4">
        <f>IF(C77&gt;0,C77*C79,0)*REGINFO!$B$6/REGINFO!$B$7</f>
        <v>0</v>
      </c>
      <c r="D81" s="103"/>
      <c r="E81" s="267">
        <f>+G81-C81</f>
        <v>0</v>
      </c>
      <c r="F81" s="6"/>
      <c r="G81" s="264">
        <f>G77*G79*B9/B10</f>
        <v>0</v>
      </c>
      <c r="H81" s="152"/>
    </row>
    <row r="82" spans="1:8" ht="12.75">
      <c r="A82" s="153" t="s">
        <v>319</v>
      </c>
      <c r="B82" s="126">
        <v>21</v>
      </c>
      <c r="C82" s="300">
        <f>IF(C77&gt;0,IF(C60&gt;0,C50*'Tax Rates'!C20,0),0)</f>
        <v>0</v>
      </c>
      <c r="D82" s="103"/>
      <c r="E82" s="267">
        <f>+G82-C82</f>
        <v>0</v>
      </c>
      <c r="F82" s="6"/>
      <c r="G82" s="300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4">
        <f>C81-C82</f>
        <v>0</v>
      </c>
      <c r="D84" s="16"/>
      <c r="E84" s="267">
        <f>E81-E82</f>
        <v>0</v>
      </c>
      <c r="F84" s="104"/>
      <c r="G84" s="264">
        <f>G81-G82</f>
        <v>0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8"/>
      <c r="H87" s="152"/>
    </row>
    <row r="88" spans="1:8" ht="12.75">
      <c r="A88" s="153" t="s">
        <v>227</v>
      </c>
      <c r="B88" s="126"/>
      <c r="C88" s="262">
        <f>IF($C$50&gt;'Tax Rates'!$E$11,'Tax Rates'!$F$16,IF(AND($C$50&gt;='Tax Rates'!$C$11,$C$50&lt;='Tax Rates'!E11),'Tax Rates'!$E$16,'Tax Rates'!$C$16))</f>
        <v>0.3612</v>
      </c>
      <c r="D88" s="11"/>
      <c r="E88" s="115"/>
      <c r="F88" s="6"/>
      <c r="G88" s="198"/>
      <c r="H88" s="152"/>
    </row>
    <row r="89" spans="1:8" ht="12.75">
      <c r="A89" s="151"/>
      <c r="B89" s="130"/>
      <c r="C89" s="111"/>
      <c r="D89" s="11"/>
      <c r="E89" s="115"/>
      <c r="F89" s="6"/>
      <c r="G89" s="198"/>
      <c r="H89" s="152"/>
    </row>
    <row r="90" spans="1:8" ht="12.75">
      <c r="A90" s="159" t="s">
        <v>369</v>
      </c>
      <c r="B90" s="128">
        <v>22</v>
      </c>
      <c r="C90" s="264">
        <f>C60/(1-C88)</f>
        <v>1053545.66148325</v>
      </c>
      <c r="D90" s="20"/>
      <c r="E90" s="140"/>
      <c r="F90" s="432" t="s">
        <v>495</v>
      </c>
      <c r="G90" s="270">
        <f>TAXREC!E156</f>
        <v>515875.81923491997</v>
      </c>
      <c r="H90" s="152"/>
    </row>
    <row r="91" spans="1:8" ht="12.75">
      <c r="A91" s="159" t="s">
        <v>370</v>
      </c>
      <c r="B91" s="128">
        <v>23</v>
      </c>
      <c r="C91" s="264">
        <f>C84/(1-C88)</f>
        <v>0</v>
      </c>
      <c r="D91" s="20"/>
      <c r="E91" s="140"/>
      <c r="F91" s="432" t="s">
        <v>495</v>
      </c>
      <c r="G91" s="270">
        <f>TAXREC!E158</f>
        <v>0</v>
      </c>
      <c r="H91" s="152"/>
    </row>
    <row r="92" spans="1:8" ht="12.75">
      <c r="A92" s="159" t="s">
        <v>348</v>
      </c>
      <c r="B92" s="128">
        <v>24</v>
      </c>
      <c r="C92" s="264">
        <f>C72</f>
        <v>83317.23300000001</v>
      </c>
      <c r="D92" s="20"/>
      <c r="E92" s="140"/>
      <c r="F92" s="432" t="s">
        <v>495</v>
      </c>
      <c r="G92" s="270">
        <f>TAXREC!E157</f>
        <v>84285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496</v>
      </c>
      <c r="B95" s="126">
        <v>25</v>
      </c>
      <c r="C95" s="269">
        <f>SUM(C90:C93)</f>
        <v>1136862.89448325</v>
      </c>
      <c r="D95" s="6"/>
      <c r="E95" s="140"/>
      <c r="F95" s="432" t="s">
        <v>495</v>
      </c>
      <c r="G95" s="415">
        <f>SUM(G90:G94)</f>
        <v>600160.81923492</v>
      </c>
      <c r="H95" s="165"/>
    </row>
    <row r="96" spans="1:8" ht="12.75">
      <c r="A96" s="405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199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0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0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0"/>
      <c r="H101" s="165"/>
    </row>
    <row r="102" spans="1:8" ht="12.75">
      <c r="A102" s="159" t="s">
        <v>56</v>
      </c>
      <c r="B102" s="128">
        <v>3</v>
      </c>
      <c r="C102" s="113"/>
      <c r="D102" s="3"/>
      <c r="E102" s="251">
        <f>E21</f>
        <v>13772</v>
      </c>
      <c r="F102" s="37"/>
      <c r="G102" s="201"/>
      <c r="H102" s="165"/>
    </row>
    <row r="103" spans="1:8" ht="12.75">
      <c r="A103" s="159" t="s">
        <v>10</v>
      </c>
      <c r="B103" s="128">
        <v>4</v>
      </c>
      <c r="C103" s="113"/>
      <c r="D103" s="3"/>
      <c r="E103" s="251">
        <f>E22</f>
        <v>70004</v>
      </c>
      <c r="F103" s="37"/>
      <c r="G103" s="201"/>
      <c r="H103" s="165"/>
    </row>
    <row r="104" spans="1:8" ht="12.75">
      <c r="A104" s="159" t="s">
        <v>100</v>
      </c>
      <c r="B104" s="128">
        <v>4</v>
      </c>
      <c r="C104" s="113"/>
      <c r="D104" s="3"/>
      <c r="E104" s="251">
        <f>E23</f>
        <v>0</v>
      </c>
      <c r="F104" s="37"/>
      <c r="G104" s="201"/>
      <c r="H104" s="165"/>
    </row>
    <row r="105" spans="1:8" ht="12.75">
      <c r="A105" s="159" t="s">
        <v>44</v>
      </c>
      <c r="B105" s="128">
        <v>5</v>
      </c>
      <c r="C105" s="113"/>
      <c r="D105" s="3"/>
      <c r="E105" s="251">
        <f>E24</f>
        <v>0</v>
      </c>
      <c r="F105" s="37"/>
      <c r="G105" s="201"/>
      <c r="H105" s="165"/>
    </row>
    <row r="106" spans="1:8" ht="12.75">
      <c r="A106" s="159" t="s">
        <v>363</v>
      </c>
      <c r="B106" s="128">
        <v>6</v>
      </c>
      <c r="C106" s="113"/>
      <c r="D106" s="3"/>
      <c r="E106" s="251">
        <f>E26</f>
        <v>-52983</v>
      </c>
      <c r="F106" s="37"/>
      <c r="G106" s="201"/>
      <c r="H106" s="165"/>
    </row>
    <row r="107" spans="1:8" ht="12.75">
      <c r="A107" s="159" t="s">
        <v>364</v>
      </c>
      <c r="B107" s="128">
        <v>6</v>
      </c>
      <c r="C107" s="113"/>
      <c r="D107" s="3"/>
      <c r="E107" s="251">
        <f>E28</f>
        <v>0</v>
      </c>
      <c r="F107" s="37"/>
      <c r="G107" s="201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1"/>
      <c r="H108" s="165"/>
    </row>
    <row r="109" spans="1:8" ht="12.75">
      <c r="A109" s="159" t="s">
        <v>57</v>
      </c>
      <c r="B109" s="128">
        <v>8</v>
      </c>
      <c r="C109" s="113"/>
      <c r="D109" s="3"/>
      <c r="E109" s="251">
        <f>E34</f>
        <v>3172</v>
      </c>
      <c r="F109" s="37"/>
      <c r="G109" s="201"/>
      <c r="H109" s="165"/>
    </row>
    <row r="110" spans="1:8" ht="12.75">
      <c r="A110" s="159" t="s">
        <v>45</v>
      </c>
      <c r="B110" s="128">
        <v>9</v>
      </c>
      <c r="C110" s="113"/>
      <c r="D110" s="3"/>
      <c r="E110" s="251">
        <f>E35</f>
        <v>0</v>
      </c>
      <c r="F110" s="37"/>
      <c r="G110" s="201"/>
      <c r="H110" s="165"/>
    </row>
    <row r="111" spans="1:8" ht="12.75">
      <c r="A111" s="159" t="s">
        <v>44</v>
      </c>
      <c r="B111" s="128">
        <v>10</v>
      </c>
      <c r="C111" s="113"/>
      <c r="D111" s="3"/>
      <c r="E111" s="251">
        <f>E36</f>
        <v>0</v>
      </c>
      <c r="F111" s="37"/>
      <c r="G111" s="201"/>
      <c r="H111" s="165"/>
    </row>
    <row r="112" spans="1:8" ht="12.75">
      <c r="A112" s="156" t="s">
        <v>480</v>
      </c>
      <c r="B112" s="128">
        <v>11</v>
      </c>
      <c r="C112" s="113"/>
      <c r="D112" s="3"/>
      <c r="E112" s="473">
        <f>+E206</f>
        <v>-89791</v>
      </c>
      <c r="F112" s="500"/>
      <c r="G112" s="201"/>
      <c r="H112" s="165"/>
    </row>
    <row r="113" spans="1:8" ht="12.75">
      <c r="A113" s="156" t="s">
        <v>15</v>
      </c>
      <c r="B113" s="126">
        <v>4</v>
      </c>
      <c r="C113" s="113"/>
      <c r="D113" s="3"/>
      <c r="E113" s="251">
        <f>E38</f>
        <v>0</v>
      </c>
      <c r="F113" s="37"/>
      <c r="G113" s="201"/>
      <c r="H113" s="165"/>
    </row>
    <row r="114" spans="1:8" ht="12.75">
      <c r="A114" s="156" t="s">
        <v>101</v>
      </c>
      <c r="B114" s="126">
        <v>4</v>
      </c>
      <c r="C114" s="113"/>
      <c r="D114" s="3"/>
      <c r="E114" s="251">
        <f>E39</f>
        <v>0</v>
      </c>
      <c r="F114" s="37"/>
      <c r="G114" s="201"/>
      <c r="H114" s="165"/>
    </row>
    <row r="115" spans="1:8" ht="12.75">
      <c r="A115" s="156" t="s">
        <v>12</v>
      </c>
      <c r="B115" s="126">
        <v>3</v>
      </c>
      <c r="C115" s="113"/>
      <c r="D115" s="3"/>
      <c r="E115" s="251">
        <f>E40</f>
        <v>0</v>
      </c>
      <c r="F115" s="37"/>
      <c r="G115" s="201"/>
      <c r="H115" s="165"/>
    </row>
    <row r="116" spans="1:8" ht="12.75">
      <c r="A116" s="156" t="s">
        <v>13</v>
      </c>
      <c r="B116" s="126">
        <v>3</v>
      </c>
      <c r="C116" s="113"/>
      <c r="D116" s="3"/>
      <c r="E116" s="251">
        <f>E41</f>
        <v>0</v>
      </c>
      <c r="F116" s="37"/>
      <c r="G116" s="201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1">
        <f>E44</f>
        <v>-66837</v>
      </c>
      <c r="F117" s="37"/>
      <c r="G117" s="201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1">
        <f>E46</f>
        <v>36467</v>
      </c>
      <c r="F118" s="37"/>
      <c r="G118" s="201"/>
      <c r="H118" s="165"/>
    </row>
    <row r="119" spans="1:8" ht="12.75">
      <c r="A119" s="159"/>
      <c r="B119" s="128"/>
      <c r="C119" s="113"/>
      <c r="D119" s="3"/>
      <c r="E119" s="111"/>
      <c r="F119" s="37"/>
      <c r="G119" s="201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4">
        <f>SUM(E102:E107)-SUM(E109:E118)</f>
        <v>147782</v>
      </c>
      <c r="F120" s="37"/>
      <c r="G120" s="201"/>
      <c r="H120" s="165"/>
    </row>
    <row r="121" spans="1:8" ht="12.75">
      <c r="A121" s="153"/>
      <c r="B121" s="128"/>
      <c r="C121" s="113"/>
      <c r="D121" s="118"/>
      <c r="E121" s="111"/>
      <c r="F121" s="37"/>
      <c r="G121" s="201"/>
      <c r="H121" s="165"/>
    </row>
    <row r="122" spans="1:8" ht="12.75">
      <c r="A122" s="158" t="s">
        <v>498</v>
      </c>
      <c r="B122" s="128"/>
      <c r="C122" s="113"/>
      <c r="D122" s="3" t="s">
        <v>231</v>
      </c>
      <c r="E122" s="470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71"/>
      <c r="G122" s="201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1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4">
        <f>E120*E122</f>
        <v>51723.700000000004</v>
      </c>
      <c r="F124" s="37"/>
      <c r="G124" s="201"/>
      <c r="H124" s="165"/>
    </row>
    <row r="125" spans="1:8" ht="12.75">
      <c r="A125" s="159"/>
      <c r="B125" s="128"/>
      <c r="C125" s="113"/>
      <c r="D125" s="3"/>
      <c r="E125" s="111"/>
      <c r="F125" s="37"/>
      <c r="G125" s="201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4">
        <f>E58</f>
        <v>0</v>
      </c>
      <c r="F126" s="37"/>
      <c r="G126" s="201"/>
      <c r="H126" s="165"/>
    </row>
    <row r="127" spans="1:8" ht="12.75">
      <c r="A127" s="159"/>
      <c r="B127" s="128"/>
      <c r="C127" s="113"/>
      <c r="D127" s="3"/>
      <c r="E127" s="111"/>
      <c r="F127" s="37"/>
      <c r="G127" s="201"/>
      <c r="H127" s="165"/>
    </row>
    <row r="128" spans="1:8" ht="12.75">
      <c r="A128" s="159" t="s">
        <v>117</v>
      </c>
      <c r="B128" s="128"/>
      <c r="C128" s="113"/>
      <c r="D128" s="3"/>
      <c r="E128" s="264">
        <f>E124-E126</f>
        <v>51723.700000000004</v>
      </c>
      <c r="F128" s="37"/>
      <c r="G128" s="201"/>
      <c r="H128" s="165"/>
    </row>
    <row r="129" spans="1:8" ht="12.75">
      <c r="A129" s="168"/>
      <c r="B129" s="128"/>
      <c r="C129" s="113"/>
      <c r="D129" s="3"/>
      <c r="E129" s="111"/>
      <c r="F129" s="37"/>
      <c r="G129" s="201"/>
      <c r="H129" s="165"/>
    </row>
    <row r="130" spans="1:8" ht="12.75">
      <c r="A130" s="153" t="s">
        <v>196</v>
      </c>
      <c r="B130" s="128"/>
      <c r="C130" s="113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5"/>
    </row>
    <row r="131" spans="1:8" ht="12.75">
      <c r="A131" s="151"/>
      <c r="B131" s="128"/>
      <c r="C131" s="113"/>
      <c r="D131" s="3"/>
      <c r="E131" s="111"/>
      <c r="F131" s="37"/>
      <c r="G131" s="201"/>
      <c r="H131" s="165"/>
    </row>
    <row r="132" spans="1:8" ht="12.75">
      <c r="A132" s="169" t="s">
        <v>352</v>
      </c>
      <c r="B132" s="131"/>
      <c r="C132" s="113"/>
      <c r="D132" s="3"/>
      <c r="E132" s="487">
        <f>E128/(1-E130)</f>
        <v>79574.92307692309</v>
      </c>
      <c r="F132" s="37"/>
      <c r="G132" s="201"/>
      <c r="H132" s="165"/>
    </row>
    <row r="133" spans="1:8" ht="12.75">
      <c r="A133" s="169"/>
      <c r="B133" s="131"/>
      <c r="C133" s="113"/>
      <c r="D133" s="3"/>
      <c r="E133" s="108"/>
      <c r="F133" s="37"/>
      <c r="G133" s="201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1"/>
      <c r="H134" s="165"/>
    </row>
    <row r="135" spans="1:8" ht="12.75">
      <c r="A135" s="171"/>
      <c r="B135" s="131"/>
      <c r="C135" s="113"/>
      <c r="D135" s="3"/>
      <c r="E135" s="108"/>
      <c r="F135" s="37"/>
      <c r="G135" s="201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2">
        <f>C50</f>
        <v>1863247.4212500006</v>
      </c>
      <c r="F136" s="37"/>
      <c r="G136" s="201"/>
      <c r="H136" s="165"/>
    </row>
    <row r="137" spans="1:8" ht="12.75">
      <c r="A137" s="172"/>
      <c r="B137" s="131"/>
      <c r="C137" s="113"/>
      <c r="D137" s="120"/>
      <c r="E137" s="146"/>
      <c r="F137" s="37"/>
      <c r="G137" s="201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5"/>
    </row>
    <row r="139" spans="1:8" ht="12.75">
      <c r="A139" s="172"/>
      <c r="B139" s="131"/>
      <c r="C139" s="113"/>
      <c r="D139" s="120"/>
      <c r="E139" s="145"/>
      <c r="F139" s="37"/>
      <c r="G139" s="201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3">
        <f>IF(E136&gt;0,E136*E138,0)</f>
        <v>673004.9685555003</v>
      </c>
      <c r="F140" s="37"/>
      <c r="G140" s="201"/>
      <c r="H140" s="165"/>
    </row>
    <row r="141" spans="1:8" ht="12.75">
      <c r="A141" s="172"/>
      <c r="B141" s="131"/>
      <c r="C141" s="113"/>
      <c r="D141" s="120"/>
      <c r="E141" s="145"/>
      <c r="F141" s="37"/>
      <c r="G141" s="201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4">
        <f>TAXREC!E145</f>
        <v>0</v>
      </c>
      <c r="F142" s="37"/>
      <c r="G142" s="201"/>
      <c r="H142" s="165"/>
    </row>
    <row r="143" spans="1:8" ht="12.75">
      <c r="A143" s="172"/>
      <c r="B143" s="131"/>
      <c r="C143" s="113"/>
      <c r="D143" s="120"/>
      <c r="E143" s="145"/>
      <c r="F143" s="37"/>
      <c r="G143" s="201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2">
        <f>E140-E142</f>
        <v>673004.9685555003</v>
      </c>
      <c r="F144" s="37"/>
      <c r="G144" s="201"/>
      <c r="H144" s="165"/>
    </row>
    <row r="145" spans="1:8" ht="12.75">
      <c r="A145" s="172"/>
      <c r="B145" s="131"/>
      <c r="C145" s="113"/>
      <c r="D145" s="120"/>
      <c r="E145" s="145"/>
      <c r="F145" s="37"/>
      <c r="G145" s="201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2">
        <f>C60</f>
        <v>673004.9685555003</v>
      </c>
      <c r="F146" s="37"/>
      <c r="G146" s="201"/>
      <c r="H146" s="165"/>
    </row>
    <row r="147" spans="1:8" ht="12.75">
      <c r="A147" s="172"/>
      <c r="B147" s="131"/>
      <c r="C147" s="113"/>
      <c r="D147" s="120"/>
      <c r="E147" s="145"/>
      <c r="F147" s="37"/>
      <c r="G147" s="201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2">
        <f>E144-E146</f>
        <v>0</v>
      </c>
      <c r="F148" s="37"/>
      <c r="G148" s="201"/>
      <c r="H148" s="165"/>
    </row>
    <row r="149" spans="1:8" ht="12.75">
      <c r="A149" s="172"/>
      <c r="B149" s="131"/>
      <c r="C149" s="113"/>
      <c r="D149" s="120"/>
      <c r="E149" s="145"/>
      <c r="F149" s="37"/>
      <c r="G149" s="201"/>
      <c r="H149" s="165"/>
    </row>
    <row r="150" spans="1:8" ht="12.75">
      <c r="A150" s="388" t="s">
        <v>20</v>
      </c>
      <c r="B150" s="131"/>
      <c r="C150" s="113"/>
      <c r="D150" s="120"/>
      <c r="E150" s="482"/>
      <c r="F150" s="37"/>
      <c r="G150" s="201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2">
        <f>C66</f>
        <v>35272411</v>
      </c>
      <c r="F151" s="37"/>
      <c r="G151" s="201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5">
        <f>IF(E151&gt;0,'Tax Rates'!C39,0)</f>
        <v>7500000</v>
      </c>
      <c r="F152" s="37"/>
      <c r="G152" s="201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2">
        <f>E151-E152</f>
        <v>27772411</v>
      </c>
      <c r="F153" s="37"/>
      <c r="G153" s="201"/>
      <c r="H153" s="165"/>
    </row>
    <row r="154" spans="1:8" ht="12.75">
      <c r="A154" s="172"/>
      <c r="B154" s="131"/>
      <c r="C154" s="113"/>
      <c r="D154" s="120"/>
      <c r="E154" s="145"/>
      <c r="F154" s="37"/>
      <c r="G154" s="201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6">
        <f>'Tax Rates'!C54</f>
        <v>0.003</v>
      </c>
      <c r="F155" s="37"/>
      <c r="G155" s="201"/>
      <c r="H155" s="165"/>
    </row>
    <row r="156" spans="1:8" ht="12.75">
      <c r="A156" s="172"/>
      <c r="B156" s="131"/>
      <c r="C156" s="113"/>
      <c r="D156" s="120"/>
      <c r="E156" s="145"/>
      <c r="F156" s="37"/>
      <c r="G156" s="201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2">
        <f>IF(E153&gt;0,E153*E155*B9/B10,0)</f>
        <v>83317.23300000001</v>
      </c>
      <c r="F157" s="37"/>
      <c r="G157" s="201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5">
        <f>C72</f>
        <v>83317.23300000001</v>
      </c>
      <c r="F158" s="37"/>
      <c r="G158" s="201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5">
        <f>E157-E158</f>
        <v>0</v>
      </c>
      <c r="F159" s="37"/>
      <c r="G159" s="201"/>
      <c r="H159" s="165"/>
    </row>
    <row r="160" spans="1:8" ht="12.75">
      <c r="A160" s="172"/>
      <c r="B160" s="131"/>
      <c r="C160" s="113"/>
      <c r="D160" s="120"/>
      <c r="E160" s="145"/>
      <c r="F160" s="37"/>
      <c r="G160" s="201"/>
      <c r="H160" s="165"/>
    </row>
    <row r="161" spans="1:8" ht="12.75">
      <c r="A161" s="388" t="s">
        <v>236</v>
      </c>
      <c r="B161" s="131"/>
      <c r="C161" s="113"/>
      <c r="D161" s="120"/>
      <c r="E161" s="304"/>
      <c r="F161" s="37"/>
      <c r="G161" s="201"/>
      <c r="H161" s="165"/>
    </row>
    <row r="162" spans="1:8" ht="12.75">
      <c r="A162" s="172" t="s">
        <v>17</v>
      </c>
      <c r="B162" s="131"/>
      <c r="C162" s="113"/>
      <c r="D162" s="120"/>
      <c r="E162" s="302">
        <f>C75</f>
        <v>35272411</v>
      </c>
      <c r="F162" s="37"/>
      <c r="G162" s="201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5">
        <f>IF(E162&gt;0,'Tax Rates'!C40,0)</f>
        <v>50000000</v>
      </c>
      <c r="F163" s="37"/>
      <c r="G163" s="201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2">
        <f>E162-E163</f>
        <v>-14727589</v>
      </c>
      <c r="F164" s="37"/>
      <c r="G164" s="201"/>
      <c r="H164" s="165"/>
    </row>
    <row r="165" spans="1:8" ht="12.75">
      <c r="A165" s="172"/>
      <c r="B165" s="131"/>
      <c r="C165" s="113"/>
      <c r="D165" s="120"/>
      <c r="E165" s="145"/>
      <c r="F165" s="37"/>
      <c r="G165" s="201"/>
      <c r="H165" s="165"/>
    </row>
    <row r="166" spans="1:8" ht="12.75">
      <c r="A166" s="172" t="s">
        <v>310</v>
      </c>
      <c r="B166" s="131"/>
      <c r="C166" s="113"/>
      <c r="D166" s="120"/>
      <c r="E166" s="306">
        <f>'Tax Rates'!C55</f>
        <v>0.002</v>
      </c>
      <c r="F166" s="37"/>
      <c r="G166" s="201"/>
      <c r="H166" s="165"/>
    </row>
    <row r="167" spans="1:8" ht="12.75">
      <c r="A167" s="172"/>
      <c r="B167" s="131"/>
      <c r="C167" s="113"/>
      <c r="D167" s="120"/>
      <c r="E167" s="145"/>
      <c r="F167" s="37"/>
      <c r="G167" s="201"/>
      <c r="H167" s="165"/>
    </row>
    <row r="168" spans="1:8" ht="12.75">
      <c r="A168" s="172" t="s">
        <v>241</v>
      </c>
      <c r="B168" s="131"/>
      <c r="C168" s="113"/>
      <c r="D168" s="120"/>
      <c r="E168" s="302">
        <f>IF(E164&gt;0,E164*E166*B9/B10,0)</f>
        <v>0</v>
      </c>
      <c r="F168" s="37"/>
      <c r="G168" s="201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7">
        <f>IF(E164&gt;0,IF(E144&gt;0,E136*'Tax Rates'!C56,0),0)</f>
        <v>0</v>
      </c>
      <c r="F169" s="37"/>
      <c r="G169" s="201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2">
        <f>E168-E169</f>
        <v>0</v>
      </c>
      <c r="F170" s="37"/>
      <c r="G170" s="201"/>
      <c r="H170" s="165"/>
    </row>
    <row r="171" spans="1:8" ht="12.75">
      <c r="A171" s="172"/>
      <c r="B171" s="131"/>
      <c r="C171" s="113"/>
      <c r="D171" s="120"/>
      <c r="E171" s="241"/>
      <c r="F171" s="37"/>
      <c r="G171" s="201"/>
      <c r="H171" s="165"/>
    </row>
    <row r="172" spans="1:8" ht="12.75">
      <c r="A172" s="416" t="s">
        <v>347</v>
      </c>
      <c r="B172" s="131"/>
      <c r="C172" s="113"/>
      <c r="D172" s="119" t="s">
        <v>188</v>
      </c>
      <c r="E172" s="305">
        <f>C84</f>
        <v>0</v>
      </c>
      <c r="F172" s="37"/>
      <c r="G172" s="201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5">
        <f>E170-E172</f>
        <v>0</v>
      </c>
      <c r="F173" s="37"/>
      <c r="G173" s="201"/>
      <c r="H173" s="165"/>
    </row>
    <row r="174" spans="1:8" ht="12.75">
      <c r="A174" s="156"/>
      <c r="B174" s="131"/>
      <c r="C174" s="113"/>
      <c r="D174" s="120"/>
      <c r="E174" s="145"/>
      <c r="F174" s="37"/>
      <c r="G174" s="201"/>
      <c r="H174" s="165"/>
    </row>
    <row r="175" spans="1:8" ht="12.75">
      <c r="A175" s="156" t="s">
        <v>345</v>
      </c>
      <c r="B175" s="131"/>
      <c r="C175" s="113"/>
      <c r="D175" s="120"/>
      <c r="E175" s="470">
        <f>IF((E120+G50)&gt;'Tax Rates'!E47,'Tax Rates'!F52-1.12%,IF((E120+G50)&gt;'Tax Rates'!D47,'Tax Rates'!E52-1.12%,IF((E120+G50)&gt;'Tax Rates'!C47,'Tax Rates'!D52,'Tax Rates'!C52-1.12%)))</f>
        <v>0.35000000000000003</v>
      </c>
      <c r="F175" s="471"/>
      <c r="G175" s="201"/>
      <c r="H175" s="165"/>
    </row>
    <row r="176" spans="1:8" ht="12.75">
      <c r="A176" s="156"/>
      <c r="B176" s="131"/>
      <c r="C176" s="113"/>
      <c r="D176" s="120"/>
      <c r="E176" s="145"/>
      <c r="F176" s="37"/>
      <c r="G176" s="201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2">
        <f>E148/(1-E175)</f>
        <v>0</v>
      </c>
      <c r="F177" s="37"/>
      <c r="G177" s="201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2">
        <f>IF(E164&gt;0,E173/(1-E175),-C91)</f>
        <v>0</v>
      </c>
      <c r="F178" s="37"/>
      <c r="G178" s="201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2">
        <f>E159</f>
        <v>0</v>
      </c>
      <c r="F179" s="37"/>
      <c r="G179" s="201"/>
      <c r="H179" s="165"/>
    </row>
    <row r="180" spans="1:8" ht="12.75">
      <c r="A180" s="156"/>
      <c r="B180" s="131"/>
      <c r="C180" s="113"/>
      <c r="D180" s="120"/>
      <c r="E180" s="145"/>
      <c r="F180" s="37"/>
      <c r="G180" s="201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6">
        <f>SUM(E177:E179)</f>
        <v>0</v>
      </c>
      <c r="F181" s="37"/>
      <c r="G181" s="201"/>
      <c r="H181" s="165"/>
    </row>
    <row r="182" spans="1:8" ht="12.75">
      <c r="A182" s="156"/>
      <c r="B182" s="131"/>
      <c r="C182" s="113"/>
      <c r="D182" s="120"/>
      <c r="E182" s="145"/>
      <c r="F182" s="37"/>
      <c r="G182" s="201"/>
      <c r="H182" s="165"/>
    </row>
    <row r="183" spans="1:8" ht="12.75">
      <c r="A183" s="169" t="s">
        <v>479</v>
      </c>
      <c r="B183" s="131"/>
      <c r="C183" s="113"/>
      <c r="D183" s="120" t="s">
        <v>187</v>
      </c>
      <c r="E183" s="486">
        <f>E132</f>
        <v>79574.92307692309</v>
      </c>
      <c r="F183" s="37" t="s">
        <v>102</v>
      </c>
      <c r="G183" s="201"/>
      <c r="H183" s="165"/>
    </row>
    <row r="184" spans="1:8" ht="12.75">
      <c r="A184" s="169"/>
      <c r="B184" s="131"/>
      <c r="C184" s="113"/>
      <c r="D184" s="120"/>
      <c r="E184" s="145"/>
      <c r="F184" s="37"/>
      <c r="G184" s="201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6">
        <f>E181+E183</f>
        <v>79574.92307692309</v>
      </c>
      <c r="F185" s="37"/>
      <c r="G185" s="201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1"/>
      <c r="H186" s="165"/>
    </row>
    <row r="187" spans="1:8" ht="12.75">
      <c r="A187" s="163"/>
      <c r="B187" s="128"/>
      <c r="C187" s="113"/>
      <c r="D187" s="120"/>
      <c r="E187" s="148"/>
      <c r="F187" s="37"/>
      <c r="G187" s="201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1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499"/>
      <c r="E193" s="308">
        <f>+E202</f>
        <v>1278625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499"/>
      <c r="E194" s="308">
        <v>1278625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8">
        <f>E193-E194</f>
        <v>0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2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2"/>
      <c r="H200" s="165"/>
    </row>
    <row r="201" spans="1:8" ht="12.75">
      <c r="A201" s="156" t="s">
        <v>252</v>
      </c>
      <c r="B201" s="128"/>
      <c r="C201" s="113"/>
      <c r="D201" s="499"/>
      <c r="E201" s="308">
        <f>G37+G42</f>
        <v>1188834</v>
      </c>
      <c r="F201" s="3"/>
      <c r="G201" s="492"/>
      <c r="H201" s="165"/>
    </row>
    <row r="202" spans="1:8" ht="12.75">
      <c r="A202" s="156" t="s">
        <v>500</v>
      </c>
      <c r="B202" s="128"/>
      <c r="C202" s="113"/>
      <c r="D202" s="499"/>
      <c r="E202" s="308">
        <v>1278625</v>
      </c>
      <c r="F202" s="496" t="s">
        <v>501</v>
      </c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3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481</v>
      </c>
      <c r="B206" s="128"/>
      <c r="C206" s="113"/>
      <c r="D206" s="121"/>
      <c r="E206" s="472">
        <f>+E201-E202</f>
        <v>-89791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09">
        <f>+E196-E204</f>
        <v>0</v>
      </c>
      <c r="F208" s="75"/>
      <c r="G208" s="202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91">
      <selection activeCell="D52" sqref="D5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36847936</v>
      </c>
      <c r="D31" s="286"/>
      <c r="E31" s="284">
        <f>C31-D31</f>
        <v>36847936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8883939</v>
      </c>
      <c r="D32" s="286"/>
      <c r="E32" s="284">
        <f>C32-D32</f>
        <v>8883939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1116930</v>
      </c>
      <c r="D33" s="286">
        <v>47698</v>
      </c>
      <c r="E33" s="284">
        <f>C33-D33</f>
        <v>1069232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36847936</v>
      </c>
      <c r="D39" s="286"/>
      <c r="E39" s="284">
        <f>C39-D39</f>
        <v>36847936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3489322+1514086+2704632+517652+753768+260991</f>
        <v>9240451</v>
      </c>
      <c r="D40" s="286"/>
      <c r="E40" s="284">
        <f aca="true" t="shared" si="0" ref="E40:E48">C40-D40</f>
        <v>9240451</v>
      </c>
      <c r="F40" s="11"/>
      <c r="G40" s="488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1884106</v>
      </c>
      <c r="D43" s="286">
        <v>1805</v>
      </c>
      <c r="E43" s="284">
        <f t="shared" si="0"/>
        <v>1882301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68445</v>
      </c>
      <c r="D44" s="286"/>
      <c r="E44" s="284">
        <f t="shared" si="0"/>
        <v>68445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285">
        <v>-4702453</v>
      </c>
      <c r="D45" s="286"/>
      <c r="E45" s="284">
        <f t="shared" si="0"/>
        <v>-4702453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5">
        <v>1004331</v>
      </c>
      <c r="D46" s="286"/>
      <c r="E46" s="284">
        <f t="shared" si="0"/>
        <v>1004331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2505989</v>
      </c>
      <c r="D50" s="281">
        <f>SUM(D31:D36)-SUM(D39:D49)</f>
        <v>45893</v>
      </c>
      <c r="E50" s="281">
        <f>SUM(E31:E35)-SUM(E39:E48)</f>
        <v>2460096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1188834</v>
      </c>
      <c r="D51" s="285"/>
      <c r="E51" s="282">
        <f>+C51-D51</f>
        <v>1188834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646313</v>
      </c>
      <c r="D52" s="285"/>
      <c r="E52" s="283">
        <f>+C52-D52</f>
        <v>646313</v>
      </c>
      <c r="F52" s="8"/>
      <c r="G52" s="417" t="s">
        <v>478</v>
      </c>
    </row>
    <row r="53" spans="1:6" ht="12.75">
      <c r="A53" s="2" t="s">
        <v>131</v>
      </c>
      <c r="B53" s="8" t="s">
        <v>189</v>
      </c>
      <c r="C53" s="281">
        <f>C50-C51-C52</f>
        <v>670842</v>
      </c>
      <c r="D53" s="281">
        <f>D50-D51-D52</f>
        <v>45893</v>
      </c>
      <c r="E53" s="281">
        <f>E50-E51-E52</f>
        <v>624949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646313</v>
      </c>
      <c r="D59" s="287">
        <f>D52</f>
        <v>0</v>
      </c>
      <c r="E59" s="272">
        <f>+C59-D59</f>
        <v>646313</v>
      </c>
      <c r="F59" s="8"/>
      <c r="G59" s="417" t="s">
        <v>478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1884106</v>
      </c>
      <c r="D61" s="287">
        <f>D43</f>
        <v>1805</v>
      </c>
      <c r="E61" s="272">
        <f>+C61-D61</f>
        <v>1882301</v>
      </c>
      <c r="F61" s="8"/>
      <c r="G61" s="417"/>
    </row>
    <row r="62" spans="1:6" ht="12.75">
      <c r="A62" t="s">
        <v>6</v>
      </c>
      <c r="B62" s="8" t="s">
        <v>187</v>
      </c>
      <c r="C62" s="318">
        <v>29220</v>
      </c>
      <c r="D62" s="287">
        <v>0</v>
      </c>
      <c r="E62" s="272">
        <f>+C62-D62</f>
        <v>29220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70004</v>
      </c>
      <c r="D63" s="317">
        <f>'Tax Reserves'!D22</f>
        <v>0</v>
      </c>
      <c r="E63" s="272">
        <f>C63-D63</f>
        <v>70004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8">
        <f>'TAXREC 3 No True-up'!C47</f>
        <v>1336415</v>
      </c>
      <c r="D66" s="448">
        <f>'TAXREC 3 No True-up'!D47</f>
        <v>0</v>
      </c>
      <c r="E66" s="272">
        <f>+C66-D66</f>
        <v>1336415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2">
        <f>SUM(C59:C68)</f>
        <v>3966058</v>
      </c>
      <c r="D70" s="272">
        <f>SUM(D59:D68)</f>
        <v>1805</v>
      </c>
      <c r="E70" s="272">
        <f>SUM(E59:E68)</f>
        <v>3964253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4">
        <v>0</v>
      </c>
      <c r="D76" s="294"/>
      <c r="E76" s="480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4"/>
      <c r="D77" s="294"/>
      <c r="E77" s="272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4"/>
      <c r="D78" s="294"/>
      <c r="E78" s="272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4"/>
      <c r="D79" s="294"/>
      <c r="E79" s="272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1">
        <f>C70+C80</f>
        <v>3966058</v>
      </c>
      <c r="D82" s="251">
        <f>D70+D80</f>
        <v>1805</v>
      </c>
      <c r="E82" s="251">
        <f>E70+E80</f>
        <v>3964253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1587060</v>
      </c>
      <c r="D97" s="294"/>
      <c r="E97" s="272">
        <f>+C97-D97</f>
        <v>1587060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66618</v>
      </c>
      <c r="D98" s="294"/>
      <c r="E98" s="272">
        <f>+C98-D98</f>
        <v>66618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16720</v>
      </c>
      <c r="D99" s="294"/>
      <c r="E99" s="272">
        <f>+C99-D99</f>
        <v>16720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1354775</v>
      </c>
      <c r="D108" s="254">
        <f>'TAXREC 3 No True-up'!D73</f>
        <v>0</v>
      </c>
      <c r="E108" s="272">
        <f t="shared" si="5"/>
        <v>1354775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36467</v>
      </c>
      <c r="D110" s="251">
        <f>'TAXREC 2'!D119</f>
        <v>0</v>
      </c>
      <c r="E110" s="251">
        <f>'TAXREC 2'!E119</f>
        <v>36467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1">
        <f>SUM(C97:C111)</f>
        <v>3061640</v>
      </c>
      <c r="D113" s="251">
        <f>SUM(D97:D111)</f>
        <v>0</v>
      </c>
      <c r="E113" s="251">
        <f>SUM(E97:E111)</f>
        <v>3061640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4"/>
      <c r="D117" s="294"/>
      <c r="E117" s="272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4"/>
      <c r="D118" s="294"/>
      <c r="E118" s="272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4"/>
      <c r="D119" s="294"/>
      <c r="E119" s="272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1">
        <f>C113+C120</f>
        <v>3061640</v>
      </c>
      <c r="D122" s="251">
        <f>D113+D120</f>
        <v>0</v>
      </c>
      <c r="E122" s="251">
        <f>+E113+E120</f>
        <v>3061640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1575260</v>
      </c>
      <c r="D134" s="251">
        <f>D53+D82-D122</f>
        <v>47698</v>
      </c>
      <c r="E134" s="251">
        <f>E53+E82-E122</f>
        <v>1527562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1"/>
      <c r="B138" s="8"/>
      <c r="C138" s="310"/>
      <c r="D138" s="310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1575260</v>
      </c>
      <c r="D139" s="252">
        <f>D134-D136-D137-D138</f>
        <v>47698</v>
      </c>
      <c r="E139" s="252">
        <f>E134-E136-E137-E138</f>
        <v>1527562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321448</v>
      </c>
      <c r="D142" s="298">
        <f>D139*C149</f>
        <v>9733.267336185772</v>
      </c>
      <c r="E142" s="252">
        <f>C142-D142</f>
        <v>311714.7326638142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210536</v>
      </c>
      <c r="D143" s="298">
        <f>D139*C150</f>
        <v>6374.913428894278</v>
      </c>
      <c r="E143" s="292">
        <f>C143-D143</f>
        <v>204161.08657110573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531984</v>
      </c>
      <c r="D144" s="252">
        <f>D142+D143</f>
        <v>16108.180765080051</v>
      </c>
      <c r="E144" s="252">
        <f>E142+E143</f>
        <v>515875.81923491997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531984</v>
      </c>
      <c r="D146" s="252">
        <f>D144-D145</f>
        <v>16108.180765080051</v>
      </c>
      <c r="E146" s="252">
        <f>E144-E145</f>
        <v>515875.81923491997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0.20406028211215926</v>
      </c>
      <c r="D149" s="5"/>
      <c r="E149" s="407">
        <f>C149</f>
        <v>0.20406028211215926</v>
      </c>
      <c r="F149" s="8"/>
      <c r="G149" s="485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f>C143/C139</f>
        <v>0.13365158767441565</v>
      </c>
      <c r="D150" s="5"/>
      <c r="E150" s="407">
        <f>C150</f>
        <v>0.13365158767441565</v>
      </c>
      <c r="F150" s="8"/>
      <c r="G150" s="485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0.3377118697865749</v>
      </c>
      <c r="D151" s="5"/>
      <c r="E151" s="407">
        <f>SUM(E149:E150)</f>
        <v>0.3377118697865749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7" t="s">
        <v>187</v>
      </c>
      <c r="C156" s="251">
        <f>C146</f>
        <v>531984</v>
      </c>
      <c r="D156" s="251">
        <f>D146</f>
        <v>16108.180765080051</v>
      </c>
      <c r="E156" s="251">
        <f>E146</f>
        <v>515875.81923491997</v>
      </c>
    </row>
    <row r="157" spans="1:5" ht="12.75">
      <c r="A157" t="s">
        <v>20</v>
      </c>
      <c r="B157" s="87" t="s">
        <v>187</v>
      </c>
      <c r="C157" s="481">
        <v>84285</v>
      </c>
      <c r="D157" s="251"/>
      <c r="E157" s="251">
        <f>C157+D157</f>
        <v>84285</v>
      </c>
    </row>
    <row r="158" spans="1:5" ht="12.75">
      <c r="A158" t="s">
        <v>218</v>
      </c>
      <c r="B158" s="87" t="s">
        <v>187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1">
        <f>C156+C157+C158</f>
        <v>616269</v>
      </c>
      <c r="D160" s="251">
        <f>D156+D157+D158</f>
        <v>16108.180765080051</v>
      </c>
      <c r="E160" s="251">
        <f>E156+E157+E158</f>
        <v>600160.81923492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workbookViewId="0" topLeftCell="A1">
      <selection activeCell="D52" sqref="D5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2"/>
      <c r="C12" s="311"/>
      <c r="D12" s="311"/>
      <c r="E12" s="62"/>
    </row>
    <row r="13" spans="1:5" ht="12.75">
      <c r="A13" s="62"/>
      <c r="B13" s="62"/>
      <c r="C13" s="294"/>
      <c r="D13" s="294"/>
      <c r="E13" s="251">
        <f>C13-D13</f>
        <v>0</v>
      </c>
    </row>
    <row r="14" spans="1:7" ht="12.75">
      <c r="A14" s="62" t="s">
        <v>281</v>
      </c>
      <c r="B14" s="62"/>
      <c r="C14" s="294">
        <v>70004</v>
      </c>
      <c r="D14" s="294"/>
      <c r="E14" s="251">
        <f aca="true" t="shared" si="0" ref="E14:E21">C14-D14</f>
        <v>70004</v>
      </c>
      <c r="G14">
        <v>70004</v>
      </c>
    </row>
    <row r="15" spans="1:5" ht="12.75">
      <c r="A15" s="62" t="s">
        <v>282</v>
      </c>
      <c r="B15" s="62"/>
      <c r="C15" s="294"/>
      <c r="D15" s="294"/>
      <c r="E15" s="251">
        <f t="shared" si="0"/>
        <v>0</v>
      </c>
    </row>
    <row r="16" spans="1:5" ht="12.75">
      <c r="A16" s="62" t="s">
        <v>283</v>
      </c>
      <c r="B16" s="62"/>
      <c r="C16" s="294"/>
      <c r="D16" s="294"/>
      <c r="E16" s="251">
        <f t="shared" si="0"/>
        <v>0</v>
      </c>
    </row>
    <row r="17" spans="1:5" ht="12.75">
      <c r="A17" s="62" t="s">
        <v>284</v>
      </c>
      <c r="B17" s="62"/>
      <c r="C17" s="294"/>
      <c r="D17" s="294"/>
      <c r="E17" s="251">
        <f t="shared" si="0"/>
        <v>0</v>
      </c>
    </row>
    <row r="18" spans="1:5" ht="12.75">
      <c r="A18" s="62" t="s">
        <v>449</v>
      </c>
      <c r="B18" s="62"/>
      <c r="C18" s="294"/>
      <c r="D18" s="294"/>
      <c r="E18" s="251">
        <f t="shared" si="0"/>
        <v>0</v>
      </c>
    </row>
    <row r="19" spans="1:5" ht="12.75">
      <c r="A19" s="62" t="s">
        <v>449</v>
      </c>
      <c r="B19" s="62"/>
      <c r="C19" s="294"/>
      <c r="D19" s="294"/>
      <c r="E19" s="251">
        <f t="shared" si="0"/>
        <v>0</v>
      </c>
    </row>
    <row r="20" spans="1:5" ht="12.75">
      <c r="A20" s="62"/>
      <c r="B20" s="62"/>
      <c r="C20" s="294"/>
      <c r="D20" s="294"/>
      <c r="E20" s="251">
        <f t="shared" si="0"/>
        <v>0</v>
      </c>
    </row>
    <row r="21" spans="1:5" ht="12.75">
      <c r="A21" s="62"/>
      <c r="B21" s="62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70004</v>
      </c>
      <c r="D22" s="251">
        <f>SUM(D13:D21)</f>
        <v>0</v>
      </c>
      <c r="E22" s="251">
        <f>SUM(E13:E21)</f>
        <v>70004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2"/>
      <c r="C24" s="92"/>
      <c r="D24" s="92"/>
      <c r="E24" s="92"/>
    </row>
    <row r="25" spans="1:5" ht="12.75">
      <c r="A25" s="62"/>
      <c r="B25" s="62"/>
      <c r="C25" s="294"/>
      <c r="D25" s="294"/>
      <c r="E25" s="251">
        <f>C25-D25</f>
        <v>0</v>
      </c>
    </row>
    <row r="26" spans="1:7" ht="12.75">
      <c r="A26" s="62" t="s">
        <v>281</v>
      </c>
      <c r="B26" s="62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2" t="s">
        <v>282</v>
      </c>
      <c r="B27" s="62"/>
      <c r="C27" s="294"/>
      <c r="D27" s="294"/>
      <c r="E27" s="251">
        <f t="shared" si="1"/>
        <v>0</v>
      </c>
    </row>
    <row r="28" spans="1:5" ht="12.75">
      <c r="A28" s="62" t="s">
        <v>283</v>
      </c>
      <c r="B28" s="62"/>
      <c r="C28" s="294"/>
      <c r="D28" s="294"/>
      <c r="E28" s="251">
        <f t="shared" si="1"/>
        <v>0</v>
      </c>
    </row>
    <row r="29" spans="1:5" ht="12.75">
      <c r="A29" s="62" t="s">
        <v>284</v>
      </c>
      <c r="B29" s="62"/>
      <c r="C29" s="294"/>
      <c r="D29" s="294"/>
      <c r="E29" s="251">
        <f t="shared" si="1"/>
        <v>0</v>
      </c>
    </row>
    <row r="30" spans="1:5" ht="12.75">
      <c r="A30" s="62" t="s">
        <v>449</v>
      </c>
      <c r="B30" s="62"/>
      <c r="C30" s="294"/>
      <c r="D30" s="294"/>
      <c r="E30" s="251">
        <f t="shared" si="1"/>
        <v>0</v>
      </c>
    </row>
    <row r="31" spans="1:5" ht="12.75">
      <c r="A31" s="62" t="s">
        <v>449</v>
      </c>
      <c r="B31" s="62"/>
      <c r="C31" s="294"/>
      <c r="D31" s="294"/>
      <c r="E31" s="251">
        <f t="shared" si="1"/>
        <v>0</v>
      </c>
    </row>
    <row r="32" spans="1:5" ht="12.75">
      <c r="A32" s="62"/>
      <c r="B32" s="62"/>
      <c r="C32" s="294"/>
      <c r="D32" s="294"/>
      <c r="E32" s="251">
        <f t="shared" si="1"/>
        <v>0</v>
      </c>
    </row>
    <row r="33" spans="1:5" ht="13.5" thickBot="1">
      <c r="A33" s="63"/>
      <c r="B33" s="62"/>
      <c r="C33" s="294"/>
      <c r="D33" s="294"/>
      <c r="E33" s="251">
        <f t="shared" si="1"/>
        <v>0</v>
      </c>
    </row>
    <row r="34" spans="1:5" ht="12.75">
      <c r="A34" s="57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2"/>
      <c r="C40" s="92"/>
      <c r="D40" s="92"/>
      <c r="E40" s="92"/>
    </row>
    <row r="41" spans="1:5" ht="12.75">
      <c r="A41" s="62"/>
      <c r="B41" s="62"/>
      <c r="C41" s="294"/>
      <c r="D41" s="294"/>
      <c r="E41" s="251">
        <f>C41-D41</f>
        <v>0</v>
      </c>
    </row>
    <row r="42" spans="1:5" ht="12.75">
      <c r="A42" s="62"/>
      <c r="B42" s="62"/>
      <c r="C42" s="294"/>
      <c r="D42" s="294"/>
      <c r="E42" s="251">
        <f aca="true" t="shared" si="2" ref="E42:E49">C42-D42</f>
        <v>0</v>
      </c>
    </row>
    <row r="43" spans="1:5" ht="12.75">
      <c r="A43" s="62" t="s">
        <v>267</v>
      </c>
      <c r="B43" s="62"/>
      <c r="C43" s="294"/>
      <c r="D43" s="294"/>
      <c r="E43" s="251">
        <f t="shared" si="2"/>
        <v>0</v>
      </c>
    </row>
    <row r="44" spans="1:5" ht="12.75">
      <c r="A44" s="62" t="s">
        <v>268</v>
      </c>
      <c r="B44" s="62"/>
      <c r="C44" s="294">
        <v>0</v>
      </c>
      <c r="D44" s="294"/>
      <c r="E44" s="251">
        <f t="shared" si="2"/>
        <v>0</v>
      </c>
    </row>
    <row r="45" spans="1:5" ht="12.75">
      <c r="A45" s="62" t="s">
        <v>269</v>
      </c>
      <c r="B45" s="62"/>
      <c r="C45" s="294"/>
      <c r="D45" s="294"/>
      <c r="E45" s="251">
        <f t="shared" si="2"/>
        <v>0</v>
      </c>
    </row>
    <row r="46" spans="1:5" ht="12.75">
      <c r="A46" s="62" t="s">
        <v>270</v>
      </c>
      <c r="B46" s="62"/>
      <c r="C46" s="294"/>
      <c r="D46" s="294"/>
      <c r="E46" s="251">
        <f t="shared" si="2"/>
        <v>0</v>
      </c>
    </row>
    <row r="47" spans="1:5" ht="12.75">
      <c r="A47" s="62" t="s">
        <v>449</v>
      </c>
      <c r="B47" s="62"/>
      <c r="C47" s="294"/>
      <c r="D47" s="294"/>
      <c r="E47" s="251">
        <f t="shared" si="2"/>
        <v>0</v>
      </c>
    </row>
    <row r="48" spans="1:5" ht="12.75">
      <c r="A48" s="62" t="s">
        <v>449</v>
      </c>
      <c r="B48" s="62"/>
      <c r="C48" s="294"/>
      <c r="D48" s="294"/>
      <c r="E48" s="251">
        <f t="shared" si="2"/>
        <v>0</v>
      </c>
    </row>
    <row r="49" spans="1:5" ht="12.75">
      <c r="A49" s="62"/>
      <c r="B49" s="62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2"/>
      <c r="C52" s="92"/>
      <c r="D52" s="92"/>
      <c r="E52" s="92"/>
    </row>
    <row r="53" spans="1:5" ht="12.75">
      <c r="A53" s="62"/>
      <c r="B53" s="62"/>
      <c r="C53" s="294"/>
      <c r="D53" s="294"/>
      <c r="E53" s="251">
        <f>C53-D53</f>
        <v>0</v>
      </c>
    </row>
    <row r="54" spans="1:5" ht="12.75">
      <c r="A54" s="246"/>
      <c r="B54" s="62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2"/>
      <c r="C55" s="294"/>
      <c r="D55" s="294"/>
      <c r="E55" s="251">
        <f t="shared" si="3"/>
        <v>0</v>
      </c>
    </row>
    <row r="56" spans="1:5" ht="12.75">
      <c r="A56" s="246" t="s">
        <v>268</v>
      </c>
      <c r="B56" s="62"/>
      <c r="C56" s="294">
        <v>0</v>
      </c>
      <c r="D56" s="294"/>
      <c r="E56" s="251">
        <f t="shared" si="3"/>
        <v>0</v>
      </c>
    </row>
    <row r="57" spans="1:5" ht="12.75">
      <c r="A57" s="246" t="s">
        <v>269</v>
      </c>
      <c r="B57" s="62"/>
      <c r="C57" s="294"/>
      <c r="D57" s="294"/>
      <c r="E57" s="251">
        <f t="shared" si="3"/>
        <v>0</v>
      </c>
    </row>
    <row r="58" spans="1:5" ht="12.75">
      <c r="A58" s="246" t="s">
        <v>270</v>
      </c>
      <c r="B58" s="62"/>
      <c r="C58" s="294"/>
      <c r="D58" s="294"/>
      <c r="E58" s="251">
        <f t="shared" si="3"/>
        <v>0</v>
      </c>
    </row>
    <row r="59" spans="1:5" ht="12.75">
      <c r="A59" s="62" t="s">
        <v>449</v>
      </c>
      <c r="B59" s="62"/>
      <c r="C59" s="294"/>
      <c r="D59" s="294"/>
      <c r="E59" s="251">
        <f t="shared" si="3"/>
        <v>0</v>
      </c>
    </row>
    <row r="60" spans="1:5" ht="12.75">
      <c r="A60" s="62" t="s">
        <v>449</v>
      </c>
      <c r="B60" s="62"/>
      <c r="C60" s="294"/>
      <c r="D60" s="294"/>
      <c r="E60" s="251">
        <f t="shared" si="3"/>
        <v>0</v>
      </c>
    </row>
    <row r="61" spans="1:5" ht="13.5" thickBot="1">
      <c r="A61" s="63"/>
      <c r="B61" s="62"/>
      <c r="C61" s="294"/>
      <c r="D61" s="294"/>
      <c r="E61" s="251">
        <f t="shared" si="3"/>
        <v>0</v>
      </c>
    </row>
    <row r="62" spans="1:5" ht="12.75">
      <c r="A62" s="57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89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466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49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5"/>
      <c r="D17" s="295"/>
      <c r="E17" s="313">
        <f>C17-D17</f>
        <v>0</v>
      </c>
    </row>
    <row r="18" spans="1:5" ht="12.75">
      <c r="A18" s="68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8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8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8"/>
      <c r="B22" t="s">
        <v>187</v>
      </c>
      <c r="C22" s="295"/>
      <c r="D22" s="295"/>
      <c r="E22" s="313">
        <f t="shared" si="0"/>
        <v>0</v>
      </c>
    </row>
    <row r="23" spans="1:5" ht="12.75">
      <c r="A23" s="68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8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8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8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8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8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8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8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8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8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8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8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8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8" t="s">
        <v>475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8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9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8"/>
      <c r="B41" t="s">
        <v>187</v>
      </c>
      <c r="C41" s="294"/>
      <c r="D41" s="294"/>
      <c r="E41" s="251">
        <f t="shared" si="0"/>
        <v>0</v>
      </c>
    </row>
    <row r="42" spans="1:5" ht="12.75">
      <c r="A42" s="68"/>
      <c r="B42" t="s">
        <v>187</v>
      </c>
      <c r="C42" s="294"/>
      <c r="D42" s="294"/>
      <c r="E42" s="251">
        <f t="shared" si="0"/>
        <v>0</v>
      </c>
    </row>
    <row r="43" spans="1:5" ht="12.75">
      <c r="A43" s="68"/>
      <c r="B43" t="s">
        <v>187</v>
      </c>
      <c r="C43" s="294"/>
      <c r="D43" s="294"/>
      <c r="E43" s="251">
        <f t="shared" si="0"/>
        <v>0</v>
      </c>
    </row>
    <row r="44" spans="1:5" ht="12.75">
      <c r="A44" s="68"/>
      <c r="B44" t="s">
        <v>187</v>
      </c>
      <c r="C44" s="294"/>
      <c r="D44" s="294"/>
      <c r="E44" s="251">
        <f t="shared" si="0"/>
        <v>0</v>
      </c>
    </row>
    <row r="45" spans="1:5" ht="12.75">
      <c r="A45" s="68"/>
      <c r="B45" t="s">
        <v>187</v>
      </c>
      <c r="C45" s="294"/>
      <c r="D45" s="294"/>
      <c r="E45" s="279"/>
    </row>
    <row r="46" spans="1:5" ht="12.75">
      <c r="A46" s="71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8"/>
    </row>
    <row r="48" ht="12.75">
      <c r="A48" s="68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2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2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8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8" t="s">
        <v>377</v>
      </c>
      <c r="B87" s="8" t="s">
        <v>188</v>
      </c>
      <c r="C87" s="294">
        <v>36467</v>
      </c>
      <c r="D87" s="294"/>
      <c r="E87" s="251">
        <f t="shared" si="5"/>
        <v>36467</v>
      </c>
    </row>
    <row r="88" spans="1:5" ht="12.75">
      <c r="A88" s="68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8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8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8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8"/>
      <c r="B93" s="8" t="s">
        <v>188</v>
      </c>
      <c r="C93" s="294"/>
      <c r="D93" s="294"/>
      <c r="E93" s="251">
        <f t="shared" si="5"/>
        <v>0</v>
      </c>
    </row>
    <row r="94" spans="1:5" ht="12.75">
      <c r="A94" s="68"/>
      <c r="B94" s="8" t="s">
        <v>188</v>
      </c>
      <c r="C94" s="294"/>
      <c r="D94" s="294"/>
      <c r="E94" s="251">
        <f t="shared" si="5"/>
        <v>0</v>
      </c>
    </row>
    <row r="95" spans="1:5" ht="12.75">
      <c r="A95" s="69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8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8"/>
      <c r="B97" s="8" t="s">
        <v>188</v>
      </c>
      <c r="C97" s="294"/>
      <c r="D97" s="294"/>
      <c r="E97" s="251">
        <f t="shared" si="5"/>
        <v>0</v>
      </c>
    </row>
    <row r="98" spans="1:5" ht="12.75">
      <c r="A98" s="68"/>
      <c r="B98" s="8" t="s">
        <v>188</v>
      </c>
      <c r="C98" s="294"/>
      <c r="D98" s="294"/>
      <c r="E98" s="251">
        <f t="shared" si="5"/>
        <v>0</v>
      </c>
    </row>
    <row r="99" spans="1:5" ht="12.75">
      <c r="A99" s="68" t="s">
        <v>171</v>
      </c>
      <c r="B99" s="8" t="s">
        <v>189</v>
      </c>
      <c r="C99" s="251">
        <f>SUM(C82:C98)</f>
        <v>36467</v>
      </c>
      <c r="D99" s="251">
        <f>SUM(D82:D98)</f>
        <v>0</v>
      </c>
      <c r="E99" s="251">
        <f>SUM(E82:E98)</f>
        <v>36467</v>
      </c>
    </row>
    <row r="100" ht="12.75">
      <c r="A100" s="68"/>
    </row>
    <row r="101" ht="12.75">
      <c r="A101" s="68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Bad debts</v>
      </c>
      <c r="B107" s="273"/>
      <c r="C107" s="251">
        <f t="shared" si="7"/>
        <v>36467</v>
      </c>
      <c r="D107" s="251">
        <f t="shared" si="7"/>
        <v>0</v>
      </c>
      <c r="E107" s="251">
        <f t="shared" si="7"/>
        <v>36467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36467</v>
      </c>
      <c r="D119" s="251">
        <f>SUM(D102:D118)</f>
        <v>0</v>
      </c>
      <c r="E119" s="251">
        <f>SUM(E102:E118)</f>
        <v>36467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36467</v>
      </c>
      <c r="D121" s="251">
        <f>D119+D120</f>
        <v>0</v>
      </c>
      <c r="E121" s="251">
        <f>E119+E120</f>
        <v>36467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9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3"/>
    </row>
    <row r="4" spans="1:6" ht="1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1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8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8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8" t="s">
        <v>455</v>
      </c>
      <c r="B24" t="s">
        <v>187</v>
      </c>
      <c r="C24" s="295">
        <v>1297</v>
      </c>
      <c r="D24" s="295"/>
      <c r="E24" s="313">
        <f t="shared" si="0"/>
        <v>1297</v>
      </c>
    </row>
    <row r="25" spans="1:5" ht="12.75">
      <c r="A25" s="68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8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8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8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8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8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8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8" t="s">
        <v>433</v>
      </c>
      <c r="B32" t="s">
        <v>187</v>
      </c>
      <c r="C32" s="295">
        <v>5787</v>
      </c>
      <c r="D32" s="295"/>
      <c r="E32" s="313">
        <f t="shared" si="0"/>
        <v>5787</v>
      </c>
    </row>
    <row r="33" spans="1:5" ht="12.75">
      <c r="A33" s="68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8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2" t="s">
        <v>452</v>
      </c>
      <c r="C35" s="295">
        <v>325000</v>
      </c>
      <c r="D35" s="295"/>
      <c r="E35" s="313">
        <f t="shared" si="0"/>
        <v>325000</v>
      </c>
    </row>
    <row r="36" spans="1:5" ht="12.75">
      <c r="A36" s="68" t="s">
        <v>435</v>
      </c>
      <c r="C36" s="295"/>
      <c r="D36" s="295"/>
      <c r="E36" s="313">
        <f t="shared" si="0"/>
        <v>0</v>
      </c>
    </row>
    <row r="37" spans="1:5" ht="12.75">
      <c r="A37" s="68" t="s">
        <v>436</v>
      </c>
      <c r="C37" s="295"/>
      <c r="D37" s="295"/>
      <c r="E37" s="313">
        <f t="shared" si="0"/>
        <v>0</v>
      </c>
    </row>
    <row r="38" spans="1:5" ht="12.75">
      <c r="A38" s="82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2" t="s">
        <v>387</v>
      </c>
      <c r="B40" t="s">
        <v>187</v>
      </c>
      <c r="C40" s="295">
        <v>1004331</v>
      </c>
      <c r="D40" s="295"/>
      <c r="E40" s="313">
        <f t="shared" si="0"/>
        <v>1004331</v>
      </c>
    </row>
    <row r="41" spans="1:5" ht="12.75">
      <c r="A41" s="68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9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8"/>
      <c r="B46" t="s">
        <v>187</v>
      </c>
      <c r="C46" s="294"/>
      <c r="D46" s="294"/>
      <c r="E46" s="279"/>
    </row>
    <row r="47" spans="1:5" ht="12.75">
      <c r="A47" s="451" t="s">
        <v>397</v>
      </c>
      <c r="B47" t="s">
        <v>189</v>
      </c>
      <c r="C47" s="251">
        <f>SUM(C19:C46)</f>
        <v>1336415</v>
      </c>
      <c r="D47" s="251">
        <f>SUM(D19:D46)</f>
        <v>0</v>
      </c>
      <c r="E47" s="251">
        <f>SUM(E19:E46)</f>
        <v>1336415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25444</v>
      </c>
      <c r="D54" s="294"/>
      <c r="E54" s="251">
        <f t="shared" si="1"/>
        <v>25444</v>
      </c>
    </row>
    <row r="55" spans="1:5" ht="12.75">
      <c r="A55" s="68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8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325000</v>
      </c>
      <c r="D57" s="294"/>
      <c r="E57" s="251">
        <f t="shared" si="1"/>
        <v>325000</v>
      </c>
    </row>
    <row r="58" spans="1:5" ht="12.75">
      <c r="A58" s="68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8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>
        <v>1004331</v>
      </c>
      <c r="D62" s="294"/>
      <c r="E62" s="251">
        <f aca="true" t="shared" si="2" ref="E62:E72">C62-D62</f>
        <v>1004331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8"/>
      <c r="B67" s="8" t="s">
        <v>188</v>
      </c>
      <c r="C67" s="294"/>
      <c r="D67" s="294"/>
      <c r="E67" s="251">
        <f t="shared" si="2"/>
        <v>0</v>
      </c>
    </row>
    <row r="68" spans="1:5" ht="12.75">
      <c r="A68" s="69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8"/>
      <c r="B69" s="8" t="s">
        <v>188</v>
      </c>
      <c r="C69" s="294"/>
      <c r="D69" s="294"/>
      <c r="E69" s="251">
        <f t="shared" si="2"/>
        <v>0</v>
      </c>
    </row>
    <row r="70" spans="1:5" ht="12.75">
      <c r="A70" s="68"/>
      <c r="B70" s="8" t="s">
        <v>188</v>
      </c>
      <c r="C70" s="294"/>
      <c r="D70" s="294"/>
      <c r="E70" s="251">
        <f t="shared" si="2"/>
        <v>0</v>
      </c>
    </row>
    <row r="71" spans="1:5" ht="12.75">
      <c r="A71" s="68"/>
      <c r="B71" s="8" t="s">
        <v>188</v>
      </c>
      <c r="C71" s="294"/>
      <c r="D71" s="294"/>
      <c r="E71" s="251">
        <f t="shared" si="2"/>
        <v>0</v>
      </c>
    </row>
    <row r="72" spans="1:5" ht="12.75">
      <c r="A72" s="68"/>
      <c r="B72" s="8" t="s">
        <v>188</v>
      </c>
      <c r="C72" s="294"/>
      <c r="D72" s="294"/>
      <c r="E72" s="279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1354775</v>
      </c>
      <c r="D73" s="251">
        <f>SUM(D51:D72)</f>
        <v>0</v>
      </c>
      <c r="E73" s="251">
        <f>SUM(E51:E72)</f>
        <v>1354775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25">
      <selection activeCell="D52" sqref="D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EB-2008-0381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9" t="s">
        <v>487</v>
      </c>
      <c r="B8" s="510"/>
      <c r="C8" s="510"/>
      <c r="D8" s="510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400001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489</v>
      </c>
      <c r="B10" s="328"/>
      <c r="C10" s="377" t="s">
        <v>111</v>
      </c>
      <c r="D10" s="377"/>
      <c r="E10" s="377" t="s">
        <v>111</v>
      </c>
      <c r="F10" s="378" t="s">
        <v>483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400000</v>
      </c>
      <c r="D11" s="379"/>
      <c r="E11" s="379">
        <v>1128000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0.1775</v>
      </c>
      <c r="F14" s="330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0.055</v>
      </c>
      <c r="D15" s="331"/>
      <c r="E15" s="332">
        <v>0.0975</v>
      </c>
      <c r="F15" s="332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0.1862</v>
      </c>
      <c r="D16" s="333"/>
      <c r="E16" s="334">
        <f>SUM(E14:E15)</f>
        <v>0.275</v>
      </c>
      <c r="F16" s="334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0.00175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332</v>
      </c>
      <c r="B21" s="408" t="s">
        <v>488</v>
      </c>
      <c r="C21" s="363">
        <v>7500000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333</v>
      </c>
      <c r="B22" s="409" t="s">
        <v>482</v>
      </c>
      <c r="C22" s="364">
        <v>50000000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3" t="s">
        <v>494</v>
      </c>
      <c r="B23" s="504"/>
      <c r="C23" s="504"/>
      <c r="D23" s="504"/>
      <c r="E23" s="504"/>
      <c r="F23" s="504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9" t="s">
        <v>490</v>
      </c>
      <c r="B26" s="510"/>
      <c r="C26" s="510"/>
      <c r="D26" s="510"/>
      <c r="E26" s="510"/>
      <c r="F26" s="51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>
        <v>250001</v>
      </c>
      <c r="E27" s="369">
        <v>400001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 t="s">
        <v>111</v>
      </c>
      <c r="E28" s="371" t="s">
        <v>111</v>
      </c>
      <c r="F28" s="372" t="s">
        <v>483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250000</v>
      </c>
      <c r="D29" s="373">
        <v>400000</v>
      </c>
      <c r="E29" s="373">
        <v>1128000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2005</v>
      </c>
      <c r="C32" s="329">
        <v>0.1312</v>
      </c>
      <c r="D32" s="329">
        <v>0.2212</v>
      </c>
      <c r="E32" s="330">
        <v>0.2212</v>
      </c>
      <c r="F32" s="330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2005</v>
      </c>
      <c r="C33" s="331">
        <v>0.055</v>
      </c>
      <c r="D33" s="331">
        <v>0.055</v>
      </c>
      <c r="E33" s="332">
        <v>0.0975</v>
      </c>
      <c r="F33" s="332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2005</v>
      </c>
      <c r="C34" s="333">
        <f>SUM(C32:C33)</f>
        <v>0.1862</v>
      </c>
      <c r="D34" s="333">
        <f>SUM(D32:D33)</f>
        <v>0.2762</v>
      </c>
      <c r="E34" s="334">
        <f>SUM(E32:E33)</f>
        <v>0.3187</v>
      </c>
      <c r="F34" s="334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2005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2005</v>
      </c>
      <c r="C37" s="336">
        <v>0.002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2005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492</v>
      </c>
      <c r="B39" s="408" t="s">
        <v>488</v>
      </c>
      <c r="C39" s="363">
        <v>7500000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493</v>
      </c>
      <c r="B40" s="409" t="s">
        <v>482</v>
      </c>
      <c r="C40" s="364">
        <v>50000000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5" t="s">
        <v>335</v>
      </c>
      <c r="B41" s="504"/>
      <c r="C41" s="504"/>
      <c r="D41" s="504"/>
      <c r="E41" s="504"/>
      <c r="F41" s="50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6"/>
      <c r="B42" s="506"/>
      <c r="C42" s="506"/>
      <c r="D42" s="506"/>
      <c r="E42" s="506"/>
      <c r="F42" s="50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>
        <v>250001</v>
      </c>
      <c r="E45" s="369">
        <v>400001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 t="s">
        <v>111</v>
      </c>
      <c r="E46" s="371" t="s">
        <v>111</v>
      </c>
      <c r="F46" s="372" t="s">
        <v>483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250000</v>
      </c>
      <c r="D47" s="373">
        <v>400000</v>
      </c>
      <c r="E47" s="373">
        <v>1128000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>
        <v>0.2212</v>
      </c>
      <c r="E50" s="354">
        <v>0.2212</v>
      </c>
      <c r="F50" s="354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0.055</v>
      </c>
      <c r="D51" s="355">
        <v>0.055</v>
      </c>
      <c r="E51" s="356">
        <v>0.14</v>
      </c>
      <c r="F51" s="356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0.1862</v>
      </c>
      <c r="D52" s="333">
        <f>SUM(D50:D51)</f>
        <v>0.2762</v>
      </c>
      <c r="E52" s="334">
        <f>SUM(E50:E51)</f>
        <v>0.3612</v>
      </c>
      <c r="F52" s="334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349</v>
      </c>
      <c r="B57" s="408" t="s">
        <v>488</v>
      </c>
      <c r="C57" s="363">
        <v>6955928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350</v>
      </c>
      <c r="B58" s="409" t="s">
        <v>482</v>
      </c>
      <c r="C58" s="364">
        <v>45995000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3" t="s">
        <v>351</v>
      </c>
      <c r="B59" s="507"/>
      <c r="C59" s="507"/>
      <c r="D59" s="507"/>
      <c r="E59" s="507"/>
      <c r="F59" s="50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8"/>
      <c r="B60" s="508"/>
      <c r="C60" s="508"/>
      <c r="D60" s="508"/>
      <c r="E60" s="508"/>
      <c r="F60" s="50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6" r:id="rId1"/>
  <headerFooter alignWithMargins="0">
    <oddHeader>&amp;R&amp;9Halton Hills Hydro Inc.
EB-2008-0381
Deferred PILs Combined Proceeding 
Appendix A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D52" sqref="D5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8" t="str">
        <f>REGINFO!E1</f>
        <v>Version 2009.1</v>
      </c>
    </row>
    <row r="4" spans="1:15" ht="12.75">
      <c r="A4" s="2" t="str">
        <f>REGINFO!A4</f>
        <v>Reporting period:  2005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6">
        <v>0</v>
      </c>
      <c r="D11" s="392"/>
      <c r="E11" s="398">
        <f>C22</f>
        <v>246317</v>
      </c>
      <c r="F11" s="421"/>
      <c r="G11" s="398">
        <f>E22</f>
        <v>139188</v>
      </c>
      <c r="H11" s="421"/>
      <c r="I11" s="398">
        <f>G22</f>
        <v>-85575</v>
      </c>
      <c r="J11" s="392"/>
      <c r="K11" s="398">
        <f>I22</f>
        <v>14361.25</v>
      </c>
      <c r="L11" s="392"/>
      <c r="M11" s="398">
        <f>K22</f>
        <v>-95322.5</v>
      </c>
      <c r="N11" s="392"/>
      <c r="O11" s="398">
        <f>C11</f>
        <v>0</v>
      </c>
    </row>
    <row r="12" spans="1:17" ht="27" customHeight="1">
      <c r="A12" s="82" t="s">
        <v>398</v>
      </c>
      <c r="B12" s="67" t="s">
        <v>190</v>
      </c>
      <c r="C12" s="397">
        <v>246317</v>
      </c>
      <c r="D12" s="393"/>
      <c r="E12" s="397">
        <f>899961</f>
        <v>899961</v>
      </c>
      <c r="F12" s="96"/>
      <c r="G12" s="420">
        <f>C12+E12</f>
        <v>1146278</v>
      </c>
      <c r="H12" s="96"/>
      <c r="I12" s="420">
        <f>(E12/12*9)+(G12/12*3)</f>
        <v>961540.25</v>
      </c>
      <c r="J12" s="393"/>
      <c r="K12" s="420">
        <f>E12/12*3</f>
        <v>224990.25</v>
      </c>
      <c r="L12" s="393"/>
      <c r="M12" s="420">
        <f>830648/12*4</f>
        <v>276882.6666666667</v>
      </c>
      <c r="N12" s="393"/>
      <c r="O12" s="398">
        <f aca="true" t="shared" si="0" ref="O12:O20">SUM(C12:N12)</f>
        <v>3755969.1666666665</v>
      </c>
      <c r="Q12" s="22"/>
    </row>
    <row r="13" spans="1:15" ht="27" customHeight="1">
      <c r="A13" s="82" t="s">
        <v>440</v>
      </c>
      <c r="B13" s="67"/>
      <c r="C13" s="397"/>
      <c r="D13" s="96"/>
      <c r="E13" s="397"/>
      <c r="F13" s="96"/>
      <c r="G13" s="397"/>
      <c r="H13" s="96"/>
      <c r="I13" s="397"/>
      <c r="J13" s="393"/>
      <c r="K13" s="397">
        <f>830648/12*9</f>
        <v>622986</v>
      </c>
      <c r="L13" s="393"/>
      <c r="M13" s="397"/>
      <c r="N13" s="393"/>
      <c r="O13" s="398">
        <f t="shared" si="0"/>
        <v>622986</v>
      </c>
    </row>
    <row r="14" spans="1:15" ht="38.25">
      <c r="A14" s="82" t="s">
        <v>399</v>
      </c>
      <c r="B14" s="67" t="s">
        <v>190</v>
      </c>
      <c r="C14" s="397"/>
      <c r="D14" s="393"/>
      <c r="E14" s="397">
        <v>747</v>
      </c>
      <c r="F14" s="96"/>
      <c r="G14" s="397">
        <v>0</v>
      </c>
      <c r="H14" s="96"/>
      <c r="I14" s="430"/>
      <c r="J14" s="393"/>
      <c r="K14" s="397"/>
      <c r="L14" s="393"/>
      <c r="M14" s="397"/>
      <c r="N14" s="393"/>
      <c r="O14" s="398">
        <f t="shared" si="0"/>
        <v>747</v>
      </c>
    </row>
    <row r="15" spans="1:15" ht="27" customHeight="1">
      <c r="A15" s="82" t="s">
        <v>400</v>
      </c>
      <c r="B15" s="67" t="s">
        <v>190</v>
      </c>
      <c r="C15" s="397"/>
      <c r="D15" s="393"/>
      <c r="E15" s="397">
        <v>0</v>
      </c>
      <c r="F15" s="96"/>
      <c r="G15" s="397">
        <v>-106361</v>
      </c>
      <c r="H15" s="96"/>
      <c r="I15" s="397">
        <v>-27981</v>
      </c>
      <c r="J15" s="393"/>
      <c r="K15" s="397">
        <v>24844</v>
      </c>
      <c r="L15" s="393"/>
      <c r="M15" s="397">
        <f>TAXCALC!E132</f>
        <v>79574.92307692309</v>
      </c>
      <c r="N15" s="393"/>
      <c r="O15" s="398">
        <f t="shared" si="0"/>
        <v>-29923.076923076907</v>
      </c>
    </row>
    <row r="16" spans="1:15" ht="27" customHeight="1">
      <c r="A16" s="82" t="s">
        <v>401</v>
      </c>
      <c r="B16" s="67"/>
      <c r="C16" s="397"/>
      <c r="D16" s="393"/>
      <c r="E16" s="397"/>
      <c r="F16" s="96"/>
      <c r="G16" s="397"/>
      <c r="H16" s="96"/>
      <c r="I16" s="397"/>
      <c r="J16" s="393"/>
      <c r="K16" s="397">
        <v>0</v>
      </c>
      <c r="L16" s="393"/>
      <c r="M16" s="397"/>
      <c r="N16" s="393"/>
      <c r="O16" s="398">
        <f t="shared" si="0"/>
        <v>0</v>
      </c>
    </row>
    <row r="17" spans="1:15" ht="27.75" customHeight="1">
      <c r="A17" s="82" t="s">
        <v>402</v>
      </c>
      <c r="B17" s="67" t="s">
        <v>190</v>
      </c>
      <c r="C17" s="397"/>
      <c r="D17" s="393"/>
      <c r="E17" s="397">
        <v>0</v>
      </c>
      <c r="F17" s="96"/>
      <c r="G17" s="397">
        <v>-4128</v>
      </c>
      <c r="H17" s="96"/>
      <c r="I17" s="397">
        <v>-32304</v>
      </c>
      <c r="J17" s="393"/>
      <c r="K17" s="397">
        <v>-20945</v>
      </c>
      <c r="L17" s="393"/>
      <c r="M17" s="397">
        <f>TAXCALC!E181</f>
        <v>0</v>
      </c>
      <c r="N17" s="393"/>
      <c r="O17" s="398">
        <f t="shared" si="0"/>
        <v>-57377</v>
      </c>
    </row>
    <row r="18" spans="1:15" ht="26.25">
      <c r="A18" s="82" t="s">
        <v>403</v>
      </c>
      <c r="B18" s="67" t="s">
        <v>190</v>
      </c>
      <c r="C18" s="397"/>
      <c r="D18" s="393"/>
      <c r="E18" s="397"/>
      <c r="F18" s="96"/>
      <c r="G18" s="397"/>
      <c r="H18" s="96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7" t="s">
        <v>190</v>
      </c>
      <c r="C19" s="397"/>
      <c r="D19" s="393"/>
      <c r="E19" s="397">
        <v>4029</v>
      </c>
      <c r="F19" s="96"/>
      <c r="G19" s="397">
        <v>4526</v>
      </c>
      <c r="H19" s="96"/>
      <c r="I19" s="397">
        <v>-2995</v>
      </c>
      <c r="J19" s="393"/>
      <c r="K19" s="397">
        <v>-2448</v>
      </c>
      <c r="L19" s="393"/>
      <c r="M19" s="397">
        <v>-1590</v>
      </c>
      <c r="N19" s="393"/>
      <c r="O19" s="398">
        <f t="shared" si="0"/>
        <v>1522</v>
      </c>
    </row>
    <row r="20" spans="1:15" ht="24.75" customHeight="1">
      <c r="A20" s="82" t="s">
        <v>470</v>
      </c>
      <c r="B20" s="67" t="s">
        <v>188</v>
      </c>
      <c r="C20" s="397">
        <v>0</v>
      </c>
      <c r="D20" s="393"/>
      <c r="E20" s="397">
        <v>-1011866</v>
      </c>
      <c r="F20" s="96"/>
      <c r="G20" s="397">
        <v>-1265078</v>
      </c>
      <c r="H20" s="96"/>
      <c r="I20" s="397">
        <v>-798324</v>
      </c>
      <c r="J20" s="393"/>
      <c r="K20" s="397">
        <v>-959111</v>
      </c>
      <c r="L20" s="393"/>
      <c r="M20" s="397">
        <v>-232679</v>
      </c>
      <c r="N20" s="393"/>
      <c r="O20" s="398">
        <f t="shared" si="0"/>
        <v>-4267058</v>
      </c>
    </row>
    <row r="21" spans="1:15" ht="12.75">
      <c r="A21" s="66"/>
      <c r="C21" s="393"/>
      <c r="D21" s="96"/>
      <c r="E21" s="393"/>
      <c r="F21" s="96"/>
      <c r="G21" s="393"/>
      <c r="H21" s="96"/>
      <c r="I21" s="393"/>
      <c r="J21" s="393"/>
      <c r="K21" s="393"/>
      <c r="L21" s="393"/>
      <c r="M21" s="393"/>
      <c r="N21" s="393"/>
      <c r="O21" s="421"/>
    </row>
    <row r="22" spans="1:15" ht="13.5" thickBot="1">
      <c r="A22" s="82" t="s">
        <v>374</v>
      </c>
      <c r="B22" s="34"/>
      <c r="C22" s="399">
        <f>SUM(C11:C20)</f>
        <v>246317</v>
      </c>
      <c r="D22" s="421"/>
      <c r="E22" s="399">
        <f>SUM(E11:E20)</f>
        <v>139188</v>
      </c>
      <c r="F22" s="421"/>
      <c r="G22" s="399">
        <f>SUM(G11:G20)</f>
        <v>-85575</v>
      </c>
      <c r="H22" s="421"/>
      <c r="I22" s="399">
        <f>SUM(I11:I20)</f>
        <v>14361.25</v>
      </c>
      <c r="J22" s="392"/>
      <c r="K22" s="399">
        <f>SUM(K11:K20)</f>
        <v>-95322.5</v>
      </c>
      <c r="L22" s="392"/>
      <c r="M22" s="399">
        <f>SUM(M11:M21)</f>
        <v>26866.08974358978</v>
      </c>
      <c r="N22" s="392"/>
      <c r="O22" s="491">
        <f>SUM(O11:O20)</f>
        <v>26866.08974358905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5"/>
      <c r="B25" s="436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5" t="s">
        <v>405</v>
      </c>
      <c r="B26" s="436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2" t="s">
        <v>408</v>
      </c>
      <c r="B31" s="81"/>
      <c r="C31" s="81"/>
      <c r="D31" s="81"/>
      <c r="E31" s="81"/>
      <c r="F31" s="81"/>
      <c r="G31" s="81"/>
      <c r="H31" s="81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2" t="s">
        <v>409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422"/>
      <c r="Q33" s="422"/>
      <c r="R33" s="422"/>
      <c r="S33" s="422"/>
    </row>
    <row r="34" spans="1:19" ht="12.75">
      <c r="A34" s="511" t="s">
        <v>410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422"/>
      <c r="Q34" s="422"/>
      <c r="R34" s="422"/>
      <c r="S34" s="422"/>
    </row>
    <row r="35" spans="1:19" ht="12.75">
      <c r="A35" s="511" t="s">
        <v>431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22"/>
      <c r="Q35" s="422"/>
      <c r="R35" s="422"/>
      <c r="S35" s="422"/>
    </row>
    <row r="36" spans="1:19" ht="12.75">
      <c r="A36" s="511" t="s">
        <v>411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11" t="s">
        <v>460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0" r:id="rId3"/>
  <headerFooter alignWithMargins="0">
    <oddHeader>&amp;R&amp;9Halton Hills Hydro Inc.
EB-2008-0381
Deferred PILs Combined Proceeding 
Appendix A</oddHeader>
    <oddFooter>&amp;L&amp;8March 22, 2010&amp;R&amp;"Arial,Bold"&amp;9&amp;A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2010-03-22T19:29:31Z</cp:lastPrinted>
  <dcterms:created xsi:type="dcterms:W3CDTF">2001-11-07T16:15:53Z</dcterms:created>
  <dcterms:modified xsi:type="dcterms:W3CDTF">2010-03-22T19:29:32Z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