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Sch 1 - Summary new rate" sheetId="1" r:id="rId1"/>
    <sheet name="Sch 2 - Network variance" sheetId="2" r:id="rId2"/>
    <sheet name="Sch 3 - Line Connection" sheetId="3" r:id="rId3"/>
  </sheets>
  <definedNames>
    <definedName name="_xlnm.Print_Area" localSheetId="1">'Sch 2 - Network variance'!$A$1:$O$73</definedName>
    <definedName name="_xlnm.Print_Area" localSheetId="2">'Sch 3 - Line Connection'!$A$1:$O$71</definedName>
  </definedNames>
  <calcPr fullCalcOnLoad="1"/>
</workbook>
</file>

<file path=xl/sharedStrings.xml><?xml version="1.0" encoding="utf-8"?>
<sst xmlns="http://schemas.openxmlformats.org/spreadsheetml/2006/main" count="251" uniqueCount="73">
  <si>
    <t>Network and Connection Rates</t>
  </si>
  <si>
    <t>KENORA HYDRO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</si>
  <si>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</si>
  <si>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</si>
  <si>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</si>
  <si>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</si>
  <si>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</si>
  <si>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</si>
  <si>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</si>
  <si>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</si>
  <si>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</si>
  <si>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</si>
  <si>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</si>
  <si>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</si>
  <si>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IESO Invoice</t>
  </si>
  <si>
    <t>Network Expense</t>
  </si>
  <si>
    <t>Network Revenue</t>
  </si>
  <si>
    <t>RSVA Balance</t>
  </si>
  <si>
    <t>Change in RSVA</t>
  </si>
  <si>
    <t>Jan 1, 2008</t>
  </si>
  <si>
    <t>Kenora Hydro</t>
  </si>
  <si>
    <t>Impact on Variance Accounts</t>
  </si>
  <si>
    <t>Schedule 1</t>
  </si>
  <si>
    <t>Schedule 2</t>
  </si>
  <si>
    <t>Network Rates -  Impact of IESO Rate Increase</t>
  </si>
  <si>
    <t>REVENUE</t>
  </si>
  <si>
    <t>EXPENSE</t>
  </si>
  <si>
    <t>Impact on Variance</t>
  </si>
  <si>
    <t>Estimated</t>
  </si>
  <si>
    <t>With the increase in IESO Network Service rate:</t>
  </si>
  <si>
    <t>Network Variance Account</t>
  </si>
  <si>
    <t>Connection Variance Account</t>
  </si>
  <si>
    <t>RSVA Balance 2008</t>
  </si>
  <si>
    <t>RSVA Balance Without Customer Rate Change</t>
  </si>
  <si>
    <t>Increase Rates By</t>
  </si>
  <si>
    <t>NETWORK VARIANCE ANALYSIS</t>
  </si>
  <si>
    <t>Change in RSVA Balance</t>
  </si>
  <si>
    <t>Jan 1, 2009</t>
  </si>
  <si>
    <t>RSVA Balance 2009</t>
  </si>
  <si>
    <t>Estimated Balances to Dec 2010  -  Without Customer Rate Change</t>
  </si>
  <si>
    <t>Effective May 1, 2010  -  Increase Customer Rates</t>
  </si>
  <si>
    <t>2010   If No Change in Customer Rates</t>
  </si>
  <si>
    <r>
      <t xml:space="preserve">Annual </t>
    </r>
    <r>
      <rPr>
        <b/>
        <sz val="10"/>
        <rFont val="Arial"/>
        <family val="2"/>
      </rPr>
      <t>Revenue</t>
    </r>
    <r>
      <rPr>
        <sz val="10"/>
        <rFont val="Arial"/>
        <family val="2"/>
      </rPr>
      <t xml:space="preserve"> with rates as at May 1, 2009</t>
    </r>
  </si>
  <si>
    <r>
      <t xml:space="preserve">Annual </t>
    </r>
    <r>
      <rPr>
        <b/>
        <sz val="10"/>
        <rFont val="Arial"/>
        <family val="2"/>
      </rPr>
      <t>Expense</t>
    </r>
    <r>
      <rPr>
        <sz val="10"/>
        <rFont val="Arial"/>
        <family val="2"/>
      </rPr>
      <t xml:space="preserve"> with IESO rate increase July 1, 2009</t>
    </r>
  </si>
  <si>
    <t>Expected Change in Variance Account in 2010</t>
  </si>
  <si>
    <r>
      <t xml:space="preserve">Annual </t>
    </r>
    <r>
      <rPr>
        <b/>
        <sz val="10"/>
        <rFont val="Arial"/>
        <family val="2"/>
      </rPr>
      <t xml:space="preserve">Revenue </t>
    </r>
    <r>
      <rPr>
        <sz val="10"/>
        <rFont val="Arial"/>
        <family val="2"/>
      </rPr>
      <t>with increase effective May 1, 2010</t>
    </r>
  </si>
  <si>
    <t>Line Connection Rates -  Impact of IESO Rate Increase</t>
  </si>
  <si>
    <t>Line Connection Expense</t>
  </si>
  <si>
    <t>Line Connnection Revenue</t>
  </si>
  <si>
    <t>Schedule 3</t>
  </si>
  <si>
    <t>Jan1/10 increase</t>
  </si>
  <si>
    <t>Jan 1, 2010</t>
  </si>
  <si>
    <t>ESTIMATES</t>
  </si>
  <si>
    <r>
      <t xml:space="preserve">Annual </t>
    </r>
    <r>
      <rPr>
        <b/>
        <sz val="10"/>
        <rFont val="Arial"/>
        <family val="2"/>
      </rPr>
      <t>Expense</t>
    </r>
    <r>
      <rPr>
        <sz val="10"/>
        <rFont val="Arial"/>
        <family val="2"/>
      </rPr>
      <t xml:space="preserve"> with IESO rate increase Jan 1, 2010</t>
    </r>
  </si>
  <si>
    <r>
      <t xml:space="preserve">Cumulative </t>
    </r>
    <r>
      <rPr>
        <b/>
        <sz val="10"/>
        <rFont val="Arial"/>
        <family val="2"/>
      </rPr>
      <t xml:space="preserve">Revenue </t>
    </r>
    <r>
      <rPr>
        <sz val="10"/>
        <rFont val="Arial"/>
        <family val="2"/>
      </rPr>
      <t>with increase effective May 1, 2010</t>
    </r>
  </si>
  <si>
    <r>
      <t xml:space="preserve">Cumulative </t>
    </r>
    <r>
      <rPr>
        <b/>
        <sz val="10"/>
        <rFont val="Arial"/>
        <family val="2"/>
      </rPr>
      <t>Expense</t>
    </r>
    <r>
      <rPr>
        <sz val="10"/>
        <rFont val="Arial"/>
        <family val="2"/>
      </rPr>
      <t xml:space="preserve"> with IESO rate increase Jan 1, 2010</t>
    </r>
  </si>
  <si>
    <t>account by the end of 2011.</t>
  </si>
  <si>
    <t>Expected Change in Variance Account to 2011</t>
  </si>
  <si>
    <t>The increase in Line Connection rates will impact Kenora Hydro.</t>
  </si>
  <si>
    <t>2010   With a 20 % Increase in Customer Rates</t>
  </si>
  <si>
    <t>2011   With a 20 % Increase in Customer Rates</t>
  </si>
  <si>
    <t xml:space="preserve">With a 20% increase in customer rates effective May 1, 2010, there will be no material change in the variance </t>
  </si>
  <si>
    <t xml:space="preserve">RSVA Balance with Customer Rate Increase of 20%  </t>
  </si>
  <si>
    <t>Increase Post July/09</t>
  </si>
  <si>
    <t>Increase Pre-July /09</t>
  </si>
  <si>
    <t>Any changes in the Transformation Connection portion will not impact Kenora Hydro.</t>
  </si>
  <si>
    <t>Expense from IESO was increased in July 2009 and again in Jan 2010.</t>
  </si>
  <si>
    <t>With the increase in IESO Line Connection Service rate Jan 2010:</t>
  </si>
  <si>
    <t>LINE CONNECTION VARIANCE ANALYSIS</t>
  </si>
  <si>
    <t xml:space="preserve">RSVA Balance with Customer Rate Increase of 26%  </t>
  </si>
  <si>
    <t>2011   With a 26 % Increase in Customer Rates</t>
  </si>
  <si>
    <t>2010   With a 26 % Increase in Customer Rates</t>
  </si>
  <si>
    <t xml:space="preserve">With a 26% increase in customer rates effective May 1, 2010, there will be no material change in the variance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</si>
</sst>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"/>
    <numFmt numFmtId="165" formatCode="0.0000_);\(0.0000\)"/>
    <numFmt numFmtId="166" formatCode="#,##0.0000_);\(#,##0.0000\)"/>
    <numFmt numFmtId="167" formatCode="[$-F800]dddd\,\ mmmm\ dd\,\ yyyy"/>
    <numFmt numFmtId="168" formatCode="0.0%;\(0.0\)%"/>
    <numFmt numFmtId="169" formatCode="_-&quot;$&quot;* #,##0.000_-;\-&quot;$&quot;* #,##0.000_-;_-&quot;$&quot;* &quot;-&quot;??_-;_-@_-"/>
    <numFmt numFmtId="170" formatCode="_-&quot;$&quot;* #,##0.0000_-;\-&quot;$&quot;* #,##0.0000_-;_-&quot;$&quot;* &quot;-&quot;??_-;_-@_-"/>
    <numFmt numFmtId="171" formatCode="_-&quot;$&quot;* #,##0.00_-;\-&quot;$&quot;* #,##0.00_-;_-&quot;$&quot;* &quot;-&quot;??_-;_-@_-"/>
    <numFmt numFmtId="172" formatCode="#,##0.0000"/>
    <numFmt numFmtId="173" formatCode="[$-409]dddd\,\ mmmm\ dd\,\ yyyy"/>
    <numFmt numFmtId="174" formatCode="0.00_);\(0.00\)"/>
    <numFmt numFmtId="175" formatCode="#,##0.00000"/>
    <numFmt numFmtId="176" formatCode="0.00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9" fontId="0" fillId="0" borderId="0" xfId="0" applyNumberFormat="1" applyAlignment="1">
      <alignment/>
    </xf>
    <xf numFmtId="39" fontId="0" fillId="0" borderId="0" xfId="0" applyNumberFormat="1" applyAlignment="1" quotePrefix="1">
      <alignment horizontal="center"/>
    </xf>
    <xf numFmtId="39" fontId="0" fillId="0" borderId="0" xfId="0" applyNumberFormat="1" applyAlignment="1" quotePrefix="1">
      <alignment horizontal="right"/>
    </xf>
    <xf numFmtId="0" fontId="2" fillId="0" borderId="10" xfId="0" applyFont="1" applyBorder="1" applyAlignment="1">
      <alignment horizontal="center"/>
    </xf>
    <xf numFmtId="166" fontId="2" fillId="0" borderId="0" xfId="0" applyNumberFormat="1" applyFont="1" applyAlignment="1" quotePrefix="1">
      <alignment horizontal="center"/>
    </xf>
    <xf numFmtId="0" fontId="0" fillId="0" borderId="10" xfId="0" applyBorder="1" applyAlignment="1">
      <alignment/>
    </xf>
    <xf numFmtId="3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39" fontId="0" fillId="0" borderId="0" xfId="0" applyNumberFormat="1" applyFont="1" applyAlignment="1" quotePrefix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1" xfId="0" applyNumberFormat="1" applyFont="1" applyBorder="1" applyAlignment="1">
      <alignment horizontal="center"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3" xfId="0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2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 horizontal="center"/>
    </xf>
    <xf numFmtId="37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3" xfId="0" applyNumberFormat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Font="1" applyFill="1" applyAlignment="1">
      <alignment/>
    </xf>
    <xf numFmtId="39" fontId="0" fillId="0" borderId="0" xfId="0" applyNumberFormat="1" applyFont="1" applyAlignment="1" quotePrefix="1">
      <alignment horizontal="right"/>
    </xf>
    <xf numFmtId="37" fontId="5" fillId="13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0" fillId="13" borderId="0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37" fontId="0" fillId="13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5" fillId="1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9">
      <selection activeCell="B36" sqref="B36"/>
    </sheetView>
  </sheetViews>
  <sheetFormatPr defaultColWidth="9.140625" defaultRowHeight="12.75"/>
  <cols>
    <col min="1" max="1" width="4.28125" style="0" customWidth="1"/>
    <col min="4" max="4" width="11.57421875" style="0" customWidth="1"/>
    <col min="6" max="6" width="17.140625" style="0" customWidth="1"/>
    <col min="7" max="7" width="13.28125" style="0" customWidth="1"/>
    <col min="9" max="9" width="5.8515625" style="0" customWidth="1"/>
    <col min="10" max="10" width="2.28125" style="0" customWidth="1"/>
    <col min="11" max="11" width="12.28125" style="0" customWidth="1"/>
  </cols>
  <sheetData>
    <row r="1" spans="6:11" ht="12.75">
      <c r="F1" s="3" t="s">
        <v>20</v>
      </c>
      <c r="K1" t="s">
        <v>22</v>
      </c>
    </row>
    <row r="2" ht="12.75">
      <c r="F2" s="3" t="s">
        <v>0</v>
      </c>
    </row>
    <row r="3" ht="12.75">
      <c r="F3" s="3" t="s">
        <v>21</v>
      </c>
    </row>
    <row r="5" spans="2:4" ht="13.5" thickBot="1">
      <c r="B5" s="13" t="s">
        <v>30</v>
      </c>
      <c r="C5" s="11"/>
      <c r="D5" s="11"/>
    </row>
    <row r="7" ht="12.75">
      <c r="B7" s="19" t="s">
        <v>66</v>
      </c>
    </row>
    <row r="8" ht="8.25" customHeight="1"/>
    <row r="9" ht="12.75">
      <c r="B9" s="19" t="s">
        <v>29</v>
      </c>
    </row>
    <row r="10" spans="9:11" ht="12.75">
      <c r="I10" s="3"/>
      <c r="J10" s="3"/>
      <c r="K10" s="12" t="s">
        <v>28</v>
      </c>
    </row>
    <row r="11" spans="2:11" ht="13.5" thickBot="1">
      <c r="B11" s="2" t="s">
        <v>41</v>
      </c>
      <c r="C11" s="2"/>
      <c r="H11" s="14"/>
      <c r="I11" s="15"/>
      <c r="J11" s="15"/>
      <c r="K11" s="9">
        <v>2010</v>
      </c>
    </row>
    <row r="12" ht="12.75">
      <c r="K12" s="4"/>
    </row>
    <row r="13" spans="4:11" ht="12.75">
      <c r="D13" s="19" t="s">
        <v>42</v>
      </c>
      <c r="G13" s="6"/>
      <c r="H13" s="6"/>
      <c r="I13" s="10"/>
      <c r="J13" s="6"/>
      <c r="K13" s="4">
        <f>SUM('Sch 2 - Network variance'!D42:O42)</f>
        <v>472249.5900000001</v>
      </c>
    </row>
    <row r="14" spans="4:11" ht="12.75">
      <c r="D14" s="19" t="s">
        <v>53</v>
      </c>
      <c r="G14" s="6"/>
      <c r="H14" s="6"/>
      <c r="I14" s="6"/>
      <c r="J14" s="6"/>
      <c r="K14" s="4">
        <f>SUM('Sch 2 - Network variance'!D44:O44)</f>
        <v>567698.8669</v>
      </c>
    </row>
    <row r="15" spans="7:11" ht="12.75">
      <c r="G15" s="6"/>
      <c r="H15" s="6"/>
      <c r="I15" s="6"/>
      <c r="J15" s="6"/>
      <c r="K15" s="4"/>
    </row>
    <row r="16" spans="6:11" ht="13.5" thickBot="1">
      <c r="F16" s="19" t="s">
        <v>44</v>
      </c>
      <c r="G16" s="6"/>
      <c r="H16" s="6"/>
      <c r="I16" s="6"/>
      <c r="J16" s="6"/>
      <c r="K16" s="39">
        <f>-K13+K14</f>
        <v>95449.27689999994</v>
      </c>
    </row>
    <row r="17" spans="7:11" ht="13.5" thickTop="1">
      <c r="G17" s="6"/>
      <c r="H17" s="6"/>
      <c r="I17" s="6"/>
      <c r="J17" s="6"/>
      <c r="K17" s="4"/>
    </row>
    <row r="18" spans="7:11" ht="12.75">
      <c r="G18" s="6"/>
      <c r="H18" s="6"/>
      <c r="I18" s="6"/>
      <c r="J18" s="6"/>
      <c r="K18" s="6"/>
    </row>
    <row r="19" spans="7:11" ht="12.75">
      <c r="G19" s="6"/>
      <c r="H19" s="6"/>
      <c r="I19" s="6"/>
      <c r="J19" s="6"/>
      <c r="K19" s="3" t="s">
        <v>28</v>
      </c>
    </row>
    <row r="20" spans="2:11" ht="13.5" thickBot="1">
      <c r="B20" s="2" t="s">
        <v>71</v>
      </c>
      <c r="C20" s="2"/>
      <c r="G20" s="6"/>
      <c r="H20" s="6"/>
      <c r="I20" s="6"/>
      <c r="J20" s="6"/>
      <c r="K20" s="9">
        <v>2010</v>
      </c>
    </row>
    <row r="21" spans="7:11" ht="12.75">
      <c r="G21" s="6"/>
      <c r="H21" s="6"/>
      <c r="I21" s="6"/>
      <c r="J21" s="6"/>
      <c r="K21" s="6"/>
    </row>
    <row r="22" spans="4:11" ht="12.75">
      <c r="D22" s="19" t="s">
        <v>45</v>
      </c>
      <c r="G22" s="6"/>
      <c r="H22" s="6"/>
      <c r="I22" s="6"/>
      <c r="J22" s="6"/>
      <c r="K22" s="28">
        <f>SUM('Sch 2 - Network variance'!D61:O61)</f>
        <v>540554.4552000001</v>
      </c>
    </row>
    <row r="23" spans="4:11" ht="12.75">
      <c r="D23" s="19" t="s">
        <v>43</v>
      </c>
      <c r="G23" s="6"/>
      <c r="H23" s="6"/>
      <c r="I23" s="6"/>
      <c r="J23" s="6"/>
      <c r="K23" s="28">
        <f>SUM('Sch 2 - Network variance'!D44:O44)</f>
        <v>567698.8669</v>
      </c>
    </row>
    <row r="24" spans="7:11" ht="12.75">
      <c r="G24" s="6"/>
      <c r="H24" s="6"/>
      <c r="I24" s="6"/>
      <c r="J24" s="6"/>
      <c r="K24" s="28"/>
    </row>
    <row r="25" spans="6:11" ht="13.5" thickBot="1">
      <c r="F25" s="19" t="s">
        <v>44</v>
      </c>
      <c r="G25" s="6"/>
      <c r="H25" s="6"/>
      <c r="I25" s="6"/>
      <c r="J25" s="6"/>
      <c r="K25" s="39">
        <f>-K22+K23</f>
        <v>27144.41169999994</v>
      </c>
    </row>
    <row r="26" spans="7:11" ht="13.5" thickTop="1">
      <c r="G26" s="6"/>
      <c r="H26" s="6"/>
      <c r="I26" s="6"/>
      <c r="J26" s="6"/>
      <c r="K26" s="6"/>
    </row>
    <row r="27" spans="7:11" ht="12.75">
      <c r="G27" s="6"/>
      <c r="H27" s="6"/>
      <c r="I27" s="6"/>
      <c r="J27" s="6"/>
      <c r="K27" s="3" t="s">
        <v>28</v>
      </c>
    </row>
    <row r="28" spans="2:11" ht="13.5" thickBot="1">
      <c r="B28" s="2" t="s">
        <v>70</v>
      </c>
      <c r="C28" s="2"/>
      <c r="G28" s="6"/>
      <c r="H28" s="6"/>
      <c r="I28" s="6"/>
      <c r="J28" s="6"/>
      <c r="K28" s="9">
        <v>2011</v>
      </c>
    </row>
    <row r="29" spans="7:11" ht="12.75">
      <c r="G29" s="6"/>
      <c r="H29" s="6"/>
      <c r="I29" s="6"/>
      <c r="J29" s="6"/>
      <c r="K29" s="6"/>
    </row>
    <row r="30" spans="4:11" ht="12.75">
      <c r="D30" s="19" t="s">
        <v>54</v>
      </c>
      <c r="G30" s="6"/>
      <c r="H30" s="6"/>
      <c r="I30" s="6"/>
      <c r="J30" s="6"/>
      <c r="K30" s="28">
        <f>SUM('Sch 2 - Network variance'!D68:O68)+K22</f>
        <v>1135588.9386</v>
      </c>
    </row>
    <row r="31" spans="4:11" ht="12.75">
      <c r="D31" s="19" t="s">
        <v>55</v>
      </c>
      <c r="G31" s="6"/>
      <c r="H31" s="6"/>
      <c r="I31" s="6"/>
      <c r="J31" s="6"/>
      <c r="K31" s="28">
        <f>+K23+SUM('Sch 2 - Network variance'!D70:O70)</f>
        <v>1135397.7338</v>
      </c>
    </row>
    <row r="32" spans="7:11" ht="12.75">
      <c r="G32" s="6"/>
      <c r="H32" s="6"/>
      <c r="I32" s="6"/>
      <c r="J32" s="6"/>
      <c r="K32" s="28"/>
    </row>
    <row r="33" spans="6:11" ht="13.5" thickBot="1">
      <c r="F33" s="19" t="s">
        <v>57</v>
      </c>
      <c r="G33" s="6"/>
      <c r="H33" s="6"/>
      <c r="I33" s="6"/>
      <c r="J33" s="6"/>
      <c r="K33" s="39">
        <f>-K30+K31</f>
        <v>-191.2047999999486</v>
      </c>
    </row>
    <row r="34" spans="7:11" ht="13.5" thickTop="1">
      <c r="G34" s="6"/>
      <c r="H34" s="6"/>
      <c r="I34" s="6"/>
      <c r="J34" s="6"/>
      <c r="K34" s="6"/>
    </row>
    <row r="35" ht="12.75">
      <c r="B35" s="2" t="s">
        <v>72</v>
      </c>
    </row>
    <row r="36" ht="12.75">
      <c r="B36" s="2" t="s">
        <v>56</v>
      </c>
    </row>
    <row r="37" spans="1:12" ht="8.25" customHeight="1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8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4" ht="13.5" thickBot="1">
      <c r="B39" s="13" t="s">
        <v>31</v>
      </c>
      <c r="C39" s="11"/>
      <c r="D39" s="11"/>
    </row>
    <row r="40" ht="13.5" customHeight="1">
      <c r="B40" s="2"/>
    </row>
    <row r="41" ht="12.75">
      <c r="B41" s="19" t="s">
        <v>58</v>
      </c>
    </row>
    <row r="42" ht="12.75">
      <c r="B42" s="19" t="s">
        <v>65</v>
      </c>
    </row>
    <row r="44" ht="12.75">
      <c r="B44" s="19" t="s">
        <v>67</v>
      </c>
    </row>
    <row r="45" spans="9:11" ht="12.75">
      <c r="I45" s="3"/>
      <c r="J45" s="3"/>
      <c r="K45" s="12" t="s">
        <v>28</v>
      </c>
    </row>
    <row r="46" spans="2:11" ht="13.5" thickBot="1">
      <c r="B46" s="2" t="s">
        <v>41</v>
      </c>
      <c r="C46" s="2"/>
      <c r="H46" s="14"/>
      <c r="I46" s="15"/>
      <c r="J46" s="15"/>
      <c r="K46" s="9">
        <v>2010</v>
      </c>
    </row>
    <row r="47" ht="12.75">
      <c r="K47" s="4"/>
    </row>
    <row r="48" spans="4:11" ht="12.75">
      <c r="D48" s="19" t="s">
        <v>42</v>
      </c>
      <c r="G48" s="6"/>
      <c r="H48" s="6"/>
      <c r="I48" s="10"/>
      <c r="J48" s="6"/>
      <c r="K48" s="4">
        <f>SUM('Sch 3 - Line Connection'!D42:O42)</f>
        <v>129629.17000000001</v>
      </c>
    </row>
    <row r="49" spans="4:11" ht="12.75">
      <c r="D49" s="19" t="s">
        <v>53</v>
      </c>
      <c r="G49" s="6"/>
      <c r="H49" s="6"/>
      <c r="I49" s="6"/>
      <c r="J49" s="6"/>
      <c r="K49" s="4">
        <f>SUM('Sch 3 - Line Connection'!D44:O44)</f>
        <v>149956.3275</v>
      </c>
    </row>
    <row r="50" spans="7:11" ht="12.75">
      <c r="G50" s="6"/>
      <c r="H50" s="6"/>
      <c r="I50" s="6"/>
      <c r="J50" s="6"/>
      <c r="K50" s="4"/>
    </row>
    <row r="51" spans="6:11" ht="13.5" thickBot="1">
      <c r="F51" s="19" t="s">
        <v>44</v>
      </c>
      <c r="G51" s="6"/>
      <c r="H51" s="6"/>
      <c r="I51" s="6"/>
      <c r="J51" s="6"/>
      <c r="K51" s="39">
        <f>-K48+K49</f>
        <v>20327.1575</v>
      </c>
    </row>
    <row r="52" spans="7:11" ht="13.5" thickTop="1">
      <c r="G52" s="6"/>
      <c r="H52" s="6"/>
      <c r="I52" s="6"/>
      <c r="J52" s="6"/>
      <c r="K52" s="4"/>
    </row>
    <row r="53" spans="7:11" ht="12.75">
      <c r="G53" s="6"/>
      <c r="H53" s="6"/>
      <c r="I53" s="6"/>
      <c r="J53" s="6"/>
      <c r="K53" s="6"/>
    </row>
    <row r="54" spans="7:11" ht="12.75">
      <c r="G54" s="6"/>
      <c r="H54" s="6"/>
      <c r="I54" s="6"/>
      <c r="J54" s="6"/>
      <c r="K54" s="3" t="s">
        <v>28</v>
      </c>
    </row>
    <row r="55" spans="2:11" ht="13.5" thickBot="1">
      <c r="B55" s="2" t="s">
        <v>59</v>
      </c>
      <c r="C55" s="2"/>
      <c r="G55" s="6"/>
      <c r="H55" s="6"/>
      <c r="I55" s="6"/>
      <c r="J55" s="6"/>
      <c r="K55" s="9">
        <v>2010</v>
      </c>
    </row>
    <row r="56" spans="7:11" ht="12.75">
      <c r="G56" s="6"/>
      <c r="H56" s="6"/>
      <c r="I56" s="6"/>
      <c r="J56" s="6"/>
      <c r="K56" s="6"/>
    </row>
    <row r="57" spans="4:11" ht="12.75">
      <c r="D57" s="19" t="s">
        <v>45</v>
      </c>
      <c r="G57" s="6"/>
      <c r="H57" s="6"/>
      <c r="I57" s="6"/>
      <c r="J57" s="6"/>
      <c r="K57" s="28">
        <f>SUM('Sch 3 - Line Connection'!D60:O60)</f>
        <v>143939.336</v>
      </c>
    </row>
    <row r="58" spans="4:11" ht="12.75">
      <c r="D58" s="19" t="s">
        <v>53</v>
      </c>
      <c r="G58" s="6"/>
      <c r="H58" s="6"/>
      <c r="I58" s="6"/>
      <c r="J58" s="6"/>
      <c r="K58" s="28">
        <f>SUM('Sch 3 - Line Connection'!D44:O44)</f>
        <v>149956.3275</v>
      </c>
    </row>
    <row r="59" spans="7:11" ht="12.75">
      <c r="G59" s="6"/>
      <c r="H59" s="6"/>
      <c r="I59" s="6"/>
      <c r="J59" s="6"/>
      <c r="K59" s="28"/>
    </row>
    <row r="60" spans="6:11" ht="13.5" thickBot="1">
      <c r="F60" s="19" t="s">
        <v>44</v>
      </c>
      <c r="G60" s="6"/>
      <c r="H60" s="6"/>
      <c r="I60" s="6"/>
      <c r="J60" s="6"/>
      <c r="K60" s="39">
        <f>-K57+K58</f>
        <v>6016.991500000004</v>
      </c>
    </row>
    <row r="61" spans="7:11" ht="13.5" thickTop="1">
      <c r="G61" s="6"/>
      <c r="H61" s="6"/>
      <c r="I61" s="6"/>
      <c r="J61" s="6"/>
      <c r="K61" s="6"/>
    </row>
    <row r="62" spans="7:11" ht="12.75">
      <c r="G62" s="6"/>
      <c r="H62" s="6"/>
      <c r="I62" s="6"/>
      <c r="J62" s="6"/>
      <c r="K62" s="3" t="s">
        <v>28</v>
      </c>
    </row>
    <row r="63" spans="2:11" ht="13.5" thickBot="1">
      <c r="B63" s="2" t="s">
        <v>60</v>
      </c>
      <c r="C63" s="2"/>
      <c r="G63" s="6"/>
      <c r="H63" s="6"/>
      <c r="I63" s="6"/>
      <c r="J63" s="6"/>
      <c r="K63" s="9">
        <v>2011</v>
      </c>
    </row>
    <row r="64" spans="7:11" ht="12.75">
      <c r="G64" s="6"/>
      <c r="H64" s="6"/>
      <c r="I64" s="6"/>
      <c r="J64" s="6"/>
      <c r="K64" s="6"/>
    </row>
    <row r="65" spans="4:11" ht="12.75">
      <c r="D65" s="19" t="s">
        <v>54</v>
      </c>
      <c r="G65" s="6"/>
      <c r="H65" s="6"/>
      <c r="I65" s="6"/>
      <c r="J65" s="6"/>
      <c r="K65" s="28">
        <f>SUM('Sch 3 - Line Connection'!D60:O60)+SUM('Sch 3 - Line Connection'!D68:O68)</f>
        <v>299494.34</v>
      </c>
    </row>
    <row r="66" spans="4:11" ht="12.75">
      <c r="D66" s="19" t="s">
        <v>55</v>
      </c>
      <c r="G66" s="6"/>
      <c r="H66" s="6"/>
      <c r="I66" s="6"/>
      <c r="J66" s="6"/>
      <c r="K66" s="28">
        <f>+K58+SUM('Sch 3 - Line Connection'!D44:O44)</f>
        <v>299912.655</v>
      </c>
    </row>
    <row r="67" spans="7:11" ht="12.75">
      <c r="G67" s="6"/>
      <c r="H67" s="6"/>
      <c r="I67" s="6"/>
      <c r="J67" s="6"/>
      <c r="K67" s="28"/>
    </row>
    <row r="68" spans="6:11" ht="13.5" thickBot="1">
      <c r="F68" s="19" t="s">
        <v>57</v>
      </c>
      <c r="G68" s="6"/>
      <c r="H68" s="6"/>
      <c r="I68" s="6"/>
      <c r="J68" s="6"/>
      <c r="K68" s="39">
        <f>-K65+K66</f>
        <v>418.3150000000023</v>
      </c>
    </row>
    <row r="69" spans="7:11" ht="13.5" thickTop="1">
      <c r="G69" s="6"/>
      <c r="H69" s="6"/>
      <c r="I69" s="6"/>
      <c r="J69" s="6"/>
      <c r="K69" s="6"/>
    </row>
    <row r="70" ht="12.75">
      <c r="B70" s="2" t="s">
        <v>61</v>
      </c>
    </row>
    <row r="71" ht="12.75">
      <c r="B71" s="2" t="s">
        <v>56</v>
      </c>
    </row>
  </sheetData>
  <sheetProtection/>
  <printOptions/>
  <pageMargins left="0.75" right="0.75" top="0.36" bottom="0.53" header="0.32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31">
      <selection activeCell="F77" sqref="F77"/>
    </sheetView>
  </sheetViews>
  <sheetFormatPr defaultColWidth="9.140625" defaultRowHeight="12.75"/>
  <cols>
    <col min="1" max="1" width="18.140625" style="0" customWidth="1"/>
    <col min="2" max="2" width="14.00390625" style="0" customWidth="1"/>
    <col min="3" max="3" width="17.57421875" style="0" customWidth="1"/>
    <col min="4" max="4" width="13.140625" style="0" customWidth="1"/>
    <col min="5" max="5" width="11.7109375" style="0" customWidth="1"/>
    <col min="6" max="8" width="12.28125" style="0" customWidth="1"/>
    <col min="9" max="9" width="12.140625" style="0" customWidth="1"/>
    <col min="10" max="11" width="11.57421875" style="0" customWidth="1"/>
    <col min="12" max="12" width="11.7109375" style="0" customWidth="1"/>
    <col min="13" max="13" width="11.421875" style="0" customWidth="1"/>
    <col min="14" max="15" width="11.57421875" style="0" customWidth="1"/>
    <col min="16" max="17" width="10.140625" style="0" bestFit="1" customWidth="1"/>
  </cols>
  <sheetData>
    <row r="1" ht="12.75">
      <c r="H1" s="3" t="s">
        <v>1</v>
      </c>
    </row>
    <row r="2" spans="8:15" ht="12.75">
      <c r="H2" s="3" t="s">
        <v>24</v>
      </c>
      <c r="O2" t="s">
        <v>23</v>
      </c>
    </row>
    <row r="5" spans="4:15" s="21" customFormat="1" ht="12.75"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7" spans="1:17" ht="12.75">
      <c r="A7" s="2" t="s">
        <v>15</v>
      </c>
      <c r="B7" s="20" t="s">
        <v>14</v>
      </c>
      <c r="C7" s="3">
        <v>2006</v>
      </c>
      <c r="D7" s="4">
        <v>50433.43</v>
      </c>
      <c r="E7" s="4">
        <v>49621.22</v>
      </c>
      <c r="F7" s="4">
        <v>47382.69</v>
      </c>
      <c r="G7" s="4">
        <v>36693.78</v>
      </c>
      <c r="H7" s="4">
        <v>41434.03</v>
      </c>
      <c r="I7" s="4">
        <v>41303.85</v>
      </c>
      <c r="J7" s="4">
        <v>45240.38</v>
      </c>
      <c r="K7" s="4">
        <v>45616.77</v>
      </c>
      <c r="L7" s="4">
        <v>37740.88</v>
      </c>
      <c r="M7" s="4">
        <v>47362.88</v>
      </c>
      <c r="N7" s="4">
        <v>48350.55</v>
      </c>
      <c r="O7" s="4">
        <v>55199.15</v>
      </c>
      <c r="P7" s="4"/>
      <c r="Q7" s="4"/>
    </row>
    <row r="8" spans="2:17" ht="12.75"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2.75">
      <c r="B9" s="1"/>
      <c r="C9" s="3">
        <v>2007</v>
      </c>
      <c r="D9" s="4">
        <v>54403.92</v>
      </c>
      <c r="E9" s="4">
        <v>53993.57</v>
      </c>
      <c r="F9" s="4">
        <v>49581.6</v>
      </c>
      <c r="G9" s="4">
        <v>38918.16</v>
      </c>
      <c r="H9" s="4">
        <v>38756.85</v>
      </c>
      <c r="I9" s="4">
        <v>43607.47</v>
      </c>
      <c r="J9" s="4">
        <v>55776.47</v>
      </c>
      <c r="K9" s="4">
        <v>42868.84</v>
      </c>
      <c r="L9" s="4">
        <v>38015.39</v>
      </c>
      <c r="M9" s="26">
        <v>37766.35</v>
      </c>
      <c r="N9" s="26">
        <v>42612.57</v>
      </c>
      <c r="O9" s="26">
        <v>43391.04</v>
      </c>
      <c r="P9" s="4"/>
      <c r="Q9" s="4"/>
    </row>
    <row r="10" spans="2:17" ht="12.75">
      <c r="B10" s="1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12.75">
      <c r="B11" s="1"/>
      <c r="C11" s="3">
        <v>2008</v>
      </c>
      <c r="D11" s="4">
        <v>48685.56</v>
      </c>
      <c r="E11" s="4">
        <v>44412.06</v>
      </c>
      <c r="F11" s="4">
        <v>41658.54</v>
      </c>
      <c r="G11" s="4">
        <v>31180.38</v>
      </c>
      <c r="H11" s="4">
        <v>29251.53</v>
      </c>
      <c r="I11" s="4">
        <v>30683.73</v>
      </c>
      <c r="J11" s="4">
        <v>32827.41</v>
      </c>
      <c r="K11" s="4">
        <v>35222.88</v>
      </c>
      <c r="L11" s="4">
        <v>30154.74</v>
      </c>
      <c r="M11" s="51">
        <v>32226.81</v>
      </c>
      <c r="N11" s="51">
        <v>39561.06</v>
      </c>
      <c r="O11" s="51">
        <f>44294.25</f>
        <v>44294.25</v>
      </c>
      <c r="P11" s="4"/>
      <c r="Q11" s="4"/>
    </row>
    <row r="12" spans="2:17" ht="12.75">
      <c r="B12" s="1"/>
      <c r="C12" s="1"/>
      <c r="D12" s="4"/>
      <c r="E12" s="4"/>
      <c r="F12" s="4"/>
      <c r="G12" s="4"/>
      <c r="H12" s="4"/>
      <c r="I12" s="4"/>
      <c r="J12" s="4"/>
      <c r="K12" s="4"/>
      <c r="L12" s="4"/>
      <c r="M12" s="45"/>
      <c r="N12" s="45"/>
      <c r="O12" s="45"/>
      <c r="P12" s="4"/>
      <c r="Q12" s="4"/>
    </row>
    <row r="13" spans="2:17" ht="12.75">
      <c r="B13" s="1"/>
      <c r="C13" s="3">
        <v>2009</v>
      </c>
      <c r="D13" s="4">
        <v>54581.66</v>
      </c>
      <c r="E13" s="4">
        <v>49182.09</v>
      </c>
      <c r="F13" s="4">
        <v>44589.5</v>
      </c>
      <c r="G13" s="4">
        <v>35435.16</v>
      </c>
      <c r="H13" s="4">
        <f>32389.71</f>
        <v>32389.71</v>
      </c>
      <c r="I13" s="4">
        <v>40508.34</v>
      </c>
      <c r="J13" s="4">
        <v>35018.9</v>
      </c>
      <c r="K13" s="4">
        <v>37955.54</v>
      </c>
      <c r="L13" s="4">
        <v>38006.08</v>
      </c>
      <c r="M13" s="43">
        <v>38256</v>
      </c>
      <c r="N13" s="43">
        <v>44126.74</v>
      </c>
      <c r="O13" s="43">
        <v>52072.16</v>
      </c>
      <c r="P13" s="4"/>
      <c r="Q13" s="4"/>
    </row>
    <row r="14" spans="2:17" ht="12.75">
      <c r="B14" s="1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4"/>
      <c r="O14" s="44"/>
      <c r="P14" s="4"/>
      <c r="Q14" s="4"/>
    </row>
    <row r="15" spans="2:15" s="21" customFormat="1" ht="12.75">
      <c r="B15" s="20"/>
      <c r="D15" s="25" t="s">
        <v>2</v>
      </c>
      <c r="E15" s="25" t="s">
        <v>3</v>
      </c>
      <c r="F15" s="25" t="s">
        <v>4</v>
      </c>
      <c r="G15" s="25" t="s">
        <v>5</v>
      </c>
      <c r="H15" s="25" t="s">
        <v>6</v>
      </c>
      <c r="I15" s="25" t="s">
        <v>7</v>
      </c>
      <c r="J15" s="25" t="s">
        <v>8</v>
      </c>
      <c r="K15" s="25" t="s">
        <v>9</v>
      </c>
      <c r="L15" s="25" t="s">
        <v>10</v>
      </c>
      <c r="M15" s="25" t="s">
        <v>11</v>
      </c>
      <c r="N15" s="25" t="s">
        <v>12</v>
      </c>
      <c r="O15" s="25" t="s">
        <v>13</v>
      </c>
    </row>
    <row r="16" spans="2:15" ht="12.75">
      <c r="B16" s="1"/>
      <c r="C16" s="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6" ht="12.75">
      <c r="A17" s="2" t="s">
        <v>16</v>
      </c>
      <c r="B17" s="19"/>
      <c r="C17" s="3">
        <v>2006</v>
      </c>
      <c r="D17" s="27">
        <v>66088.12</v>
      </c>
      <c r="E17" s="27">
        <v>55651.66</v>
      </c>
      <c r="F17" s="27">
        <v>61645.11</v>
      </c>
      <c r="G17" s="27">
        <v>40940.7</v>
      </c>
      <c r="H17" s="27">
        <v>45869.27</v>
      </c>
      <c r="I17" s="27">
        <v>41912.11</v>
      </c>
      <c r="J17" s="27">
        <v>35758.28</v>
      </c>
      <c r="K17" s="27">
        <v>52625.22</v>
      </c>
      <c r="L17" s="27">
        <v>37676.51</v>
      </c>
      <c r="M17" s="27">
        <v>40004.34</v>
      </c>
      <c r="N17" s="27">
        <v>38088.44</v>
      </c>
      <c r="O17" s="27">
        <v>35559.71</v>
      </c>
      <c r="P17" s="4"/>
    </row>
    <row r="18" spans="4:16" ht="12.75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8"/>
    </row>
    <row r="19" spans="3:16" ht="12.75">
      <c r="C19" s="3">
        <v>2007</v>
      </c>
      <c r="D19" s="27">
        <v>57181.65</v>
      </c>
      <c r="E19" s="27">
        <v>48401.47</v>
      </c>
      <c r="F19" s="27">
        <v>54059.24</v>
      </c>
      <c r="G19" s="27">
        <v>41697.81</v>
      </c>
      <c r="H19" s="27">
        <v>50515.65</v>
      </c>
      <c r="I19" s="27">
        <v>37536.69</v>
      </c>
      <c r="J19" s="27">
        <v>45713.74</v>
      </c>
      <c r="K19" s="27">
        <v>43145.04</v>
      </c>
      <c r="L19" s="27">
        <v>40284.51</v>
      </c>
      <c r="M19" s="27">
        <f>15056.08+8837.78+15256.2+603.6</f>
        <v>39753.659999999996</v>
      </c>
      <c r="N19" s="27">
        <f>13425.35+8449.68+17491.63+1207.2</f>
        <v>40573.86</v>
      </c>
      <c r="O19" s="27">
        <f>13099.19+7768.77+13490.52+603.6+314.45</f>
        <v>35276.52999999999</v>
      </c>
      <c r="P19" s="4"/>
    </row>
    <row r="20" spans="4:16" ht="12.75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8"/>
    </row>
    <row r="21" spans="3:17" ht="12.75">
      <c r="C21" s="3">
        <v>2008</v>
      </c>
      <c r="D21" s="27">
        <f>26844.61+12428.59+19183.49+603.6</f>
        <v>59060.29</v>
      </c>
      <c r="E21" s="27">
        <f>17943.81+10547.84+14530.87</f>
        <v>43022.520000000004</v>
      </c>
      <c r="F21" s="27">
        <f>20615.56+11030.99+15900.9+603.6</f>
        <v>48151.05</v>
      </c>
      <c r="G21" s="27">
        <f>23427.83+10886.85+19813.35+1207.2</f>
        <v>55335.229999999996</v>
      </c>
      <c r="H21" s="27">
        <f>12686.81+7445.5+15391.68</f>
        <v>35523.99</v>
      </c>
      <c r="I21" s="27">
        <f>12790.39+7393.36+13397.75</f>
        <v>33581.5</v>
      </c>
      <c r="J21" s="27">
        <f>12829.09+6589.04+13485.38+1128.74</f>
        <v>34032.25</v>
      </c>
      <c r="K21" s="27">
        <f>11061.43+7716.43+14511.98+1050.28</f>
        <v>34340.119999999995</v>
      </c>
      <c r="L21" s="27">
        <f>13968.21+7772.16+14232.73+525.14</f>
        <v>36498.24</v>
      </c>
      <c r="M21" s="33">
        <f>11637.05+6897.29+15302.65</f>
        <v>33836.99</v>
      </c>
      <c r="N21" s="33">
        <f>11127.11+6509.82+13011.94+525.14</f>
        <v>31174.010000000002</v>
      </c>
      <c r="O21" s="33">
        <f>14307.78+7965.6+13373.34+1050.28-12678.83</f>
        <v>24018.17</v>
      </c>
      <c r="P21" s="4"/>
      <c r="Q21" s="1"/>
    </row>
    <row r="22" spans="4:15" ht="12.75">
      <c r="D22" s="28"/>
      <c r="E22" s="28"/>
      <c r="F22" s="28"/>
      <c r="G22" s="28"/>
      <c r="H22" s="28"/>
      <c r="I22" s="28"/>
      <c r="J22" s="28"/>
      <c r="K22" s="28"/>
      <c r="L22" s="28"/>
      <c r="M22" s="50"/>
      <c r="N22" s="50"/>
      <c r="O22" s="50"/>
    </row>
    <row r="23" spans="3:15" ht="12.75">
      <c r="C23" s="3">
        <v>2009</v>
      </c>
      <c r="D23" s="28">
        <f>22245.07+9022.44+15754.43+525.14</f>
        <v>47547.08</v>
      </c>
      <c r="E23" s="28">
        <f>19664.98+9771.19+12802.48+525.14</f>
        <v>42763.78999999999</v>
      </c>
      <c r="F23" s="28">
        <f>21676.38+10144.47+18261.11+525.14</f>
        <v>50607.1</v>
      </c>
      <c r="G23" s="28">
        <f>14740.1+8062.66+12686+525.14</f>
        <v>36013.9</v>
      </c>
      <c r="H23" s="28">
        <f>11952.91+7083.4+11804.47</f>
        <v>30840.78</v>
      </c>
      <c r="I23" s="28">
        <f>16359.7+7803.23+12681.82</f>
        <v>36844.75</v>
      </c>
      <c r="J23" s="28">
        <f>12743.64+7939.98+14064.03</f>
        <v>34747.65</v>
      </c>
      <c r="K23" s="28">
        <f>10613.7+6872.98+11669.86+525.14</f>
        <v>29681.68</v>
      </c>
      <c r="L23" s="28">
        <f>12592.98+7292.28+15118.2</f>
        <v>35003.46</v>
      </c>
      <c r="M23" s="32">
        <f>15069.86+8326.11+19025.73+2289.68</f>
        <v>44711.38</v>
      </c>
      <c r="N23" s="32">
        <f>36377.33</f>
        <v>36377.33</v>
      </c>
      <c r="O23" s="32">
        <f>38358.71+6986.06</f>
        <v>45344.77</v>
      </c>
    </row>
    <row r="24" spans="4:15" ht="12.7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44"/>
      <c r="O24" s="44"/>
    </row>
    <row r="25" spans="4:15" ht="12.75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s="21" customFormat="1" ht="12.75">
      <c r="B26" s="20"/>
      <c r="D26" s="31" t="s">
        <v>2</v>
      </c>
      <c r="E26" s="31" t="s">
        <v>3</v>
      </c>
      <c r="F26" s="31" t="s">
        <v>4</v>
      </c>
      <c r="G26" s="31" t="s">
        <v>5</v>
      </c>
      <c r="H26" s="31" t="s">
        <v>6</v>
      </c>
      <c r="I26" s="31" t="s">
        <v>7</v>
      </c>
      <c r="J26" s="31" t="s">
        <v>8</v>
      </c>
      <c r="K26" s="31" t="s">
        <v>9</v>
      </c>
      <c r="L26" s="31" t="s">
        <v>10</v>
      </c>
      <c r="M26" s="31" t="s">
        <v>11</v>
      </c>
      <c r="N26" s="31" t="s">
        <v>12</v>
      </c>
      <c r="O26" s="31" t="s">
        <v>13</v>
      </c>
    </row>
    <row r="27" spans="4:15" ht="12.75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2:15" ht="12.75">
      <c r="B28" s="5" t="s">
        <v>36</v>
      </c>
      <c r="C28" s="7" t="s">
        <v>19</v>
      </c>
      <c r="D28" s="28">
        <f aca="true" t="shared" si="0" ref="D28:O28">+D11-D21</f>
        <v>-10374.730000000003</v>
      </c>
      <c r="E28" s="28">
        <f t="shared" si="0"/>
        <v>1389.5399999999936</v>
      </c>
      <c r="F28" s="28">
        <f t="shared" si="0"/>
        <v>-6492.510000000002</v>
      </c>
      <c r="G28" s="28">
        <f t="shared" si="0"/>
        <v>-24154.849999999995</v>
      </c>
      <c r="H28" s="28">
        <f t="shared" si="0"/>
        <v>-6272.459999999999</v>
      </c>
      <c r="I28" s="28">
        <f t="shared" si="0"/>
        <v>-2897.7700000000004</v>
      </c>
      <c r="J28" s="28">
        <f t="shared" si="0"/>
        <v>-1204.8399999999965</v>
      </c>
      <c r="K28" s="28">
        <f t="shared" si="0"/>
        <v>882.760000000002</v>
      </c>
      <c r="L28" s="28">
        <f t="shared" si="0"/>
        <v>-6343.499999999996</v>
      </c>
      <c r="M28" s="28">
        <f t="shared" si="0"/>
        <v>-1610.1799999999967</v>
      </c>
      <c r="N28" s="28">
        <f t="shared" si="0"/>
        <v>8387.049999999996</v>
      </c>
      <c r="O28" s="28">
        <f t="shared" si="0"/>
        <v>20276.08</v>
      </c>
    </row>
    <row r="29" spans="2:15" ht="13.5" thickBot="1">
      <c r="B29" s="5" t="s">
        <v>32</v>
      </c>
      <c r="C29" s="28">
        <v>-8539</v>
      </c>
      <c r="D29" s="41">
        <f aca="true" t="shared" si="1" ref="D29:O29">+C29+D28</f>
        <v>-18913.730000000003</v>
      </c>
      <c r="E29" s="41">
        <f t="shared" si="1"/>
        <v>-17524.19000000001</v>
      </c>
      <c r="F29" s="41">
        <f t="shared" si="1"/>
        <v>-24016.70000000001</v>
      </c>
      <c r="G29" s="41">
        <f t="shared" si="1"/>
        <v>-48171.55</v>
      </c>
      <c r="H29" s="41">
        <f t="shared" si="1"/>
        <v>-54444.01</v>
      </c>
      <c r="I29" s="41">
        <f t="shared" si="1"/>
        <v>-57341.78</v>
      </c>
      <c r="J29" s="41">
        <f t="shared" si="1"/>
        <v>-58546.619999999995</v>
      </c>
      <c r="K29" s="41">
        <f t="shared" si="1"/>
        <v>-57663.85999999999</v>
      </c>
      <c r="L29" s="41">
        <f t="shared" si="1"/>
        <v>-64007.359999999986</v>
      </c>
      <c r="M29" s="41">
        <f t="shared" si="1"/>
        <v>-65617.53999999998</v>
      </c>
      <c r="N29" s="41">
        <f t="shared" si="1"/>
        <v>-57230.48999999998</v>
      </c>
      <c r="O29" s="41">
        <f t="shared" si="1"/>
        <v>-36954.40999999998</v>
      </c>
    </row>
    <row r="30" spans="4:15" ht="13.5" thickTop="1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4:15" ht="12.7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2.75">
      <c r="B32" s="5" t="s">
        <v>36</v>
      </c>
      <c r="C32" s="16" t="s">
        <v>37</v>
      </c>
      <c r="D32" s="28">
        <f aca="true" t="shared" si="2" ref="D32:O32">+D13-D23</f>
        <v>7034.580000000002</v>
      </c>
      <c r="E32" s="28">
        <f t="shared" si="2"/>
        <v>6418.300000000003</v>
      </c>
      <c r="F32" s="28">
        <f t="shared" si="2"/>
        <v>-6017.5999999999985</v>
      </c>
      <c r="G32" s="28">
        <f t="shared" si="2"/>
        <v>-578.739999999998</v>
      </c>
      <c r="H32" s="28">
        <f t="shared" si="2"/>
        <v>1548.9300000000003</v>
      </c>
      <c r="I32" s="28">
        <f t="shared" si="2"/>
        <v>3663.5899999999965</v>
      </c>
      <c r="J32" s="28">
        <f t="shared" si="2"/>
        <v>271.25</v>
      </c>
      <c r="K32" s="28">
        <f t="shared" si="2"/>
        <v>8273.86</v>
      </c>
      <c r="L32" s="28">
        <f t="shared" si="2"/>
        <v>3002.6200000000026</v>
      </c>
      <c r="M32" s="28">
        <f t="shared" si="2"/>
        <v>-6455.379999999997</v>
      </c>
      <c r="N32" s="28">
        <f t="shared" si="2"/>
        <v>7749.409999999996</v>
      </c>
      <c r="O32" s="28">
        <f t="shared" si="2"/>
        <v>6727.390000000007</v>
      </c>
    </row>
    <row r="33" spans="2:15" ht="13.5" thickBot="1">
      <c r="B33" s="5" t="s">
        <v>38</v>
      </c>
      <c r="C33" s="28">
        <f>+O29</f>
        <v>-36954.40999999998</v>
      </c>
      <c r="D33" s="41">
        <f aca="true" t="shared" si="3" ref="D33:O33">+C33+D32</f>
        <v>-29919.82999999998</v>
      </c>
      <c r="E33" s="41">
        <f t="shared" si="3"/>
        <v>-23501.529999999977</v>
      </c>
      <c r="F33" s="41">
        <f t="shared" si="3"/>
        <v>-29519.129999999976</v>
      </c>
      <c r="G33" s="41">
        <f t="shared" si="3"/>
        <v>-30097.869999999974</v>
      </c>
      <c r="H33" s="41">
        <f t="shared" si="3"/>
        <v>-28548.939999999973</v>
      </c>
      <c r="I33" s="41">
        <f t="shared" si="3"/>
        <v>-24885.349999999977</v>
      </c>
      <c r="J33" s="41">
        <f t="shared" si="3"/>
        <v>-24614.099999999977</v>
      </c>
      <c r="K33" s="41">
        <f t="shared" si="3"/>
        <v>-16340.239999999976</v>
      </c>
      <c r="L33" s="41">
        <f t="shared" si="3"/>
        <v>-13337.619999999974</v>
      </c>
      <c r="M33" s="41">
        <f t="shared" si="3"/>
        <v>-19792.99999999997</v>
      </c>
      <c r="N33" s="41">
        <f t="shared" si="3"/>
        <v>-12043.589999999975</v>
      </c>
      <c r="O33" s="41">
        <f t="shared" si="3"/>
        <v>-5316.199999999968</v>
      </c>
    </row>
    <row r="34" spans="4:15" ht="13.5" thickTop="1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4:15" ht="12.7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3.5" thickBot="1">
      <c r="A36" s="13" t="s">
        <v>35</v>
      </c>
      <c r="B36" s="11"/>
      <c r="C36" s="1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4:15" ht="12.7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2.75">
      <c r="A38" s="2" t="s">
        <v>39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2.75">
      <c r="A39" s="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4:15" ht="12.75">
      <c r="D40" s="31" t="s">
        <v>2</v>
      </c>
      <c r="E40" s="31" t="s">
        <v>3</v>
      </c>
      <c r="F40" s="31" t="s">
        <v>4</v>
      </c>
      <c r="G40" s="31" t="s">
        <v>5</v>
      </c>
      <c r="H40" s="31" t="s">
        <v>6</v>
      </c>
      <c r="I40" s="31" t="s">
        <v>7</v>
      </c>
      <c r="J40" s="31" t="s">
        <v>8</v>
      </c>
      <c r="K40" s="31" t="s">
        <v>9</v>
      </c>
      <c r="L40" s="31" t="s">
        <v>10</v>
      </c>
      <c r="M40" s="31" t="s">
        <v>11</v>
      </c>
      <c r="N40" s="31" t="s">
        <v>12</v>
      </c>
      <c r="O40" s="31" t="s">
        <v>13</v>
      </c>
    </row>
    <row r="41" spans="4:15" ht="12.75">
      <c r="D41" s="28"/>
      <c r="E41" s="28"/>
      <c r="F41" s="28"/>
      <c r="G41" s="28"/>
      <c r="H41" s="30"/>
      <c r="I41" s="28"/>
      <c r="J41" s="28"/>
      <c r="K41" s="28"/>
      <c r="L41" s="28"/>
      <c r="M41" s="28"/>
      <c r="N41" s="28"/>
      <c r="O41" s="28"/>
    </row>
    <row r="42" spans="2:16" ht="12.75">
      <c r="B42">
        <v>2010</v>
      </c>
      <c r="C42" s="21" t="s">
        <v>25</v>
      </c>
      <c r="D42" s="27">
        <v>48561.1</v>
      </c>
      <c r="E42" s="27">
        <v>43515.69</v>
      </c>
      <c r="F42" s="52">
        <f aca="true" t="shared" si="4" ref="F42:O42">+F23</f>
        <v>50607.1</v>
      </c>
      <c r="G42" s="52">
        <f t="shared" si="4"/>
        <v>36013.9</v>
      </c>
      <c r="H42" s="52">
        <f t="shared" si="4"/>
        <v>30840.78</v>
      </c>
      <c r="I42" s="52">
        <f t="shared" si="4"/>
        <v>36844.75</v>
      </c>
      <c r="J42" s="52">
        <f t="shared" si="4"/>
        <v>34747.65</v>
      </c>
      <c r="K42" s="52">
        <f t="shared" si="4"/>
        <v>29681.68</v>
      </c>
      <c r="L42" s="52">
        <f t="shared" si="4"/>
        <v>35003.46</v>
      </c>
      <c r="M42" s="52">
        <f t="shared" si="4"/>
        <v>44711.38</v>
      </c>
      <c r="N42" s="52">
        <f t="shared" si="4"/>
        <v>36377.33</v>
      </c>
      <c r="O42" s="52">
        <f t="shared" si="4"/>
        <v>45344.77</v>
      </c>
      <c r="P42" s="17"/>
    </row>
    <row r="43" spans="3:16" ht="12.75">
      <c r="C43" s="21"/>
      <c r="D43" s="27"/>
      <c r="E43" s="27"/>
      <c r="F43" s="56" t="s">
        <v>52</v>
      </c>
      <c r="G43" s="56"/>
      <c r="H43" s="56"/>
      <c r="I43" s="56"/>
      <c r="J43" s="56"/>
      <c r="K43" s="56"/>
      <c r="L43" s="56"/>
      <c r="M43" s="56"/>
      <c r="N43" s="56"/>
      <c r="O43" s="56"/>
      <c r="P43" s="18"/>
    </row>
    <row r="44" spans="2:16" ht="12.75">
      <c r="B44">
        <v>2010</v>
      </c>
      <c r="C44" s="21" t="s">
        <v>26</v>
      </c>
      <c r="D44" s="27">
        <v>58523.85</v>
      </c>
      <c r="E44" s="27">
        <v>58245</v>
      </c>
      <c r="F44" s="52">
        <f>F13+(F13*0.156)</f>
        <v>51545.462</v>
      </c>
      <c r="G44" s="52">
        <f>G13+(G13*0.156)</f>
        <v>40963.04496000001</v>
      </c>
      <c r="H44" s="52">
        <f>H13+(H13*0.156)</f>
        <v>37442.504759999996</v>
      </c>
      <c r="I44" s="52">
        <f>I13+(I13*0.156)</f>
        <v>46827.641039999995</v>
      </c>
      <c r="J44" s="52">
        <f aca="true" t="shared" si="5" ref="J44:O44">+J13+(J13*0.117)</f>
        <v>39116.111300000004</v>
      </c>
      <c r="K44" s="52">
        <f t="shared" si="5"/>
        <v>42396.33818</v>
      </c>
      <c r="L44" s="52">
        <f t="shared" si="5"/>
        <v>42452.79136</v>
      </c>
      <c r="M44" s="52">
        <f t="shared" si="5"/>
        <v>42731.952</v>
      </c>
      <c r="N44" s="52">
        <f t="shared" si="5"/>
        <v>49289.56858</v>
      </c>
      <c r="O44" s="52">
        <f t="shared" si="5"/>
        <v>58164.60272</v>
      </c>
      <c r="P44" s="17"/>
    </row>
    <row r="45" spans="2:15" ht="12.75">
      <c r="B45" s="23" t="s">
        <v>63</v>
      </c>
      <c r="C45" s="22">
        <v>0.117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2:15" ht="12.75">
      <c r="B46" s="23" t="s">
        <v>64</v>
      </c>
      <c r="C46" s="22">
        <v>0.156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4:15" ht="12.7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3:17" ht="12.75">
      <c r="C48" t="s">
        <v>27</v>
      </c>
      <c r="D48" s="28">
        <f aca="true" t="shared" si="6" ref="D48:O48">+D44-D42</f>
        <v>9962.75</v>
      </c>
      <c r="E48" s="28">
        <f t="shared" si="6"/>
        <v>14729.309999999998</v>
      </c>
      <c r="F48" s="28">
        <f t="shared" si="6"/>
        <v>938.362000000001</v>
      </c>
      <c r="G48" s="28">
        <f t="shared" si="6"/>
        <v>4949.144960000005</v>
      </c>
      <c r="H48" s="28">
        <f t="shared" si="6"/>
        <v>6601.724759999997</v>
      </c>
      <c r="I48" s="28">
        <f t="shared" si="6"/>
        <v>9982.891039999995</v>
      </c>
      <c r="J48" s="28">
        <f t="shared" si="6"/>
        <v>4368.461300000003</v>
      </c>
      <c r="K48" s="28">
        <f t="shared" si="6"/>
        <v>12714.658179999999</v>
      </c>
      <c r="L48" s="28">
        <f t="shared" si="6"/>
        <v>7449.331360000004</v>
      </c>
      <c r="M48" s="28">
        <f t="shared" si="6"/>
        <v>-1979.4279999999999</v>
      </c>
      <c r="N48" s="28">
        <f t="shared" si="6"/>
        <v>12912.238579999997</v>
      </c>
      <c r="O48" s="28">
        <f t="shared" si="6"/>
        <v>12819.832720000006</v>
      </c>
      <c r="P48" s="6"/>
      <c r="Q48" s="6"/>
    </row>
    <row r="49" spans="4:15" ht="12.7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3:15" ht="13.5" thickBot="1">
      <c r="C50" s="5" t="s">
        <v>33</v>
      </c>
      <c r="D50" s="29">
        <f>+O33+D48</f>
        <v>4646.550000000032</v>
      </c>
      <c r="E50" s="29">
        <f aca="true" t="shared" si="7" ref="E50:O50">+D50+E48</f>
        <v>19375.86000000003</v>
      </c>
      <c r="F50" s="29">
        <f t="shared" si="7"/>
        <v>20314.22200000003</v>
      </c>
      <c r="G50" s="29">
        <f t="shared" si="7"/>
        <v>25263.366960000036</v>
      </c>
      <c r="H50" s="29">
        <f t="shared" si="7"/>
        <v>31865.091720000033</v>
      </c>
      <c r="I50" s="29">
        <f t="shared" si="7"/>
        <v>41847.98276000003</v>
      </c>
      <c r="J50" s="29">
        <f t="shared" si="7"/>
        <v>46216.44406000003</v>
      </c>
      <c r="K50" s="29">
        <f t="shared" si="7"/>
        <v>58931.10224000003</v>
      </c>
      <c r="L50" s="29">
        <f t="shared" si="7"/>
        <v>66380.43360000003</v>
      </c>
      <c r="M50" s="29">
        <f t="shared" si="7"/>
        <v>64401.00560000003</v>
      </c>
      <c r="N50" s="29">
        <f t="shared" si="7"/>
        <v>77313.24418000004</v>
      </c>
      <c r="O50" s="29">
        <f t="shared" si="7"/>
        <v>90133.07690000004</v>
      </c>
    </row>
    <row r="51" spans="4:15" ht="13.5" thickTop="1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4:15" ht="12.75">
      <c r="D52" s="28"/>
      <c r="E52" s="28"/>
      <c r="F52" s="28"/>
      <c r="G52" s="32"/>
      <c r="H52" s="32"/>
      <c r="I52" s="28"/>
      <c r="J52" s="28"/>
      <c r="K52" s="28"/>
      <c r="L52" s="28"/>
      <c r="M52" s="28"/>
      <c r="N52" s="28"/>
      <c r="O52" s="28"/>
    </row>
    <row r="53" spans="2:15" ht="12.75" hidden="1">
      <c r="B53" s="5" t="s">
        <v>18</v>
      </c>
      <c r="C53" s="8" t="s">
        <v>19</v>
      </c>
      <c r="D53" s="28" t="e">
        <f>+#REF!-#REF!</f>
        <v>#REF!</v>
      </c>
      <c r="E53" s="28" t="e">
        <f>+#REF!-#REF!</f>
        <v>#REF!</v>
      </c>
      <c r="F53" s="28" t="e">
        <f>+#REF!-#REF!</f>
        <v>#REF!</v>
      </c>
      <c r="G53" s="32" t="e">
        <f>+#REF!-#REF!</f>
        <v>#REF!</v>
      </c>
      <c r="H53" s="32" t="e">
        <f>+#REF!-#REF!</f>
        <v>#REF!</v>
      </c>
      <c r="I53" s="28" t="e">
        <f>+#REF!-#REF!</f>
        <v>#REF!</v>
      </c>
      <c r="J53" s="28" t="e">
        <f>+#REF!-#REF!</f>
        <v>#REF!</v>
      </c>
      <c r="K53" s="28" t="e">
        <f>+#REF!-#REF!</f>
        <v>#REF!</v>
      </c>
      <c r="L53" s="28" t="e">
        <f>+#REF!-#REF!</f>
        <v>#REF!</v>
      </c>
      <c r="M53" s="28" t="e">
        <f>+#REF!-#REF!</f>
        <v>#REF!</v>
      </c>
      <c r="N53" s="28" t="e">
        <f>+#REF!-#REF!</f>
        <v>#REF!</v>
      </c>
      <c r="O53" s="28" t="e">
        <f>+#REF!-#REF!</f>
        <v>#REF!</v>
      </c>
    </row>
    <row r="54" spans="2:15" ht="12.75" hidden="1">
      <c r="B54" s="5" t="s">
        <v>17</v>
      </c>
      <c r="C54" s="6">
        <f>+O29</f>
        <v>-36954.40999999998</v>
      </c>
      <c r="D54" s="28" t="e">
        <f>+C54+D53</f>
        <v>#REF!</v>
      </c>
      <c r="E54" s="28" t="e">
        <f aca="true" t="shared" si="8" ref="E54:O54">+D54+E53</f>
        <v>#REF!</v>
      </c>
      <c r="F54" s="28" t="e">
        <f t="shared" si="8"/>
        <v>#REF!</v>
      </c>
      <c r="G54" s="32" t="e">
        <f t="shared" si="8"/>
        <v>#REF!</v>
      </c>
      <c r="H54" s="32" t="e">
        <f t="shared" si="8"/>
        <v>#REF!</v>
      </c>
      <c r="I54" s="28" t="e">
        <f t="shared" si="8"/>
        <v>#REF!</v>
      </c>
      <c r="J54" s="28" t="e">
        <f t="shared" si="8"/>
        <v>#REF!</v>
      </c>
      <c r="K54" s="28" t="e">
        <f t="shared" si="8"/>
        <v>#REF!</v>
      </c>
      <c r="L54" s="28" t="e">
        <f t="shared" si="8"/>
        <v>#REF!</v>
      </c>
      <c r="M54" s="28" t="e">
        <f t="shared" si="8"/>
        <v>#REF!</v>
      </c>
      <c r="N54" s="28" t="e">
        <f t="shared" si="8"/>
        <v>#REF!</v>
      </c>
      <c r="O54" s="28" t="e">
        <f t="shared" si="8"/>
        <v>#REF!</v>
      </c>
    </row>
    <row r="55" spans="3:15" ht="12.75" hidden="1">
      <c r="C55" s="1">
        <f>+O30</f>
        <v>0</v>
      </c>
      <c r="D55" s="28">
        <f aca="true" t="shared" si="9" ref="D55:O55">+C55+(C54*0.0038)</f>
        <v>-140.42675799999992</v>
      </c>
      <c r="E55" s="28" t="e">
        <f t="shared" si="9"/>
        <v>#REF!</v>
      </c>
      <c r="F55" s="28" t="e">
        <f t="shared" si="9"/>
        <v>#REF!</v>
      </c>
      <c r="G55" s="32" t="e">
        <f t="shared" si="9"/>
        <v>#REF!</v>
      </c>
      <c r="H55" s="32" t="e">
        <f t="shared" si="9"/>
        <v>#REF!</v>
      </c>
      <c r="I55" s="28" t="e">
        <f t="shared" si="9"/>
        <v>#REF!</v>
      </c>
      <c r="J55" s="28" t="e">
        <f t="shared" si="9"/>
        <v>#REF!</v>
      </c>
      <c r="K55" s="28" t="e">
        <f t="shared" si="9"/>
        <v>#REF!</v>
      </c>
      <c r="L55" s="28" t="e">
        <f t="shared" si="9"/>
        <v>#REF!</v>
      </c>
      <c r="M55" s="28" t="e">
        <f t="shared" si="9"/>
        <v>#REF!</v>
      </c>
      <c r="N55" s="28" t="e">
        <f t="shared" si="9"/>
        <v>#REF!</v>
      </c>
      <c r="O55" s="28" t="e">
        <f t="shared" si="9"/>
        <v>#REF!</v>
      </c>
    </row>
    <row r="56" spans="4:15" ht="13.5" hidden="1" thickBot="1">
      <c r="D56" s="29" t="e">
        <f aca="true" t="shared" si="10" ref="D56:O56">+D54+D55</f>
        <v>#REF!</v>
      </c>
      <c r="E56" s="29" t="e">
        <f t="shared" si="10"/>
        <v>#REF!</v>
      </c>
      <c r="F56" s="29" t="e">
        <f t="shared" si="10"/>
        <v>#REF!</v>
      </c>
      <c r="G56" s="37" t="e">
        <f t="shared" si="10"/>
        <v>#REF!</v>
      </c>
      <c r="H56" s="37" t="e">
        <f t="shared" si="10"/>
        <v>#REF!</v>
      </c>
      <c r="I56" s="29" t="e">
        <f t="shared" si="10"/>
        <v>#REF!</v>
      </c>
      <c r="J56" s="29" t="e">
        <f t="shared" si="10"/>
        <v>#REF!</v>
      </c>
      <c r="K56" s="29" t="e">
        <f t="shared" si="10"/>
        <v>#REF!</v>
      </c>
      <c r="L56" s="29" t="e">
        <f t="shared" si="10"/>
        <v>#REF!</v>
      </c>
      <c r="M56" s="29" t="e">
        <f t="shared" si="10"/>
        <v>#REF!</v>
      </c>
      <c r="N56" s="29" t="e">
        <f t="shared" si="10"/>
        <v>#REF!</v>
      </c>
      <c r="O56" s="29" t="e">
        <f t="shared" si="10"/>
        <v>#REF!</v>
      </c>
    </row>
    <row r="57" spans="1:15" ht="12.75">
      <c r="A57" s="2" t="s">
        <v>40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4:15" ht="12.7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" t="s">
        <v>34</v>
      </c>
      <c r="C59" s="21"/>
      <c r="D59" s="31" t="s">
        <v>2</v>
      </c>
      <c r="E59" s="31" t="s">
        <v>3</v>
      </c>
      <c r="F59" s="31" t="s">
        <v>4</v>
      </c>
      <c r="G59" s="38" t="s">
        <v>5</v>
      </c>
      <c r="H59" s="38" t="s">
        <v>6</v>
      </c>
      <c r="I59" s="31" t="s">
        <v>7</v>
      </c>
      <c r="J59" s="31" t="s">
        <v>8</v>
      </c>
      <c r="K59" s="31" t="s">
        <v>9</v>
      </c>
      <c r="L59" s="31" t="s">
        <v>10</v>
      </c>
      <c r="M59" s="31" t="s">
        <v>11</v>
      </c>
      <c r="N59" s="31" t="s">
        <v>12</v>
      </c>
      <c r="O59" s="31" t="s">
        <v>13</v>
      </c>
    </row>
    <row r="60" spans="1:15" ht="12.75">
      <c r="A60" s="3"/>
      <c r="C60" s="1"/>
      <c r="D60" s="28"/>
      <c r="E60" s="28"/>
      <c r="F60" s="28"/>
      <c r="G60" s="32"/>
      <c r="H60" s="32"/>
      <c r="I60" s="28"/>
      <c r="J60" s="28"/>
      <c r="K60" s="28"/>
      <c r="L60" s="28"/>
      <c r="M60" s="28"/>
      <c r="N60" s="28"/>
      <c r="O60" s="28"/>
    </row>
    <row r="61" spans="1:16" ht="12.75">
      <c r="A61" s="55">
        <v>0.26</v>
      </c>
      <c r="B61">
        <v>2010</v>
      </c>
      <c r="C61" s="24" t="s">
        <v>25</v>
      </c>
      <c r="D61" s="27">
        <f>+D42</f>
        <v>48561.1</v>
      </c>
      <c r="E61" s="27">
        <f>+E42</f>
        <v>43515.69</v>
      </c>
      <c r="F61" s="27">
        <f>+F42</f>
        <v>50607.1</v>
      </c>
      <c r="G61" s="27">
        <f>+G42</f>
        <v>36013.9</v>
      </c>
      <c r="H61" s="27">
        <f>+H42</f>
        <v>30840.78</v>
      </c>
      <c r="I61" s="33">
        <f aca="true" t="shared" si="11" ref="I61:O61">+I42+(I42*$A$61)</f>
        <v>46424.385</v>
      </c>
      <c r="J61" s="33">
        <f t="shared" si="11"/>
        <v>43782.039000000004</v>
      </c>
      <c r="K61" s="33">
        <f t="shared" si="11"/>
        <v>37398.9168</v>
      </c>
      <c r="L61" s="33">
        <f t="shared" si="11"/>
        <v>44104.359599999996</v>
      </c>
      <c r="M61" s="33">
        <f t="shared" si="11"/>
        <v>56336.3388</v>
      </c>
      <c r="N61" s="33">
        <f t="shared" si="11"/>
        <v>45835.43580000001</v>
      </c>
      <c r="O61" s="33">
        <f t="shared" si="11"/>
        <v>57134.4102</v>
      </c>
      <c r="P61" s="17"/>
    </row>
    <row r="62" spans="3:15" ht="12.75">
      <c r="C62" s="1"/>
      <c r="D62" s="28"/>
      <c r="E62" s="28"/>
      <c r="F62" s="28"/>
      <c r="G62" s="32"/>
      <c r="H62" s="32"/>
      <c r="I62" s="32"/>
      <c r="J62" s="32"/>
      <c r="K62" s="32"/>
      <c r="L62" s="32"/>
      <c r="M62" s="32"/>
      <c r="N62" s="28"/>
      <c r="O62" s="28"/>
    </row>
    <row r="63" spans="4:15" ht="12.75">
      <c r="D63" s="28"/>
      <c r="E63" s="28"/>
      <c r="F63" s="28"/>
      <c r="G63" s="32"/>
      <c r="H63" s="32"/>
      <c r="I63" s="28"/>
      <c r="J63" s="28"/>
      <c r="K63" s="28"/>
      <c r="L63" s="28"/>
      <c r="M63" s="28"/>
      <c r="N63" s="28"/>
      <c r="O63" s="28"/>
    </row>
    <row r="64" spans="3:15" ht="13.5" thickBot="1">
      <c r="C64" s="5" t="s">
        <v>69</v>
      </c>
      <c r="D64" s="34">
        <f>+D50</f>
        <v>4646.550000000032</v>
      </c>
      <c r="E64" s="34">
        <f>+E50</f>
        <v>19375.86000000003</v>
      </c>
      <c r="F64" s="34">
        <f>+F50</f>
        <v>20314.22200000003</v>
      </c>
      <c r="G64" s="34">
        <f>+G50</f>
        <v>25263.366960000036</v>
      </c>
      <c r="H64" s="35">
        <f aca="true" t="shared" si="12" ref="H64:O64">+G64+H44-H61</f>
        <v>31865.091720000033</v>
      </c>
      <c r="I64" s="35">
        <f t="shared" si="12"/>
        <v>32268.347760000026</v>
      </c>
      <c r="J64" s="35">
        <f t="shared" si="12"/>
        <v>27602.42006000002</v>
      </c>
      <c r="K64" s="35">
        <f t="shared" si="12"/>
        <v>32599.841440000026</v>
      </c>
      <c r="L64" s="35">
        <f t="shared" si="12"/>
        <v>30948.273200000025</v>
      </c>
      <c r="M64" s="35">
        <f t="shared" si="12"/>
        <v>17343.886400000018</v>
      </c>
      <c r="N64" s="35">
        <f t="shared" si="12"/>
        <v>20798.019180000003</v>
      </c>
      <c r="O64" s="35">
        <f t="shared" si="12"/>
        <v>21828.2117</v>
      </c>
    </row>
    <row r="65" spans="4:15" ht="13.5" thickTop="1">
      <c r="D65" s="28"/>
      <c r="E65" s="28"/>
      <c r="F65" s="28"/>
      <c r="G65" s="32"/>
      <c r="H65" s="32"/>
      <c r="I65" s="28"/>
      <c r="J65" s="28"/>
      <c r="K65" s="28"/>
      <c r="L65" s="28"/>
      <c r="M65" s="28"/>
      <c r="N65" s="28"/>
      <c r="O65" s="28"/>
    </row>
    <row r="66" spans="1:15" ht="12.75">
      <c r="A66" s="2" t="s">
        <v>34</v>
      </c>
      <c r="C66" s="21"/>
      <c r="D66" s="31" t="s">
        <v>2</v>
      </c>
      <c r="E66" s="31" t="s">
        <v>3</v>
      </c>
      <c r="F66" s="31" t="s">
        <v>4</v>
      </c>
      <c r="G66" s="38" t="s">
        <v>5</v>
      </c>
      <c r="H66" s="38" t="s">
        <v>6</v>
      </c>
      <c r="I66" s="31" t="s">
        <v>7</v>
      </c>
      <c r="J66" s="31" t="s">
        <v>8</v>
      </c>
      <c r="K66" s="31" t="s">
        <v>9</v>
      </c>
      <c r="L66" s="31" t="s">
        <v>10</v>
      </c>
      <c r="M66" s="31" t="s">
        <v>11</v>
      </c>
      <c r="N66" s="31" t="s">
        <v>12</v>
      </c>
      <c r="O66" s="31" t="s">
        <v>13</v>
      </c>
    </row>
    <row r="67" spans="1:16" ht="12.75">
      <c r="A67" s="3"/>
      <c r="C67" s="1"/>
      <c r="D67" s="28"/>
      <c r="E67" s="28"/>
      <c r="F67" s="28"/>
      <c r="G67" s="32"/>
      <c r="H67" s="32"/>
      <c r="I67" s="28"/>
      <c r="J67" s="28"/>
      <c r="K67" s="28"/>
      <c r="L67" s="28"/>
      <c r="M67" s="28"/>
      <c r="N67" s="28"/>
      <c r="O67" s="28"/>
      <c r="P67" s="14"/>
    </row>
    <row r="68" spans="1:16" ht="12.75">
      <c r="A68" s="54">
        <f>+A61</f>
        <v>0.26</v>
      </c>
      <c r="B68">
        <v>2011</v>
      </c>
      <c r="C68" s="24" t="s">
        <v>25</v>
      </c>
      <c r="D68" s="27">
        <f>+D61+(D61*$A$68)</f>
        <v>61186.986</v>
      </c>
      <c r="E68" s="27">
        <f>+E61+(E61*$A$68)</f>
        <v>54829.769400000005</v>
      </c>
      <c r="F68" s="27">
        <f>+F61+(F61*$A$68)</f>
        <v>63764.945999999996</v>
      </c>
      <c r="G68" s="27">
        <f>+G61+(G61*$A$68)</f>
        <v>45377.514</v>
      </c>
      <c r="H68" s="27">
        <f>+H61+(H61*$A$68)</f>
        <v>38859.3828</v>
      </c>
      <c r="I68" s="27">
        <f aca="true" t="shared" si="13" ref="I68:O68">+I42+(I42*$A$68)</f>
        <v>46424.385</v>
      </c>
      <c r="J68" s="27">
        <f t="shared" si="13"/>
        <v>43782.039000000004</v>
      </c>
      <c r="K68" s="27">
        <f t="shared" si="13"/>
        <v>37398.9168</v>
      </c>
      <c r="L68" s="27">
        <f t="shared" si="13"/>
        <v>44104.359599999996</v>
      </c>
      <c r="M68" s="27">
        <f t="shared" si="13"/>
        <v>56336.3388</v>
      </c>
      <c r="N68" s="27">
        <f t="shared" si="13"/>
        <v>45835.43580000001</v>
      </c>
      <c r="O68" s="27">
        <f t="shared" si="13"/>
        <v>57134.4102</v>
      </c>
      <c r="P68" s="14"/>
    </row>
    <row r="69" spans="3:15" ht="12.75">
      <c r="C69" s="1"/>
      <c r="D69" s="28"/>
      <c r="E69" s="28"/>
      <c r="F69" s="28"/>
      <c r="G69" s="32"/>
      <c r="H69" s="32"/>
      <c r="I69" s="32"/>
      <c r="J69" s="32"/>
      <c r="K69" s="32"/>
      <c r="L69" s="32"/>
      <c r="M69" s="32"/>
      <c r="N69" s="28"/>
      <c r="O69" s="28"/>
    </row>
    <row r="70" spans="2:15" ht="12.75">
      <c r="B70">
        <v>2011</v>
      </c>
      <c r="C70" s="53" t="s">
        <v>26</v>
      </c>
      <c r="D70" s="28">
        <f>+D44</f>
        <v>58523.85</v>
      </c>
      <c r="E70" s="28">
        <f>+E44</f>
        <v>58245</v>
      </c>
      <c r="F70" s="28">
        <f aca="true" t="shared" si="14" ref="F70:O70">+F44</f>
        <v>51545.462</v>
      </c>
      <c r="G70" s="28">
        <f t="shared" si="14"/>
        <v>40963.04496000001</v>
      </c>
      <c r="H70" s="28">
        <f t="shared" si="14"/>
        <v>37442.504759999996</v>
      </c>
      <c r="I70" s="28">
        <f t="shared" si="14"/>
        <v>46827.641039999995</v>
      </c>
      <c r="J70" s="28">
        <f t="shared" si="14"/>
        <v>39116.111300000004</v>
      </c>
      <c r="K70" s="28">
        <f t="shared" si="14"/>
        <v>42396.33818</v>
      </c>
      <c r="L70" s="28">
        <f t="shared" si="14"/>
        <v>42452.79136</v>
      </c>
      <c r="M70" s="28">
        <f t="shared" si="14"/>
        <v>42731.952</v>
      </c>
      <c r="N70" s="28">
        <f t="shared" si="14"/>
        <v>49289.56858</v>
      </c>
      <c r="O70" s="28">
        <f t="shared" si="14"/>
        <v>58164.60272</v>
      </c>
    </row>
    <row r="71" spans="3:15" ht="12.75">
      <c r="C71" s="1"/>
      <c r="D71" s="28"/>
      <c r="E71" s="28"/>
      <c r="F71" s="28"/>
      <c r="G71" s="32"/>
      <c r="H71" s="32"/>
      <c r="I71" s="32"/>
      <c r="J71" s="32"/>
      <c r="K71" s="32"/>
      <c r="L71" s="32"/>
      <c r="M71" s="32"/>
      <c r="N71" s="28"/>
      <c r="O71" s="28"/>
    </row>
    <row r="72" spans="4:15" ht="12.75">
      <c r="D72" s="28"/>
      <c r="E72" s="28"/>
      <c r="F72" s="28"/>
      <c r="G72" s="32"/>
      <c r="H72" s="32"/>
      <c r="I72" s="28"/>
      <c r="J72" s="28"/>
      <c r="K72" s="28"/>
      <c r="L72" s="28"/>
      <c r="M72" s="28"/>
      <c r="N72" s="28"/>
      <c r="O72" s="28"/>
    </row>
    <row r="73" spans="3:16" ht="13.5" thickBot="1">
      <c r="C73" s="5" t="s">
        <v>69</v>
      </c>
      <c r="D73" s="34">
        <f>+O64-D68+D70</f>
        <v>19165.0757</v>
      </c>
      <c r="E73" s="34">
        <f aca="true" t="shared" si="15" ref="E73:O73">+D73-E68+E70</f>
        <v>22580.306299999997</v>
      </c>
      <c r="F73" s="34">
        <f t="shared" si="15"/>
        <v>10360.8223</v>
      </c>
      <c r="G73" s="34">
        <f t="shared" si="15"/>
        <v>5946.3532600000035</v>
      </c>
      <c r="H73" s="34">
        <f t="shared" si="15"/>
        <v>4529.47522</v>
      </c>
      <c r="I73" s="34">
        <f t="shared" si="15"/>
        <v>4932.731259999993</v>
      </c>
      <c r="J73" s="34">
        <f t="shared" si="15"/>
        <v>266.803559999993</v>
      </c>
      <c r="K73" s="34">
        <f t="shared" si="15"/>
        <v>5264.224939999993</v>
      </c>
      <c r="L73" s="34">
        <f t="shared" si="15"/>
        <v>3612.6566999999995</v>
      </c>
      <c r="M73" s="34">
        <f t="shared" si="15"/>
        <v>-9991.7301</v>
      </c>
      <c r="N73" s="34">
        <f t="shared" si="15"/>
        <v>-6537.597320000008</v>
      </c>
      <c r="O73" s="34">
        <f t="shared" si="15"/>
        <v>-5507.404800000004</v>
      </c>
      <c r="P73" s="36"/>
    </row>
    <row r="74" ht="13.5" thickTop="1"/>
  </sheetData>
  <sheetProtection/>
  <mergeCells count="1">
    <mergeCell ref="F43:O43"/>
  </mergeCells>
  <printOptions/>
  <pageMargins left="0.2" right="0.29" top="0.17" bottom="0.39" header="0.2" footer="0.3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34">
      <selection activeCell="A68" sqref="A68"/>
    </sheetView>
  </sheetViews>
  <sheetFormatPr defaultColWidth="9.140625" defaultRowHeight="12.75"/>
  <cols>
    <col min="1" max="1" width="26.7109375" style="0" customWidth="1"/>
    <col min="2" max="2" width="14.00390625" style="0" customWidth="1"/>
    <col min="3" max="3" width="17.57421875" style="0" customWidth="1"/>
    <col min="4" max="4" width="13.140625" style="0" customWidth="1"/>
    <col min="5" max="5" width="11.7109375" style="0" customWidth="1"/>
    <col min="6" max="8" width="12.28125" style="0" customWidth="1"/>
    <col min="9" max="9" width="12.140625" style="0" customWidth="1"/>
    <col min="10" max="11" width="11.57421875" style="0" customWidth="1"/>
    <col min="12" max="12" width="11.7109375" style="0" customWidth="1"/>
    <col min="13" max="13" width="11.421875" style="0" customWidth="1"/>
    <col min="14" max="15" width="11.57421875" style="0" customWidth="1"/>
    <col min="16" max="17" width="10.140625" style="0" bestFit="1" customWidth="1"/>
    <col min="18" max="18" width="9.8515625" style="0" customWidth="1"/>
  </cols>
  <sheetData>
    <row r="1" ht="12.75">
      <c r="H1" s="3" t="s">
        <v>1</v>
      </c>
    </row>
    <row r="2" spans="8:15" ht="12.75">
      <c r="H2" s="3" t="s">
        <v>46</v>
      </c>
      <c r="O2" t="s">
        <v>49</v>
      </c>
    </row>
    <row r="4" spans="1:17" ht="12.75">
      <c r="A4" s="21"/>
      <c r="B4" s="21"/>
      <c r="C4" s="21"/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Q4" s="46"/>
    </row>
    <row r="6" spans="1:18" ht="12.75">
      <c r="A6" s="2" t="s">
        <v>47</v>
      </c>
      <c r="B6" s="20" t="s">
        <v>14</v>
      </c>
      <c r="C6" s="3">
        <v>2006</v>
      </c>
      <c r="D6" s="4">
        <v>15680.04</v>
      </c>
      <c r="E6" s="4">
        <v>16601.72</v>
      </c>
      <c r="F6" s="4">
        <v>14308.18</v>
      </c>
      <c r="G6" s="4">
        <v>12240.96</v>
      </c>
      <c r="H6" s="4">
        <v>13738.28</v>
      </c>
      <c r="I6" s="4">
        <v>14080.22</v>
      </c>
      <c r="J6" s="4">
        <v>15421.74</v>
      </c>
      <c r="K6" s="4">
        <v>14257.34</v>
      </c>
      <c r="L6" s="4">
        <v>12864.98</v>
      </c>
      <c r="M6" s="4">
        <v>13807.98</v>
      </c>
      <c r="N6" s="4">
        <v>16482</v>
      </c>
      <c r="O6" s="4">
        <v>17057.64</v>
      </c>
      <c r="P6" s="1"/>
      <c r="R6" s="1"/>
    </row>
    <row r="7" spans="2:15" ht="12.75">
      <c r="B7" s="1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8" ht="12.75">
      <c r="B8" s="1"/>
      <c r="C8" s="3">
        <v>2007</v>
      </c>
      <c r="D8" s="4">
        <v>17040.42</v>
      </c>
      <c r="E8" s="4">
        <v>17284.78</v>
      </c>
      <c r="F8" s="4">
        <v>14969.92</v>
      </c>
      <c r="G8" s="4">
        <v>13452.92</v>
      </c>
      <c r="H8" s="4">
        <v>12275.4</v>
      </c>
      <c r="I8" s="4">
        <v>14565.66</v>
      </c>
      <c r="J8" s="4">
        <v>16674.7</v>
      </c>
      <c r="K8" s="4">
        <v>14292.6</v>
      </c>
      <c r="L8" s="4">
        <v>12959.28</v>
      </c>
      <c r="M8" s="26">
        <v>12729.68</v>
      </c>
      <c r="N8" s="26">
        <v>11995.88</v>
      </c>
      <c r="O8" s="26">
        <v>12045.44</v>
      </c>
      <c r="P8" s="1"/>
      <c r="Q8" s="1"/>
      <c r="R8" s="1"/>
    </row>
    <row r="9" spans="2:15" ht="12.75">
      <c r="B9" s="1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8" ht="12.75">
      <c r="B10" s="1"/>
      <c r="C10" s="3">
        <v>2008</v>
      </c>
      <c r="D10" s="4">
        <v>12496.2</v>
      </c>
      <c r="E10" s="4">
        <v>12056.65</v>
      </c>
      <c r="F10" s="4">
        <v>11094.95</v>
      </c>
      <c r="G10" s="4">
        <v>8859.44</v>
      </c>
      <c r="H10" s="4">
        <v>8583.91</v>
      </c>
      <c r="I10" s="4">
        <v>9219.93</v>
      </c>
      <c r="J10" s="4">
        <v>9394.57</v>
      </c>
      <c r="K10" s="4">
        <v>10225.29</v>
      </c>
      <c r="L10" s="4">
        <v>9601.66</v>
      </c>
      <c r="M10" s="51">
        <v>8885.4</v>
      </c>
      <c r="N10" s="51">
        <v>10965.15</v>
      </c>
      <c r="O10" s="51">
        <v>13018.35</v>
      </c>
      <c r="P10" s="1"/>
      <c r="Q10" s="42"/>
      <c r="R10" s="1"/>
    </row>
    <row r="11" spans="2:17" ht="12.75">
      <c r="B11" s="1"/>
      <c r="C11" s="1"/>
      <c r="D11" s="4"/>
      <c r="E11" s="4"/>
      <c r="F11" s="4"/>
      <c r="G11" s="4"/>
      <c r="H11" s="4"/>
      <c r="I11" s="4"/>
      <c r="J11" s="4"/>
      <c r="K11" s="4"/>
      <c r="L11" s="4"/>
      <c r="M11" s="45"/>
      <c r="N11" s="45"/>
      <c r="O11" s="45"/>
      <c r="Q11" s="19"/>
    </row>
    <row r="12" spans="2:18" ht="12.75">
      <c r="B12" s="1"/>
      <c r="C12" s="3">
        <v>2009</v>
      </c>
      <c r="D12" s="4">
        <v>15481.9</v>
      </c>
      <c r="E12" s="4">
        <v>13395.9</v>
      </c>
      <c r="F12" s="4">
        <v>12973.8</v>
      </c>
      <c r="G12" s="4">
        <v>10525.2</v>
      </c>
      <c r="H12" s="4">
        <v>10203.2</v>
      </c>
      <c r="I12" s="4">
        <v>11069.8</v>
      </c>
      <c r="J12" s="4">
        <v>10315.2</v>
      </c>
      <c r="K12" s="4">
        <v>11750.9</v>
      </c>
      <c r="L12" s="4">
        <v>11054.4</v>
      </c>
      <c r="M12" s="43">
        <v>10505.6</v>
      </c>
      <c r="N12" s="4">
        <v>12231.1</v>
      </c>
      <c r="O12" s="43">
        <v>14993.3</v>
      </c>
      <c r="P12" s="1"/>
      <c r="Q12" s="1"/>
      <c r="R12" s="1"/>
    </row>
    <row r="13" spans="2:17" ht="12.75">
      <c r="B13" s="1"/>
      <c r="C13" s="1"/>
      <c r="D13" s="4"/>
      <c r="E13" s="4"/>
      <c r="F13" s="4"/>
      <c r="G13" s="4"/>
      <c r="H13" s="4"/>
      <c r="I13" s="4"/>
      <c r="J13" s="4"/>
      <c r="K13" s="4"/>
      <c r="L13" s="4"/>
      <c r="M13" s="4"/>
      <c r="N13" s="44"/>
      <c r="O13" s="44"/>
      <c r="P13" s="1"/>
      <c r="Q13" s="1"/>
    </row>
    <row r="14" spans="1:15" ht="12.75">
      <c r="A14" s="21"/>
      <c r="B14" s="20"/>
      <c r="C14" s="21"/>
      <c r="D14" s="25" t="s">
        <v>2</v>
      </c>
      <c r="E14" s="25" t="s">
        <v>3</v>
      </c>
      <c r="F14" s="25" t="s">
        <v>4</v>
      </c>
      <c r="G14" s="25" t="s">
        <v>5</v>
      </c>
      <c r="H14" s="25" t="s">
        <v>6</v>
      </c>
      <c r="I14" s="25" t="s">
        <v>7</v>
      </c>
      <c r="J14" s="25" t="s">
        <v>8</v>
      </c>
      <c r="K14" s="25" t="s">
        <v>9</v>
      </c>
      <c r="L14" s="25" t="s">
        <v>10</v>
      </c>
      <c r="M14" s="25" t="s">
        <v>11</v>
      </c>
      <c r="N14" s="25" t="s">
        <v>12</v>
      </c>
      <c r="O14" s="25" t="s">
        <v>13</v>
      </c>
    </row>
    <row r="15" spans="2:15" ht="12.75">
      <c r="B15" s="1"/>
      <c r="C15" s="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8" ht="12.75">
      <c r="A16" s="2" t="s">
        <v>48</v>
      </c>
      <c r="B16" s="19"/>
      <c r="C16" s="3">
        <v>2006</v>
      </c>
      <c r="D16" s="27">
        <f>15680.04+41534.23</f>
        <v>57214.270000000004</v>
      </c>
      <c r="E16" s="27">
        <f>16601.72+31458.78</f>
        <v>48060.5</v>
      </c>
      <c r="F16" s="27">
        <f>14308.18+38962.75</f>
        <v>53270.93</v>
      </c>
      <c r="G16" s="27">
        <f>12240.96+23014.65</f>
        <v>35255.61</v>
      </c>
      <c r="H16" s="27">
        <f>13738.28+24994.56</f>
        <v>38732.840000000004</v>
      </c>
      <c r="I16" s="27">
        <f>14080.22+6142.08</f>
        <v>20222.3</v>
      </c>
      <c r="J16" s="27">
        <f>15421.74-3187.62</f>
        <v>12234.119999999999</v>
      </c>
      <c r="K16" s="27">
        <f>14257.34+4085.36</f>
        <v>18342.7</v>
      </c>
      <c r="L16" s="27">
        <f>12864.98-150.67</f>
        <v>12714.31</v>
      </c>
      <c r="M16" s="27">
        <f>13807.98-312.87</f>
        <v>13495.109999999999</v>
      </c>
      <c r="N16" s="27">
        <f>16482-3583.64</f>
        <v>12898.36</v>
      </c>
      <c r="O16" s="27">
        <f>-26818.69-5056.35</f>
        <v>-31875.04</v>
      </c>
      <c r="P16" s="1"/>
      <c r="R16" s="1"/>
    </row>
    <row r="17" spans="4:15" ht="12.7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3:18" ht="12.75">
      <c r="C18" s="3">
        <v>2007</v>
      </c>
      <c r="D18" s="27">
        <f>17040.42+2420.03</f>
        <v>19460.449999999997</v>
      </c>
      <c r="E18" s="27">
        <f>17284.78-894.6</f>
        <v>16390.18</v>
      </c>
      <c r="F18" s="27">
        <f>14969.92+3362.23</f>
        <v>18332.15</v>
      </c>
      <c r="G18" s="27">
        <f>13452.92+623.34</f>
        <v>14076.26</v>
      </c>
      <c r="H18" s="27">
        <f>12275.4+4781.67</f>
        <v>17057.07</v>
      </c>
      <c r="I18" s="27">
        <f>14565.66-1901.72</f>
        <v>12663.94</v>
      </c>
      <c r="J18" s="27">
        <f>16674.7-1255.5</f>
        <v>15419.2</v>
      </c>
      <c r="K18" s="27">
        <f>14292.6+262.98</f>
        <v>14555.58</v>
      </c>
      <c r="L18" s="27">
        <f>12959.28+607.57</f>
        <v>13566.85</v>
      </c>
      <c r="M18" s="27">
        <f>12729.68+696.41</f>
        <v>13426.09</v>
      </c>
      <c r="N18" s="27">
        <f>11995.88+1671.56</f>
        <v>13667.439999999999</v>
      </c>
      <c r="O18" s="27">
        <f>11408.32-238.88</f>
        <v>11169.44</v>
      </c>
      <c r="P18" s="1"/>
      <c r="R18" s="1"/>
    </row>
    <row r="19" spans="4:15" ht="12.75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3:18" ht="12.75">
      <c r="C20" s="3">
        <v>2008</v>
      </c>
      <c r="D20" s="27">
        <f>12496.2+7532.97</f>
        <v>20029.170000000002</v>
      </c>
      <c r="E20" s="27">
        <f>12056.65+2514.4</f>
        <v>14571.05</v>
      </c>
      <c r="F20" s="27">
        <f>11094.95+5219.35</f>
        <v>16314.300000000001</v>
      </c>
      <c r="G20" s="27">
        <f>8859.44+9864.32</f>
        <v>18723.760000000002</v>
      </c>
      <c r="H20" s="27">
        <f>8583.91+3301.13</f>
        <v>11885.04</v>
      </c>
      <c r="I20" s="27">
        <f>9219.93+707.02</f>
        <v>9926.95</v>
      </c>
      <c r="J20" s="27">
        <f>9394.57+109.38</f>
        <v>9503.949999999999</v>
      </c>
      <c r="K20" s="27">
        <f>10225.29-659.66</f>
        <v>9565.630000000001</v>
      </c>
      <c r="L20" s="27">
        <f>9601.66+568.64</f>
        <v>10170.3</v>
      </c>
      <c r="M20" s="33">
        <f>8885.4+550.4</f>
        <v>9435.8</v>
      </c>
      <c r="N20" s="33">
        <f>10965.15-2285.1</f>
        <v>8680.05</v>
      </c>
      <c r="O20" s="33">
        <f>13018.35-10002.78</f>
        <v>3015.5699999999997</v>
      </c>
      <c r="P20" s="1"/>
      <c r="R20" s="1"/>
    </row>
    <row r="21" spans="4:15" ht="12.75">
      <c r="D21" s="28"/>
      <c r="E21" s="28"/>
      <c r="F21" s="28"/>
      <c r="G21" s="28"/>
      <c r="H21" s="28"/>
      <c r="I21" s="28"/>
      <c r="J21" s="28"/>
      <c r="K21" s="28"/>
      <c r="L21" s="28"/>
      <c r="M21" s="57"/>
      <c r="N21" s="57"/>
      <c r="O21" s="57"/>
    </row>
    <row r="22" spans="3:18" ht="12.75">
      <c r="C22" s="3">
        <v>2009</v>
      </c>
      <c r="D22" s="28">
        <v>13255.4</v>
      </c>
      <c r="E22" s="28">
        <v>11948.49</v>
      </c>
      <c r="F22" s="28">
        <v>14103.2</v>
      </c>
      <c r="G22" s="28">
        <v>10048.11</v>
      </c>
      <c r="H22" s="28">
        <v>8593.66</v>
      </c>
      <c r="I22" s="28">
        <v>10161.99</v>
      </c>
      <c r="J22" s="28">
        <v>9543.71</v>
      </c>
      <c r="K22" s="28">
        <v>8160.85</v>
      </c>
      <c r="L22" s="28">
        <v>9593.27</v>
      </c>
      <c r="M22" s="32">
        <v>12215.34</v>
      </c>
      <c r="N22" s="32">
        <v>9956.09</v>
      </c>
      <c r="O22" s="47">
        <f>10558.8+1360.78</f>
        <v>11919.58</v>
      </c>
      <c r="P22" s="1"/>
      <c r="R22" s="1"/>
    </row>
    <row r="23" spans="4:15" ht="12.7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44"/>
      <c r="O23" s="44"/>
    </row>
    <row r="24" spans="4:15" ht="12.7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2.75">
      <c r="A25" s="21"/>
      <c r="B25" s="20"/>
      <c r="C25" s="21"/>
      <c r="D25" s="31" t="s">
        <v>2</v>
      </c>
      <c r="E25" s="31" t="s">
        <v>3</v>
      </c>
      <c r="F25" s="31" t="s">
        <v>4</v>
      </c>
      <c r="G25" s="31" t="s">
        <v>5</v>
      </c>
      <c r="H25" s="31" t="s">
        <v>6</v>
      </c>
      <c r="I25" s="31" t="s">
        <v>7</v>
      </c>
      <c r="J25" s="31" t="s">
        <v>8</v>
      </c>
      <c r="K25" s="31" t="s">
        <v>9</v>
      </c>
      <c r="L25" s="31" t="s">
        <v>10</v>
      </c>
      <c r="M25" s="31" t="s">
        <v>11</v>
      </c>
      <c r="N25" s="31" t="s">
        <v>12</v>
      </c>
      <c r="O25" s="31" t="s">
        <v>13</v>
      </c>
    </row>
    <row r="26" spans="4:15" ht="12.7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5" ht="12.75">
      <c r="B27" s="5" t="s">
        <v>36</v>
      </c>
      <c r="C27" s="7" t="s">
        <v>19</v>
      </c>
      <c r="D27" s="28">
        <f aca="true" t="shared" si="0" ref="D27:O27">+D10-D20</f>
        <v>-7532.970000000001</v>
      </c>
      <c r="E27" s="28">
        <f t="shared" si="0"/>
        <v>-2514.3999999999996</v>
      </c>
      <c r="F27" s="28">
        <f t="shared" si="0"/>
        <v>-5219.35</v>
      </c>
      <c r="G27" s="28">
        <f t="shared" si="0"/>
        <v>-9864.320000000002</v>
      </c>
      <c r="H27" s="28">
        <f t="shared" si="0"/>
        <v>-3301.130000000001</v>
      </c>
      <c r="I27" s="28">
        <f t="shared" si="0"/>
        <v>-707.0200000000004</v>
      </c>
      <c r="J27" s="28">
        <f t="shared" si="0"/>
        <v>-109.3799999999992</v>
      </c>
      <c r="K27" s="28">
        <f t="shared" si="0"/>
        <v>659.6599999999999</v>
      </c>
      <c r="L27" s="28">
        <f t="shared" si="0"/>
        <v>-568.6399999999994</v>
      </c>
      <c r="M27" s="28">
        <f t="shared" si="0"/>
        <v>-550.3999999999996</v>
      </c>
      <c r="N27" s="28">
        <f t="shared" si="0"/>
        <v>2285.1000000000004</v>
      </c>
      <c r="O27" s="28">
        <f t="shared" si="0"/>
        <v>10002.78</v>
      </c>
    </row>
    <row r="28" spans="2:15" ht="13.5" thickBot="1">
      <c r="B28" s="5" t="s">
        <v>32</v>
      </c>
      <c r="C28" s="28">
        <v>-456375.38</v>
      </c>
      <c r="D28" s="41">
        <f aca="true" t="shared" si="1" ref="D28:O28">+C28+D27</f>
        <v>-463908.35</v>
      </c>
      <c r="E28" s="41">
        <f t="shared" si="1"/>
        <v>-466422.75</v>
      </c>
      <c r="F28" s="41">
        <f t="shared" si="1"/>
        <v>-471642.1</v>
      </c>
      <c r="G28" s="41">
        <f t="shared" si="1"/>
        <v>-481506.42</v>
      </c>
      <c r="H28" s="41">
        <f t="shared" si="1"/>
        <v>-484807.55</v>
      </c>
      <c r="I28" s="41">
        <f t="shared" si="1"/>
        <v>-485514.57</v>
      </c>
      <c r="J28" s="41">
        <f t="shared" si="1"/>
        <v>-485623.95</v>
      </c>
      <c r="K28" s="41">
        <f t="shared" si="1"/>
        <v>-484964.29000000004</v>
      </c>
      <c r="L28" s="41">
        <f t="shared" si="1"/>
        <v>-485532.93000000005</v>
      </c>
      <c r="M28" s="41">
        <f t="shared" si="1"/>
        <v>-486083.3300000001</v>
      </c>
      <c r="N28" s="41">
        <f t="shared" si="1"/>
        <v>-483798.2300000001</v>
      </c>
      <c r="O28" s="41">
        <f t="shared" si="1"/>
        <v>-473795.45000000007</v>
      </c>
    </row>
    <row r="29" spans="4:15" ht="13.5" thickTop="1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4:15" ht="12.75"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4:15" ht="12.7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2.75">
      <c r="B32" s="5" t="s">
        <v>36</v>
      </c>
      <c r="C32" s="16" t="s">
        <v>37</v>
      </c>
      <c r="D32" s="28">
        <f aca="true" t="shared" si="2" ref="D32:O32">+D12-D22</f>
        <v>2226.5</v>
      </c>
      <c r="E32" s="28">
        <f t="shared" si="2"/>
        <v>1447.4099999999999</v>
      </c>
      <c r="F32" s="28">
        <f t="shared" si="2"/>
        <v>-1129.4000000000015</v>
      </c>
      <c r="G32" s="28">
        <f t="shared" si="2"/>
        <v>477.09000000000015</v>
      </c>
      <c r="H32" s="28">
        <f t="shared" si="2"/>
        <v>1609.5400000000009</v>
      </c>
      <c r="I32" s="28">
        <f t="shared" si="2"/>
        <v>907.8099999999995</v>
      </c>
      <c r="J32" s="28">
        <f t="shared" si="2"/>
        <v>771.4900000000016</v>
      </c>
      <c r="K32" s="28">
        <f t="shared" si="2"/>
        <v>3590.0499999999993</v>
      </c>
      <c r="L32" s="28">
        <f t="shared" si="2"/>
        <v>1461.1299999999992</v>
      </c>
      <c r="M32" s="28">
        <f t="shared" si="2"/>
        <v>-1709.7399999999998</v>
      </c>
      <c r="N32" s="28">
        <f t="shared" si="2"/>
        <v>2275.01</v>
      </c>
      <c r="O32" s="28">
        <f t="shared" si="2"/>
        <v>3073.7199999999993</v>
      </c>
    </row>
    <row r="33" spans="2:15" ht="13.5" thickBot="1">
      <c r="B33" s="5" t="s">
        <v>38</v>
      </c>
      <c r="C33" s="28">
        <f>+O28</f>
        <v>-473795.45000000007</v>
      </c>
      <c r="D33" s="41">
        <f aca="true" t="shared" si="3" ref="D33:O33">+C33+D32</f>
        <v>-471568.95000000007</v>
      </c>
      <c r="E33" s="41">
        <f t="shared" si="3"/>
        <v>-470121.5400000001</v>
      </c>
      <c r="F33" s="41">
        <f t="shared" si="3"/>
        <v>-471250.9400000001</v>
      </c>
      <c r="G33" s="41">
        <f t="shared" si="3"/>
        <v>-470773.8500000001</v>
      </c>
      <c r="H33" s="41">
        <f t="shared" si="3"/>
        <v>-469164.3100000001</v>
      </c>
      <c r="I33" s="41">
        <f t="shared" si="3"/>
        <v>-468256.5000000001</v>
      </c>
      <c r="J33" s="41">
        <f t="shared" si="3"/>
        <v>-467485.0100000001</v>
      </c>
      <c r="K33" s="41">
        <f t="shared" si="3"/>
        <v>-463894.96000000014</v>
      </c>
      <c r="L33" s="41">
        <f t="shared" si="3"/>
        <v>-462433.83000000013</v>
      </c>
      <c r="M33" s="41">
        <f t="shared" si="3"/>
        <v>-464143.5700000001</v>
      </c>
      <c r="N33" s="41">
        <f t="shared" si="3"/>
        <v>-461868.5600000001</v>
      </c>
      <c r="O33" s="41">
        <f t="shared" si="3"/>
        <v>-458794.84000000014</v>
      </c>
    </row>
    <row r="34" spans="4:15" ht="13.5" thickTop="1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4:15" ht="12.7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3.5" thickBot="1">
      <c r="A36" s="13" t="s">
        <v>68</v>
      </c>
      <c r="B36" s="11"/>
      <c r="C36" s="1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4:15" ht="12.7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2.75">
      <c r="A38" s="2" t="s">
        <v>39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2.75">
      <c r="A39" s="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4:15" ht="12.75">
      <c r="D40" s="31" t="s">
        <v>2</v>
      </c>
      <c r="E40" s="31" t="s">
        <v>3</v>
      </c>
      <c r="F40" s="31" t="s">
        <v>4</v>
      </c>
      <c r="G40" s="31" t="s">
        <v>5</v>
      </c>
      <c r="H40" s="31" t="s">
        <v>6</v>
      </c>
      <c r="I40" s="31" t="s">
        <v>7</v>
      </c>
      <c r="J40" s="31" t="s">
        <v>8</v>
      </c>
      <c r="K40" s="31" t="s">
        <v>9</v>
      </c>
      <c r="L40" s="31" t="s">
        <v>10</v>
      </c>
      <c r="M40" s="31" t="s">
        <v>11</v>
      </c>
      <c r="N40" s="31" t="s">
        <v>12</v>
      </c>
      <c r="O40" s="31" t="s">
        <v>13</v>
      </c>
    </row>
    <row r="41" spans="4:15" ht="12.75">
      <c r="D41" s="28"/>
      <c r="E41" s="28"/>
      <c r="F41" s="28"/>
      <c r="G41" s="28"/>
      <c r="H41" s="30"/>
      <c r="I41" s="28"/>
      <c r="J41" s="28"/>
      <c r="K41" s="28"/>
      <c r="L41" s="28"/>
      <c r="M41" s="28"/>
      <c r="N41" s="28"/>
      <c r="O41" s="28"/>
    </row>
    <row r="42" spans="2:15" ht="12.75">
      <c r="B42">
        <v>2010</v>
      </c>
      <c r="C42" s="21" t="s">
        <v>25</v>
      </c>
      <c r="D42" s="27">
        <v>13346.89</v>
      </c>
      <c r="E42" s="27">
        <v>11986.48</v>
      </c>
      <c r="F42" s="49">
        <f aca="true" t="shared" si="4" ref="F42:O42">+F22</f>
        <v>14103.2</v>
      </c>
      <c r="G42" s="49">
        <f t="shared" si="4"/>
        <v>10048.11</v>
      </c>
      <c r="H42" s="49">
        <f t="shared" si="4"/>
        <v>8593.66</v>
      </c>
      <c r="I42" s="49">
        <f t="shared" si="4"/>
        <v>10161.99</v>
      </c>
      <c r="J42" s="49">
        <f t="shared" si="4"/>
        <v>9543.71</v>
      </c>
      <c r="K42" s="49">
        <f t="shared" si="4"/>
        <v>8160.85</v>
      </c>
      <c r="L42" s="49">
        <f t="shared" si="4"/>
        <v>9593.27</v>
      </c>
      <c r="M42" s="49">
        <f t="shared" si="4"/>
        <v>12215.34</v>
      </c>
      <c r="N42" s="49">
        <f t="shared" si="4"/>
        <v>9956.09</v>
      </c>
      <c r="O42" s="49">
        <f t="shared" si="4"/>
        <v>11919.58</v>
      </c>
    </row>
    <row r="43" spans="3:15" ht="12.75">
      <c r="C43" s="21"/>
      <c r="D43" s="27"/>
      <c r="E43" s="27"/>
      <c r="F43" s="58" t="s">
        <v>52</v>
      </c>
      <c r="G43" s="58"/>
      <c r="H43" s="58"/>
      <c r="I43" s="58"/>
      <c r="J43" s="58"/>
      <c r="K43" s="58"/>
      <c r="L43" s="58"/>
      <c r="M43" s="58"/>
      <c r="N43" s="58"/>
      <c r="O43" s="58"/>
    </row>
    <row r="44" spans="2:15" ht="12.75">
      <c r="B44">
        <v>2010</v>
      </c>
      <c r="C44" s="21" t="s">
        <v>26</v>
      </c>
      <c r="D44" s="27">
        <v>15046.03</v>
      </c>
      <c r="E44" s="27">
        <v>14316.03</v>
      </c>
      <c r="F44" s="49">
        <f aca="true" t="shared" si="5" ref="F44:O44">F12+(F12*0.043)</f>
        <v>13531.6734</v>
      </c>
      <c r="G44" s="49">
        <f t="shared" si="5"/>
        <v>10977.7836</v>
      </c>
      <c r="H44" s="49">
        <f t="shared" si="5"/>
        <v>10641.937600000001</v>
      </c>
      <c r="I44" s="49">
        <f t="shared" si="5"/>
        <v>11545.801399999998</v>
      </c>
      <c r="J44" s="49">
        <f t="shared" si="5"/>
        <v>10758.7536</v>
      </c>
      <c r="K44" s="49">
        <f t="shared" si="5"/>
        <v>12256.188699999999</v>
      </c>
      <c r="L44" s="49">
        <f t="shared" si="5"/>
        <v>11529.7392</v>
      </c>
      <c r="M44" s="49">
        <f t="shared" si="5"/>
        <v>10957.3408</v>
      </c>
      <c r="N44" s="49">
        <f t="shared" si="5"/>
        <v>12757.0373</v>
      </c>
      <c r="O44" s="49">
        <f t="shared" si="5"/>
        <v>15638.0119</v>
      </c>
    </row>
    <row r="45" spans="2:15" ht="12.75">
      <c r="B45" s="23" t="s">
        <v>50</v>
      </c>
      <c r="C45" s="22">
        <v>0.043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4:15" ht="12.7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3:15" ht="12.75">
      <c r="C47" t="s">
        <v>27</v>
      </c>
      <c r="D47" s="28">
        <f aca="true" t="shared" si="6" ref="D47:O47">+D44-D42</f>
        <v>1699.1400000000012</v>
      </c>
      <c r="E47" s="28">
        <f t="shared" si="6"/>
        <v>2329.550000000001</v>
      </c>
      <c r="F47" s="28">
        <f t="shared" si="6"/>
        <v>-571.526600000001</v>
      </c>
      <c r="G47" s="28">
        <f t="shared" si="6"/>
        <v>929.6736000000001</v>
      </c>
      <c r="H47" s="28">
        <f t="shared" si="6"/>
        <v>2048.2776000000013</v>
      </c>
      <c r="I47" s="28">
        <f t="shared" si="6"/>
        <v>1383.8113999999987</v>
      </c>
      <c r="J47" s="28">
        <f t="shared" si="6"/>
        <v>1215.0436000000009</v>
      </c>
      <c r="K47" s="28">
        <f t="shared" si="6"/>
        <v>4095.3386999999984</v>
      </c>
      <c r="L47" s="28">
        <f t="shared" si="6"/>
        <v>1936.4691999999995</v>
      </c>
      <c r="M47" s="28">
        <f t="shared" si="6"/>
        <v>-1257.9992000000002</v>
      </c>
      <c r="N47" s="28">
        <f t="shared" si="6"/>
        <v>2800.9473</v>
      </c>
      <c r="O47" s="28">
        <f t="shared" si="6"/>
        <v>3718.4318999999996</v>
      </c>
    </row>
    <row r="48" spans="4:15" ht="12.7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3:15" ht="13.5" thickBot="1">
      <c r="C49" s="5" t="s">
        <v>33</v>
      </c>
      <c r="D49" s="29">
        <f>+O33+D47</f>
        <v>-457095.7000000001</v>
      </c>
      <c r="E49" s="29">
        <f aca="true" t="shared" si="7" ref="E49:O49">+D49+E47</f>
        <v>-454766.15000000014</v>
      </c>
      <c r="F49" s="29">
        <f t="shared" si="7"/>
        <v>-455337.6766000001</v>
      </c>
      <c r="G49" s="29">
        <f t="shared" si="7"/>
        <v>-454408.00300000014</v>
      </c>
      <c r="H49" s="29">
        <f t="shared" si="7"/>
        <v>-452359.7254000001</v>
      </c>
      <c r="I49" s="29">
        <f t="shared" si="7"/>
        <v>-450975.9140000001</v>
      </c>
      <c r="J49" s="29">
        <f t="shared" si="7"/>
        <v>-449760.87040000013</v>
      </c>
      <c r="K49" s="29">
        <f t="shared" si="7"/>
        <v>-445665.5317000001</v>
      </c>
      <c r="L49" s="29">
        <f t="shared" si="7"/>
        <v>-443729.0625000001</v>
      </c>
      <c r="M49" s="29">
        <f t="shared" si="7"/>
        <v>-444987.06170000014</v>
      </c>
      <c r="N49" s="29">
        <f t="shared" si="7"/>
        <v>-442186.11440000014</v>
      </c>
      <c r="O49" s="29">
        <f t="shared" si="7"/>
        <v>-438467.6825000001</v>
      </c>
    </row>
    <row r="50" spans="4:15" ht="13.5" thickTop="1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4:15" ht="12.75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12.75">
      <c r="B52" s="5" t="s">
        <v>18</v>
      </c>
      <c r="C52" s="48" t="s">
        <v>51</v>
      </c>
      <c r="D52" s="28">
        <f aca="true" t="shared" si="8" ref="D52:O52">+D47</f>
        <v>1699.1400000000012</v>
      </c>
      <c r="E52" s="28">
        <f t="shared" si="8"/>
        <v>2329.550000000001</v>
      </c>
      <c r="F52" s="28">
        <f t="shared" si="8"/>
        <v>-571.526600000001</v>
      </c>
      <c r="G52" s="28">
        <f t="shared" si="8"/>
        <v>929.6736000000001</v>
      </c>
      <c r="H52" s="28">
        <f t="shared" si="8"/>
        <v>2048.2776000000013</v>
      </c>
      <c r="I52" s="28">
        <f t="shared" si="8"/>
        <v>1383.8113999999987</v>
      </c>
      <c r="J52" s="28">
        <f t="shared" si="8"/>
        <v>1215.0436000000009</v>
      </c>
      <c r="K52" s="28">
        <f t="shared" si="8"/>
        <v>4095.3386999999984</v>
      </c>
      <c r="L52" s="28">
        <f t="shared" si="8"/>
        <v>1936.4691999999995</v>
      </c>
      <c r="M52" s="28">
        <f t="shared" si="8"/>
        <v>-1257.9992000000002</v>
      </c>
      <c r="N52" s="28">
        <f t="shared" si="8"/>
        <v>2800.9473</v>
      </c>
      <c r="O52" s="28">
        <f t="shared" si="8"/>
        <v>3718.4318999999996</v>
      </c>
    </row>
    <row r="53" spans="2:15" ht="12.75">
      <c r="B53" s="5" t="s">
        <v>17</v>
      </c>
      <c r="C53" s="6">
        <f>+O33</f>
        <v>-458794.84000000014</v>
      </c>
      <c r="D53" s="28">
        <f>+C53+D52</f>
        <v>-457095.7000000001</v>
      </c>
      <c r="E53" s="28">
        <f aca="true" t="shared" si="9" ref="E53:O53">+D53+E52</f>
        <v>-454766.15000000014</v>
      </c>
      <c r="F53" s="28">
        <f t="shared" si="9"/>
        <v>-455337.6766000001</v>
      </c>
      <c r="G53" s="32">
        <f t="shared" si="9"/>
        <v>-454408.00300000014</v>
      </c>
      <c r="H53" s="32">
        <f t="shared" si="9"/>
        <v>-452359.7254000001</v>
      </c>
      <c r="I53" s="28">
        <f t="shared" si="9"/>
        <v>-450975.9140000001</v>
      </c>
      <c r="J53" s="28">
        <f t="shared" si="9"/>
        <v>-449760.87040000013</v>
      </c>
      <c r="K53" s="28">
        <f t="shared" si="9"/>
        <v>-445665.5317000001</v>
      </c>
      <c r="L53" s="28">
        <f t="shared" si="9"/>
        <v>-443729.0625000001</v>
      </c>
      <c r="M53" s="28">
        <f t="shared" si="9"/>
        <v>-444987.06170000014</v>
      </c>
      <c r="N53" s="28">
        <f t="shared" si="9"/>
        <v>-442186.11440000014</v>
      </c>
      <c r="O53" s="28">
        <f t="shared" si="9"/>
        <v>-438467.6825000001</v>
      </c>
    </row>
    <row r="54" spans="3:15" ht="12.75">
      <c r="C54" s="1"/>
      <c r="D54" s="28"/>
      <c r="E54" s="28"/>
      <c r="F54" s="28"/>
      <c r="G54" s="32"/>
      <c r="H54" s="32"/>
      <c r="I54" s="28"/>
      <c r="J54" s="28"/>
      <c r="K54" s="28"/>
      <c r="L54" s="28"/>
      <c r="M54" s="28"/>
      <c r="N54" s="28"/>
      <c r="O54" s="28"/>
    </row>
    <row r="55" spans="4:15" ht="13.5" thickBot="1">
      <c r="D55" s="29">
        <f aca="true" t="shared" si="10" ref="D55:O55">+D53+D54</f>
        <v>-457095.7000000001</v>
      </c>
      <c r="E55" s="29">
        <f t="shared" si="10"/>
        <v>-454766.15000000014</v>
      </c>
      <c r="F55" s="29">
        <f t="shared" si="10"/>
        <v>-455337.6766000001</v>
      </c>
      <c r="G55" s="37">
        <f t="shared" si="10"/>
        <v>-454408.00300000014</v>
      </c>
      <c r="H55" s="37">
        <f t="shared" si="10"/>
        <v>-452359.7254000001</v>
      </c>
      <c r="I55" s="29">
        <f t="shared" si="10"/>
        <v>-450975.9140000001</v>
      </c>
      <c r="J55" s="29">
        <f t="shared" si="10"/>
        <v>-449760.87040000013</v>
      </c>
      <c r="K55" s="29">
        <f t="shared" si="10"/>
        <v>-445665.5317000001</v>
      </c>
      <c r="L55" s="29">
        <f t="shared" si="10"/>
        <v>-443729.0625000001</v>
      </c>
      <c r="M55" s="29">
        <f t="shared" si="10"/>
        <v>-444987.06170000014</v>
      </c>
      <c r="N55" s="29">
        <f t="shared" si="10"/>
        <v>-442186.11440000014</v>
      </c>
      <c r="O55" s="29">
        <f t="shared" si="10"/>
        <v>-438467.6825000001</v>
      </c>
    </row>
    <row r="56" spans="1:15" ht="13.5" thickTop="1">
      <c r="A56" s="2" t="s">
        <v>40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4:15" ht="12.7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" t="s">
        <v>34</v>
      </c>
      <c r="C58" s="21"/>
      <c r="D58" s="31" t="s">
        <v>2</v>
      </c>
      <c r="E58" s="31" t="s">
        <v>3</v>
      </c>
      <c r="F58" s="31" t="s">
        <v>4</v>
      </c>
      <c r="G58" s="38" t="s">
        <v>5</v>
      </c>
      <c r="H58" s="38" t="s">
        <v>6</v>
      </c>
      <c r="I58" s="31" t="s">
        <v>7</v>
      </c>
      <c r="J58" s="31" t="s">
        <v>8</v>
      </c>
      <c r="K58" s="31" t="s">
        <v>9</v>
      </c>
      <c r="L58" s="31" t="s">
        <v>10</v>
      </c>
      <c r="M58" s="31" t="s">
        <v>11</v>
      </c>
      <c r="N58" s="31" t="s">
        <v>12</v>
      </c>
      <c r="O58" s="31" t="s">
        <v>13</v>
      </c>
    </row>
    <row r="59" spans="1:15" ht="12.75">
      <c r="A59" s="3"/>
      <c r="C59" s="1"/>
      <c r="D59" s="28"/>
      <c r="E59" s="28"/>
      <c r="F59" s="28"/>
      <c r="G59" s="32"/>
      <c r="H59" s="32"/>
      <c r="I59" s="28"/>
      <c r="J59" s="28"/>
      <c r="K59" s="28"/>
      <c r="L59" s="28"/>
      <c r="M59" s="28"/>
      <c r="N59" s="28"/>
      <c r="O59" s="28"/>
    </row>
    <row r="60" spans="1:15" ht="12.75">
      <c r="A60" s="55">
        <v>0.2</v>
      </c>
      <c r="B60">
        <v>2010</v>
      </c>
      <c r="C60" s="24" t="s">
        <v>25</v>
      </c>
      <c r="D60" s="27">
        <f>+D42</f>
        <v>13346.89</v>
      </c>
      <c r="E60" s="27">
        <f>+E42</f>
        <v>11986.48</v>
      </c>
      <c r="F60" s="27">
        <f>+F42</f>
        <v>14103.2</v>
      </c>
      <c r="G60" s="27">
        <f>+G42</f>
        <v>10048.11</v>
      </c>
      <c r="H60" s="27">
        <f>+H42</f>
        <v>8593.66</v>
      </c>
      <c r="I60" s="33">
        <f aca="true" t="shared" si="11" ref="I60:O60">+I42+(I42*$A$60)</f>
        <v>12194.387999999999</v>
      </c>
      <c r="J60" s="33">
        <f t="shared" si="11"/>
        <v>11452.452</v>
      </c>
      <c r="K60" s="33">
        <f t="shared" si="11"/>
        <v>9793.02</v>
      </c>
      <c r="L60" s="33">
        <f t="shared" si="11"/>
        <v>11511.924</v>
      </c>
      <c r="M60" s="33">
        <f t="shared" si="11"/>
        <v>14658.408</v>
      </c>
      <c r="N60" s="33">
        <f t="shared" si="11"/>
        <v>11947.308</v>
      </c>
      <c r="O60" s="33">
        <f t="shared" si="11"/>
        <v>14303.496</v>
      </c>
    </row>
    <row r="61" spans="3:15" ht="12.75">
      <c r="C61" s="1"/>
      <c r="D61" s="28"/>
      <c r="E61" s="28"/>
      <c r="F61" s="28"/>
      <c r="G61" s="32"/>
      <c r="H61" s="32"/>
      <c r="I61" s="32"/>
      <c r="J61" s="32"/>
      <c r="K61" s="32"/>
      <c r="L61" s="32"/>
      <c r="M61" s="32"/>
      <c r="N61" s="28"/>
      <c r="O61" s="28"/>
    </row>
    <row r="62" spans="4:15" ht="12.75">
      <c r="D62" s="28"/>
      <c r="E62" s="28"/>
      <c r="F62" s="28"/>
      <c r="G62" s="32"/>
      <c r="H62" s="32"/>
      <c r="I62" s="28"/>
      <c r="J62" s="28"/>
      <c r="K62" s="28"/>
      <c r="L62" s="28"/>
      <c r="M62" s="28"/>
      <c r="N62" s="28"/>
      <c r="O62" s="28"/>
    </row>
    <row r="63" spans="3:15" ht="13.5" thickBot="1">
      <c r="C63" s="5" t="s">
        <v>62</v>
      </c>
      <c r="D63" s="34">
        <f>+D49</f>
        <v>-457095.7000000001</v>
      </c>
      <c r="E63" s="34">
        <f>+E49</f>
        <v>-454766.15000000014</v>
      </c>
      <c r="F63" s="34">
        <f>+F49</f>
        <v>-455337.6766000001</v>
      </c>
      <c r="G63" s="34">
        <f>+G49</f>
        <v>-454408.00300000014</v>
      </c>
      <c r="H63" s="35">
        <f aca="true" t="shared" si="12" ref="H63:O63">+G63+H44-H60</f>
        <v>-452359.7254000001</v>
      </c>
      <c r="I63" s="35">
        <f t="shared" si="12"/>
        <v>-453008.3120000001</v>
      </c>
      <c r="J63" s="35">
        <f t="shared" si="12"/>
        <v>-453702.0104000001</v>
      </c>
      <c r="K63" s="35">
        <f t="shared" si="12"/>
        <v>-451238.8417000001</v>
      </c>
      <c r="L63" s="35">
        <f t="shared" si="12"/>
        <v>-451221.0265000001</v>
      </c>
      <c r="M63" s="35">
        <f t="shared" si="12"/>
        <v>-454922.0937000001</v>
      </c>
      <c r="N63" s="35">
        <f t="shared" si="12"/>
        <v>-454112.3644000001</v>
      </c>
      <c r="O63" s="35">
        <f t="shared" si="12"/>
        <v>-452777.8485000001</v>
      </c>
    </row>
    <row r="64" ht="13.5" thickTop="1"/>
    <row r="66" spans="1:15" ht="12.75">
      <c r="A66" s="2" t="s">
        <v>34</v>
      </c>
      <c r="C66" s="21"/>
      <c r="D66" s="31" t="s">
        <v>2</v>
      </c>
      <c r="E66" s="31" t="s">
        <v>3</v>
      </c>
      <c r="F66" s="31" t="s">
        <v>4</v>
      </c>
      <c r="G66" s="38" t="s">
        <v>5</v>
      </c>
      <c r="H66" s="38" t="s">
        <v>6</v>
      </c>
      <c r="I66" s="31" t="s">
        <v>7</v>
      </c>
      <c r="J66" s="31" t="s">
        <v>8</v>
      </c>
      <c r="K66" s="31" t="s">
        <v>9</v>
      </c>
      <c r="L66" s="31" t="s">
        <v>10</v>
      </c>
      <c r="M66" s="31" t="s">
        <v>11</v>
      </c>
      <c r="N66" s="31" t="s">
        <v>12</v>
      </c>
      <c r="O66" s="31" t="s">
        <v>13</v>
      </c>
    </row>
    <row r="67" spans="1:15" ht="12.75">
      <c r="A67" s="3"/>
      <c r="C67" s="1"/>
      <c r="D67" s="28"/>
      <c r="E67" s="28"/>
      <c r="F67" s="28"/>
      <c r="G67" s="32"/>
      <c r="H67" s="32"/>
      <c r="I67" s="28"/>
      <c r="J67" s="28"/>
      <c r="K67" s="28"/>
      <c r="L67" s="28"/>
      <c r="M67" s="28"/>
      <c r="N67" s="28"/>
      <c r="O67" s="28"/>
    </row>
    <row r="68" spans="1:15" ht="12.75">
      <c r="A68" s="54">
        <f>+A60</f>
        <v>0.2</v>
      </c>
      <c r="B68">
        <v>2011</v>
      </c>
      <c r="C68" s="24" t="s">
        <v>25</v>
      </c>
      <c r="D68" s="27">
        <f>+D60+(D60*$A$68)</f>
        <v>16016.268</v>
      </c>
      <c r="E68" s="27">
        <f>+E60+(E60*$A$68)</f>
        <v>14383.776</v>
      </c>
      <c r="F68" s="27">
        <f>+F60+(F60*$A$68)</f>
        <v>16923.84</v>
      </c>
      <c r="G68" s="27">
        <f>+G60+(G60*$A$68)</f>
        <v>12057.732</v>
      </c>
      <c r="H68" s="27">
        <f>+H60+(H60*$A$68)</f>
        <v>10312.392</v>
      </c>
      <c r="I68" s="33">
        <f aca="true" t="shared" si="13" ref="I68:O68">+I60</f>
        <v>12194.387999999999</v>
      </c>
      <c r="J68" s="33">
        <f t="shared" si="13"/>
        <v>11452.452</v>
      </c>
      <c r="K68" s="33">
        <f t="shared" si="13"/>
        <v>9793.02</v>
      </c>
      <c r="L68" s="33">
        <f t="shared" si="13"/>
        <v>11511.924</v>
      </c>
      <c r="M68" s="33">
        <f t="shared" si="13"/>
        <v>14658.408</v>
      </c>
      <c r="N68" s="33">
        <f t="shared" si="13"/>
        <v>11947.308</v>
      </c>
      <c r="O68" s="33">
        <f t="shared" si="13"/>
        <v>14303.496</v>
      </c>
    </row>
    <row r="69" spans="3:15" ht="12.75">
      <c r="C69" s="1"/>
      <c r="D69" s="28"/>
      <c r="E69" s="28"/>
      <c r="F69" s="28"/>
      <c r="G69" s="32"/>
      <c r="H69" s="32"/>
      <c r="I69" s="32"/>
      <c r="J69" s="32"/>
      <c r="K69" s="32"/>
      <c r="L69" s="32"/>
      <c r="M69" s="32"/>
      <c r="N69" s="28"/>
      <c r="O69" s="28"/>
    </row>
    <row r="70" spans="4:15" ht="12.75">
      <c r="D70" s="28"/>
      <c r="E70" s="28"/>
      <c r="F70" s="28"/>
      <c r="G70" s="32"/>
      <c r="H70" s="32"/>
      <c r="I70" s="28"/>
      <c r="J70" s="28"/>
      <c r="K70" s="28"/>
      <c r="L70" s="28"/>
      <c r="M70" s="28"/>
      <c r="N70" s="28"/>
      <c r="O70" s="28"/>
    </row>
    <row r="71" spans="3:15" ht="13.5" thickBot="1">
      <c r="C71" s="5" t="s">
        <v>62</v>
      </c>
      <c r="D71" s="34">
        <f>+O63-D68+D44</f>
        <v>-453748.08650000003</v>
      </c>
      <c r="E71" s="34">
        <f aca="true" t="shared" si="14" ref="E71:O71">D71-E68+E44</f>
        <v>-453815.8325</v>
      </c>
      <c r="F71" s="34">
        <f t="shared" si="14"/>
        <v>-457207.9991</v>
      </c>
      <c r="G71" s="34">
        <f t="shared" si="14"/>
        <v>-458287.9475</v>
      </c>
      <c r="H71" s="34">
        <f t="shared" si="14"/>
        <v>-457958.4019</v>
      </c>
      <c r="I71" s="34">
        <f t="shared" si="14"/>
        <v>-458606.9885</v>
      </c>
      <c r="J71" s="34">
        <f t="shared" si="14"/>
        <v>-459300.6869</v>
      </c>
      <c r="K71" s="34">
        <f t="shared" si="14"/>
        <v>-456837.5182</v>
      </c>
      <c r="L71" s="34">
        <f t="shared" si="14"/>
        <v>-456819.703</v>
      </c>
      <c r="M71" s="34">
        <f t="shared" si="14"/>
        <v>-460520.77019999997</v>
      </c>
      <c r="N71" s="34">
        <f t="shared" si="14"/>
        <v>-459711.04089999996</v>
      </c>
      <c r="O71" s="34">
        <f t="shared" si="14"/>
        <v>-458376.52499999997</v>
      </c>
    </row>
    <row r="72" ht="13.5" thickTop="1"/>
  </sheetData>
  <sheetProtection/>
  <mergeCells count="2">
    <mergeCell ref="M21:O21"/>
    <mergeCell ref="F43:O43"/>
  </mergeCells>
  <printOptions/>
  <pageMargins left="0.41" right="0.46" top="0.34" bottom="0.3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Kenora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jrobertson</dc:creator>
  <cp:keywords/>
  <dc:description/>
  <cp:lastModifiedBy>jrobertson</cp:lastModifiedBy>
  <cp:lastPrinted>2010-03-22T20:47:03Z</cp:lastPrinted>
  <dcterms:created xsi:type="dcterms:W3CDTF">2007-11-05T19:57:05Z</dcterms:created>
  <dcterms:modified xsi:type="dcterms:W3CDTF">2010-03-23T15:57:04Z</dcterms:modified>
  <cp:category/>
  <cp:version/>
  <cp:contentType/>
  <cp:contentStatus/>
</cp:coreProperties>
</file>