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4235" windowHeight="8055" tabRatio="877" firstSheet="1" activeTab="8"/>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Bill Impacts" sheetId="9" r:id="rId9"/>
  </sheets>
  <externalReferences>
    <externalReference r:id="rId12"/>
  </externalReferences>
  <definedNames>
    <definedName name="_xlfn.BAHTTEXT" hidden="1">#NAME?</definedName>
    <definedName name="_xlnm.Print_Area" localSheetId="2">'1.Rate_Base'!$A$1:$L$44</definedName>
    <definedName name="_xlnm.Print_Area" localSheetId="3">'2.Utility Income'!$A$1:$K$58</definedName>
    <definedName name="_xlnm.Print_Area" localSheetId="4">'3.Taxes_PILs'!$A$1:$I$50</definedName>
    <definedName name="_xlnm.Print_Area" localSheetId="5">'4.Cost_of_Capital'!$A$1:$M$53</definedName>
    <definedName name="_xlnm.Print_Area" localSheetId="6">'5. Rev_Suff_Def'!$A$1:$L$59</definedName>
    <definedName name="_xlnm.Print_Area" localSheetId="7">'6.Rev_Reqt'!$A$1:$J$43</definedName>
    <definedName name="_xlnm.Print_Area" localSheetId="8">'7.Bill Impacts'!$A$1:$Q$23</definedName>
    <definedName name="_xlnm.Print_Area" localSheetId="1">'A. Data_Input_Sheet'!$A$1:$N$78</definedName>
    <definedName name="_xlnm.Print_Area" localSheetId="0">'Table of Contents'!$A$1:$H$43</definedName>
  </definedNames>
  <calcPr fullCalcOnLoad="1" iterate="1" iterateCount="100" iterateDelta="0.001"/>
</workbook>
</file>

<file path=xl/sharedStrings.xml><?xml version="1.0" encoding="utf-8"?>
<sst xmlns="http://schemas.openxmlformats.org/spreadsheetml/2006/main" count="294" uniqueCount="203">
  <si>
    <t>Working Capital Allowance</t>
  </si>
  <si>
    <t>Total Rate Base</t>
  </si>
  <si>
    <t>(1)</t>
  </si>
  <si>
    <t>(2)</t>
  </si>
  <si>
    <t>Application</t>
  </si>
  <si>
    <t>Cost of Power</t>
  </si>
  <si>
    <t>Taxes/PILs</t>
  </si>
  <si>
    <t>Rate Base</t>
  </si>
  <si>
    <t>File Number:</t>
  </si>
  <si>
    <t>Current</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</si>
  <si>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</si>
  <si>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</si>
  <si>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</si>
  <si>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</si>
  <si>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</si>
  <si>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</si>
  <si>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</si>
  <si>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</si>
  <si>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</si>
  <si>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</si>
  <si>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</si>
  <si>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</si>
  <si>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</si>
  <si>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</si>
  <si>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</si>
  <si>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</si>
  <si>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</si>
  <si>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</si>
  <si>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</si>
  <si>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</si>
  <si>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</si>
  <si>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Subtotal</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</si>
  <si>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</si>
  <si>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</si>
  <si>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</si>
  <si>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</si>
  <si>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</si>
  <si>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</si>
  <si>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</si>
  <si>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</si>
  <si>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</si>
  <si>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</si>
  <si>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</si>
  <si>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</si>
  <si>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</si>
  <si>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</si>
  <si>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</si>
  <si>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</si>
  <si>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</si>
  <si>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</si>
  <si>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</si>
  <si>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</si>
  <si>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</si>
  <si>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</si>
  <si>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</si>
  <si>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</si>
  <si>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</si>
  <si>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 xml:space="preserve"> $</t>
  </si>
  <si>
    <t xml:space="preserve"> %</t>
  </si>
  <si>
    <t>Utility Income</t>
  </si>
  <si>
    <t>Revenue Sufficiency/Deficiency</t>
  </si>
  <si>
    <t>GS &lt; 50kW</t>
  </si>
  <si>
    <t>Change</t>
  </si>
  <si>
    <t xml:space="preserve">Residential </t>
  </si>
  <si>
    <t>Monthly Delivery Charge</t>
  </si>
  <si>
    <t>Per Draft Rate Order</t>
  </si>
  <si>
    <t>Distribution Revenue Requirement before Revenues</t>
  </si>
  <si>
    <t>Utility Rate Base</t>
  </si>
  <si>
    <t>Indicated Rate of Return</t>
  </si>
  <si>
    <t>Sufficiency/Deficiency in Rate of Return</t>
  </si>
  <si>
    <t>Gross Revenue Sufficiency/Deficiency</t>
  </si>
  <si>
    <t>Capitalization/Cost of Capital</t>
  </si>
  <si>
    <t>Bill Impacts</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</si>
  <si>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</si>
  <si>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</si>
  <si>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</si>
  <si>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</si>
  <si>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</si>
  <si>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</si>
  <si>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</si>
  <si>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</si>
  <si>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</si>
  <si>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</si>
  <si>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</si>
  <si>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</si>
  <si>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</si>
  <si>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</si>
  <si>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</si>
  <si>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</si>
  <si>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</si>
  <si>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</si>
  <si>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</si>
  <si>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</si>
  <si>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</si>
  <si>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</si>
  <si>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</si>
  <si>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</si>
  <si>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</si>
  <si>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 xml:space="preserve">   Adjustments required to arrive at 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</si>
  <si>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</si>
  <si>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</si>
  <si>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</si>
  <si>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</si>
  <si>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</si>
  <si>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</si>
  <si>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</si>
  <si>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</si>
  <si>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</si>
  <si>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</si>
  <si>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</si>
  <si>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</si>
  <si>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</si>
  <si>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This input sheet provides all inputs needed to complete sheets 1 through 6 (Rate Base through Revenue Requirement), except for Notes that the utility may wish to use to support the components.  Notes should be put on the applicable pages to understand the context of each such note. </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</si>
  <si>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</si>
  <si>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</si>
  <si>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</si>
  <si>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</si>
  <si>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</si>
  <si>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</si>
  <si>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</si>
  <si>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</si>
  <si>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</si>
  <si>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</si>
  <si>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</si>
  <si>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Total Expenses (lines 4 to 10)</t>
  </si>
  <si>
    <t>Utility income before income taxes</t>
  </si>
  <si>
    <t>Adjustments</t>
  </si>
  <si>
    <t>(3)</t>
  </si>
  <si>
    <t>Net of addbacks and deductions to arrive at taxable income.</t>
  </si>
  <si>
    <t>Total Bill</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</si>
  <si>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</si>
  <si>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</si>
  <si>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</si>
  <si>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</si>
  <si>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</si>
  <si>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</si>
  <si>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</si>
  <si>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</si>
  <si>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</si>
  <si>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</si>
  <si>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 xml:space="preserve">   Revenue Deficiency from Below</t>
  </si>
  <si>
    <t xml:space="preserve">   Distribution Revenue</t>
  </si>
  <si>
    <t>Total Revenue</t>
  </si>
  <si>
    <t>Utility Income Before Income Taxes</t>
  </si>
  <si>
    <t xml:space="preserve">   Income Tax on Taxable Income</t>
  </si>
  <si>
    <r>
      <t xml:space="preserve">   </t>
    </r>
    <r>
      <rPr>
        <b/>
        <sz val="10"/>
        <rFont val="Arial"/>
        <family val="2"/>
      </rPr>
      <t>Income Tax Credits</t>
    </r>
  </si>
  <si>
    <t xml:space="preserve">Utility Net Income </t>
  </si>
  <si>
    <t xml:space="preserve">   Income Tax Rate</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</si>
  <si>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</si>
  <si>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</si>
  <si>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</si>
  <si>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</si>
  <si>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</si>
  <si>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</si>
  <si>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</si>
  <si>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</si>
  <si>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</si>
  <si>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</si>
  <si>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</si>
  <si>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</si>
  <si>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</si>
  <si>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</si>
  <si>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</si>
  <si>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Per Application</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</si>
  <si>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</si>
  <si>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</si>
  <si>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</si>
  <si>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</si>
  <si>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</si>
  <si>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</si>
  <si>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</si>
  <si>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</si>
  <si>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</si>
  <si>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</si>
  <si>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</si>
  <si>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</si>
  <si>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</si>
  <si>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 xml:space="preserve">   Other Operating Revenue Offsets - net</t>
  </si>
  <si>
    <t>Average of Accumulated Depreciation at the beginning and end of the Test Year.  Enter as a negative amount.</t>
  </si>
  <si>
    <r>
      <t>(1)</t>
    </r>
    <r>
      <rPr>
        <b/>
        <sz val="10"/>
        <rFont val="Arial"/>
        <family val="2"/>
      </rPr>
      <t xml:space="preserve">                                     Allowance for Working Capital - Derivation</t>
    </r>
  </si>
  <si>
    <t>Revenue Requirement Work Form</t>
  </si>
  <si>
    <t>Name of LDC:</t>
  </si>
  <si>
    <t>Data Input Sheet</t>
  </si>
  <si>
    <t>Federal tax (%)</t>
  </si>
  <si>
    <t>Provincial tax (%)</t>
  </si>
  <si>
    <t>Total tax rate (%)</t>
  </si>
  <si>
    <t>Capital Taxes</t>
  </si>
  <si>
    <t>OM&amp;A Expenses</t>
  </si>
  <si>
    <r>
      <t>1000</t>
    </r>
    <r>
      <rPr>
        <sz val="10"/>
        <rFont val="Arial"/>
        <family val="0"/>
      </rPr>
      <t xml:space="preserve"> kWh/month</t>
    </r>
  </si>
  <si>
    <r>
      <t>2000</t>
    </r>
    <r>
      <rPr>
        <sz val="10"/>
        <rFont val="Arial"/>
        <family val="0"/>
      </rPr>
      <t xml:space="preserve"> kWh/month</t>
    </r>
  </si>
  <si>
    <t>Please note that this model uses MACROS.  Before starting, please ensure that macros have been enabled.</t>
  </si>
  <si>
    <t>A</t>
  </si>
  <si>
    <t>Selected Delivery Charge and Bill Impacts                                                                                 Per Draft Rate Order</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</si>
  <si>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</si>
  <si>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</si>
  <si>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</si>
  <si>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</si>
  <si>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</si>
  <si>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</si>
  <si>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Per Board Decision</t>
  </si>
  <si>
    <t>Cambridge and North Dumfries Hydro Inc.</t>
  </si>
  <si>
    <t>EB- 2009 - 0260</t>
  </si>
  <si>
    <t>Tax rate reflects Provincial and Federal Tax Credits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</si>
</sst>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s>
  <fonts count="42">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sz val="12"/>
      <name val="Arial"/>
      <family val="2"/>
    </font>
    <font>
      <b/>
      <sz val="8"/>
      <color indexed="10"/>
      <name val="Arial"/>
      <family val="2"/>
    </font>
    <font>
      <b/>
      <i/>
      <sz val="10"/>
      <color indexed="10"/>
      <name val="Arial"/>
      <family val="2"/>
    </font>
    <font>
      <b/>
      <i/>
      <sz val="9"/>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390">
    <xf numFmtId="0" fontId="0" fillId="0" borderId="0" xfId="0" applyAlignment="1">
      <alignment/>
    </xf>
    <xf numFmtId="0" fontId="10" fillId="24" borderId="0" xfId="0" applyFont="1" applyFill="1" applyAlignment="1" applyProtection="1">
      <alignment vertical="top" wrapText="1"/>
      <protection/>
    </xf>
    <xf numFmtId="0" fontId="0" fillId="24" borderId="0" xfId="0" applyFill="1" applyBorder="1" applyAlignment="1" applyProtection="1">
      <alignment/>
      <protection/>
    </xf>
    <xf numFmtId="0" fontId="11" fillId="24" borderId="0" xfId="0" applyFont="1" applyFill="1" applyBorder="1" applyAlignment="1" applyProtection="1">
      <alignment horizontal="left"/>
      <protection/>
    </xf>
    <xf numFmtId="0" fontId="11" fillId="24" borderId="0" xfId="0" applyFont="1" applyFill="1" applyBorder="1" applyAlignment="1" applyProtection="1">
      <alignment/>
      <protection/>
    </xf>
    <xf numFmtId="0" fontId="5" fillId="24" borderId="0" xfId="0" applyFont="1" applyFill="1" applyBorder="1" applyAlignment="1" applyProtection="1">
      <alignment/>
      <protection/>
    </xf>
    <xf numFmtId="0" fontId="13" fillId="24" borderId="0" xfId="0" applyFont="1" applyFill="1" applyBorder="1" applyAlignment="1" applyProtection="1">
      <alignment horizontal="center"/>
      <protection/>
    </xf>
    <xf numFmtId="0" fontId="13" fillId="24" borderId="0" xfId="0" applyFont="1" applyFill="1" applyBorder="1" applyAlignment="1" applyProtection="1">
      <alignment/>
      <protection/>
    </xf>
    <xf numFmtId="0" fontId="7" fillId="24" borderId="0" xfId="0" applyFont="1" applyFill="1" applyBorder="1" applyAlignment="1" applyProtection="1">
      <alignment/>
      <protection/>
    </xf>
    <xf numFmtId="0" fontId="2" fillId="24" borderId="0"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24" borderId="0" xfId="0" applyFont="1" applyFill="1" applyBorder="1" applyAlignment="1" applyProtection="1">
      <alignment horizontal="left"/>
      <protection/>
    </xf>
    <xf numFmtId="0" fontId="0" fillId="24" borderId="0" xfId="0" applyFill="1" applyBorder="1" applyAlignment="1" applyProtection="1">
      <alignment/>
      <protection locked="0"/>
    </xf>
    <xf numFmtId="0" fontId="14" fillId="24" borderId="0" xfId="53" applyFont="1" applyFill="1" applyBorder="1" applyAlignment="1" applyProtection="1">
      <alignment/>
      <protection locked="0"/>
    </xf>
    <xf numFmtId="0" fontId="2" fillId="24" borderId="0" xfId="0" applyFont="1" applyFill="1" applyBorder="1" applyAlignment="1" applyProtection="1">
      <alignment/>
      <protection locked="0"/>
    </xf>
    <xf numFmtId="0" fontId="2" fillId="24" borderId="0" xfId="0" applyFont="1" applyFill="1" applyBorder="1" applyAlignment="1" applyProtection="1">
      <alignment horizontal="left"/>
      <protection locked="0"/>
    </xf>
    <xf numFmtId="0" fontId="14" fillId="24" borderId="0" xfId="53" applyFont="1" applyFill="1" applyBorder="1" applyAlignment="1" applyProtection="1">
      <alignment horizontal="left"/>
      <protection locked="0"/>
    </xf>
    <xf numFmtId="0" fontId="2" fillId="4" borderId="0" xfId="0" applyFont="1" applyFill="1" applyAlignment="1" applyProtection="1" quotePrefix="1">
      <alignment/>
      <protection/>
    </xf>
    <xf numFmtId="0" fontId="0" fillId="4" borderId="0" xfId="0" applyFont="1" applyFill="1" applyBorder="1" applyAlignment="1" applyProtection="1">
      <alignment horizontal="left"/>
      <protection/>
    </xf>
    <xf numFmtId="0" fontId="0" fillId="4" borderId="0" xfId="0" applyFill="1" applyAlignment="1" applyProtection="1">
      <alignment/>
      <protection/>
    </xf>
    <xf numFmtId="0" fontId="12" fillId="24" borderId="0" xfId="0" applyFont="1" applyFill="1" applyBorder="1" applyAlignment="1" applyProtection="1" quotePrefix="1">
      <alignment/>
      <protection/>
    </xf>
    <xf numFmtId="0" fontId="10" fillId="24" borderId="0" xfId="0" applyFont="1" applyFill="1" applyAlignment="1" applyProtection="1">
      <alignment horizontal="left" vertical="top" wrapText="1" indent="1"/>
      <protection/>
    </xf>
    <xf numFmtId="0" fontId="18" fillId="24" borderId="0" xfId="0" applyFont="1" applyFill="1" applyBorder="1" applyAlignment="1" applyProtection="1">
      <alignment horizontal="center"/>
      <protection/>
    </xf>
    <xf numFmtId="0" fontId="19" fillId="24"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24" borderId="0" xfId="0" applyFont="1" applyFill="1" applyBorder="1" applyAlignment="1" applyProtection="1">
      <alignment horizontal="left" indent="1"/>
      <protection/>
    </xf>
    <xf numFmtId="0" fontId="15" fillId="24" borderId="0" xfId="0" applyFont="1" applyFill="1" applyBorder="1" applyAlignment="1" applyProtection="1">
      <alignment horizontal="center"/>
      <protection/>
    </xf>
    <xf numFmtId="0" fontId="2" fillId="24"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25" borderId="11" xfId="0" applyFont="1" applyFill="1" applyBorder="1" applyAlignment="1" applyProtection="1">
      <alignment horizontal="center" vertical="center"/>
      <protection/>
    </xf>
    <xf numFmtId="0" fontId="2" fillId="25"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6"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6" fontId="0" fillId="0" borderId="0" xfId="0" applyNumberFormat="1"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9" fontId="0" fillId="0" borderId="0" xfId="59" applyFont="1" applyFill="1" applyAlignment="1" applyProtection="1">
      <alignment/>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24"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7" fillId="0" borderId="0" xfId="0" applyFont="1" applyBorder="1" applyAlignment="1" applyProtection="1">
      <alignment/>
      <protection/>
    </xf>
    <xf numFmtId="0" fontId="17" fillId="0" borderId="13"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0" fillId="0" borderId="14" xfId="0" applyBorder="1" applyAlignment="1" applyProtection="1">
      <alignment horizontal="center" wrapText="1"/>
      <protection/>
    </xf>
    <xf numFmtId="0" fontId="11" fillId="24" borderId="0" xfId="0" applyFont="1" applyFill="1" applyBorder="1" applyAlignment="1" applyProtection="1">
      <alignment horizontal="left" indent="7"/>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0" fillId="0" borderId="17" xfId="0" applyBorder="1" applyAlignment="1" applyProtection="1">
      <alignment/>
      <protection/>
    </xf>
    <xf numFmtId="0" fontId="2" fillId="0" borderId="0" xfId="0" applyFont="1" applyBorder="1" applyAlignment="1" applyProtection="1">
      <alignment horizontal="left"/>
      <protection/>
    </xf>
    <xf numFmtId="0" fontId="0" fillId="24"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8" xfId="44" applyNumberFormat="1" applyFont="1" applyBorder="1" applyAlignment="1" applyProtection="1">
      <alignment/>
      <protection/>
    </xf>
    <xf numFmtId="174" fontId="0" fillId="0" borderId="18" xfId="0" applyNumberFormat="1" applyBorder="1" applyAlignment="1" applyProtection="1">
      <alignment/>
      <protection/>
    </xf>
    <xf numFmtId="174" fontId="0" fillId="0" borderId="19"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horizontal="righ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8"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5"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5"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20" xfId="44" applyNumberFormat="1" applyFont="1" applyBorder="1" applyAlignment="1" applyProtection="1">
      <alignment/>
      <protection/>
    </xf>
    <xf numFmtId="174" fontId="0" fillId="0" borderId="17" xfId="44" applyNumberFormat="1" applyFont="1" applyBorder="1" applyAlignment="1" applyProtection="1">
      <alignment/>
      <protection/>
    </xf>
    <xf numFmtId="174" fontId="0" fillId="0" borderId="21" xfId="44" applyNumberFormat="1" applyFont="1" applyBorder="1" applyAlignment="1" applyProtection="1">
      <alignment/>
      <protection/>
    </xf>
    <xf numFmtId="174" fontId="0" fillId="0" borderId="22" xfId="44" applyNumberFormat="1" applyFont="1" applyBorder="1" applyAlignment="1" applyProtection="1">
      <alignment/>
      <protection/>
    </xf>
    <xf numFmtId="174" fontId="0" fillId="0" borderId="21" xfId="0" applyNumberFormat="1" applyBorder="1" applyAlignment="1" applyProtection="1">
      <alignment/>
      <protection/>
    </xf>
    <xf numFmtId="0" fontId="2" fillId="0" borderId="0" xfId="0" applyFont="1" applyFill="1" applyBorder="1" applyAlignment="1" applyProtection="1">
      <alignment horizontal="center" vertical="center"/>
      <protection/>
    </xf>
    <xf numFmtId="174" fontId="0" fillId="0" borderId="15" xfId="0" applyNumberFormat="1" applyBorder="1" applyAlignment="1" applyProtection="1">
      <alignment/>
      <protection/>
    </xf>
    <xf numFmtId="174" fontId="0" fillId="0" borderId="12" xfId="0" applyNumberFormat="1" applyBorder="1" applyAlignment="1" applyProtection="1">
      <alignment/>
      <protection/>
    </xf>
    <xf numFmtId="174" fontId="0" fillId="0" borderId="15" xfId="44" applyNumberFormat="1" applyFont="1" applyBorder="1" applyAlignment="1" applyProtection="1">
      <alignment/>
      <protection/>
    </xf>
    <xf numFmtId="0" fontId="2" fillId="0" borderId="0" xfId="0" applyFont="1" applyBorder="1" applyAlignment="1" applyProtection="1">
      <alignment/>
      <protection/>
    </xf>
    <xf numFmtId="174" fontId="0" fillId="0" borderId="12" xfId="44" applyNumberFormat="1" applyFont="1" applyBorder="1" applyAlignment="1" applyProtection="1">
      <alignment/>
      <protection/>
    </xf>
    <xf numFmtId="174" fontId="0" fillId="0" borderId="20" xfId="44" applyNumberFormat="1" applyFont="1" applyBorder="1" applyAlignment="1" applyProtection="1">
      <alignment/>
      <protection/>
    </xf>
    <xf numFmtId="174" fontId="0" fillId="0" borderId="17" xfId="44" applyNumberFormat="1" applyFont="1" applyBorder="1" applyAlignment="1" applyProtection="1">
      <alignment/>
      <protection/>
    </xf>
    <xf numFmtId="0" fontId="0" fillId="0" borderId="0" xfId="0" applyFont="1" applyAlignment="1" applyProtection="1">
      <alignment wrapText="1"/>
      <protection/>
    </xf>
    <xf numFmtId="10" fontId="0" fillId="0" borderId="15" xfId="59" applyNumberFormat="1" applyFont="1" applyBorder="1" applyAlignment="1" applyProtection="1">
      <alignment/>
      <protection/>
    </xf>
    <xf numFmtId="10" fontId="0" fillId="0" borderId="12" xfId="59" applyNumberFormat="1" applyFont="1" applyBorder="1" applyAlignment="1" applyProtection="1">
      <alignment/>
      <protection/>
    </xf>
    <xf numFmtId="0" fontId="0" fillId="0" borderId="0" xfId="0" applyFont="1" applyFill="1" applyAlignment="1" applyProtection="1">
      <alignment/>
      <protection/>
    </xf>
    <xf numFmtId="174" fontId="0" fillId="0" borderId="15" xfId="44" applyNumberFormat="1" applyFont="1" applyFill="1" applyBorder="1" applyAlignment="1" applyProtection="1">
      <alignment/>
      <protection/>
    </xf>
    <xf numFmtId="0" fontId="2" fillId="0" borderId="0" xfId="0" applyFont="1" applyFill="1" applyBorder="1" applyAlignment="1" applyProtection="1">
      <alignment/>
      <protection/>
    </xf>
    <xf numFmtId="174" fontId="0" fillId="0" borderId="12" xfId="0" applyNumberFormat="1" applyFont="1" applyFill="1" applyBorder="1" applyAlignment="1" applyProtection="1">
      <alignment/>
      <protection/>
    </xf>
    <xf numFmtId="173" fontId="0" fillId="0" borderId="15" xfId="44" applyNumberFormat="1" applyFont="1" applyFill="1" applyBorder="1" applyAlignment="1" applyProtection="1">
      <alignment/>
      <protection/>
    </xf>
    <xf numFmtId="173" fontId="0" fillId="0" borderId="12" xfId="0" applyNumberFormat="1" applyFont="1" applyFill="1" applyBorder="1" applyAlignment="1" applyProtection="1">
      <alignment/>
      <protection/>
    </xf>
    <xf numFmtId="10" fontId="0" fillId="0" borderId="20" xfId="59" applyNumberFormat="1" applyFont="1" applyBorder="1" applyAlignment="1" applyProtection="1">
      <alignment/>
      <protection/>
    </xf>
    <xf numFmtId="10" fontId="0" fillId="0" borderId="17" xfId="59" applyNumberFormat="1" applyFont="1" applyBorder="1" applyAlignment="1" applyProtection="1">
      <alignment/>
      <protection/>
    </xf>
    <xf numFmtId="10" fontId="0" fillId="0" borderId="20" xfId="0" applyNumberFormat="1" applyBorder="1" applyAlignment="1" applyProtection="1">
      <alignment/>
      <protection/>
    </xf>
    <xf numFmtId="10" fontId="0" fillId="0" borderId="15" xfId="0" applyNumberFormat="1" applyBorder="1" applyAlignment="1" applyProtection="1">
      <alignment/>
      <protection/>
    </xf>
    <xf numFmtId="10" fontId="0" fillId="0" borderId="17" xfId="0" applyNumberFormat="1" applyBorder="1" applyAlignment="1" applyProtection="1">
      <alignment/>
      <protection/>
    </xf>
    <xf numFmtId="10" fontId="0" fillId="0" borderId="12" xfId="0" applyNumberFormat="1" applyBorder="1" applyAlignment="1" applyProtection="1">
      <alignment/>
      <protection/>
    </xf>
    <xf numFmtId="6" fontId="2" fillId="0" borderId="11" xfId="0" applyNumberFormat="1" applyFont="1" applyBorder="1" applyAlignment="1" applyProtection="1" quotePrefix="1">
      <alignment/>
      <protection/>
    </xf>
    <xf numFmtId="6" fontId="0" fillId="0" borderId="17" xfId="0" applyNumberFormat="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horizontal="righ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23" xfId="59" applyNumberFormat="1" applyFont="1" applyBorder="1" applyAlignment="1" applyProtection="1">
      <alignment/>
      <protection/>
    </xf>
    <xf numFmtId="172" fontId="0" fillId="0" borderId="23" xfId="59" applyNumberFormat="1" applyFont="1" applyBorder="1" applyAlignment="1" applyProtection="1">
      <alignment/>
      <protection/>
    </xf>
    <xf numFmtId="174" fontId="0" fillId="0" borderId="23"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9" xfId="0" applyNumberFormat="1" applyBorder="1" applyAlignment="1" applyProtection="1">
      <alignment/>
      <protection/>
    </xf>
    <xf numFmtId="174" fontId="0" fillId="0" borderId="19" xfId="44" applyNumberFormat="1" applyFont="1" applyBorder="1" applyAlignment="1" applyProtection="1">
      <alignment/>
      <protection/>
    </xf>
    <xf numFmtId="10" fontId="0" fillId="0" borderId="19" xfId="59" applyNumberFormat="1" applyFont="1" applyBorder="1" applyAlignment="1" applyProtection="1">
      <alignment/>
      <protection/>
    </xf>
    <xf numFmtId="172" fontId="0" fillId="0" borderId="11" xfId="59" applyNumberFormat="1" applyFont="1" applyFill="1" applyBorder="1" applyAlignment="1" applyProtection="1">
      <alignment/>
      <protection/>
    </xf>
    <xf numFmtId="0" fontId="5" fillId="24"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174" fontId="0" fillId="0" borderId="19" xfId="0" applyNumberForma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6" fontId="6" fillId="0" borderId="0" xfId="0" applyNumberFormat="1" applyFont="1" applyBorder="1" applyAlignment="1" applyProtection="1">
      <alignment/>
      <protection/>
    </xf>
    <xf numFmtId="174" fontId="0" fillId="0" borderId="0" xfId="0" applyNumberFormat="1" applyFont="1" applyFill="1" applyAlignment="1" applyProtection="1">
      <alignment/>
      <protection/>
    </xf>
    <xf numFmtId="6" fontId="0" fillId="0" borderId="0" xfId="0" applyNumberForma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23" xfId="0" applyNumberFormat="1" applyBorder="1" applyAlignment="1" applyProtection="1">
      <alignment/>
      <protection/>
    </xf>
    <xf numFmtId="9" fontId="0" fillId="0" borderId="0" xfId="0" applyNumberFormat="1" applyBorder="1" applyAlignment="1" applyProtection="1">
      <alignment/>
      <protection/>
    </xf>
    <xf numFmtId="10" fontId="0" fillId="0" borderId="23"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6" fontId="0" fillId="0" borderId="0" xfId="44" applyNumberFormat="1" applyFont="1" applyAlignment="1" applyProtection="1">
      <alignment/>
      <protection/>
    </xf>
    <xf numFmtId="174" fontId="0" fillId="0" borderId="0" xfId="44" applyNumberFormat="1" applyFont="1" applyFill="1" applyAlignment="1" applyProtection="1">
      <alignment/>
      <protection/>
    </xf>
    <xf numFmtId="0" fontId="16" fillId="0" borderId="0" xfId="0" applyFont="1" applyAlignment="1" applyProtection="1">
      <alignment/>
      <protection/>
    </xf>
    <xf numFmtId="0" fontId="0" fillId="4" borderId="0" xfId="0" applyFill="1" applyAlignment="1" applyProtection="1">
      <alignment horizontal="left"/>
      <protection locked="0"/>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5"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5" xfId="0" applyBorder="1" applyAlignment="1" applyProtection="1">
      <alignment/>
      <protection/>
    </xf>
    <xf numFmtId="0" fontId="0" fillId="0" borderId="12" xfId="0" applyBorder="1" applyAlignment="1" applyProtection="1">
      <alignment/>
      <protection/>
    </xf>
    <xf numFmtId="174" fontId="0" fillId="0" borderId="17"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9" xfId="0" applyBorder="1" applyAlignment="1" applyProtection="1">
      <alignment/>
      <protection/>
    </xf>
    <xf numFmtId="0" fontId="0" fillId="0" borderId="24"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174" fontId="0" fillId="4" borderId="0" xfId="44" applyNumberFormat="1" applyFont="1" applyFill="1" applyAlignment="1" applyProtection="1">
      <alignment/>
      <protection locked="0"/>
    </xf>
    <xf numFmtId="10" fontId="0" fillId="4" borderId="0" xfId="59" applyNumberFormat="1" applyFont="1" applyFill="1" applyAlignment="1" applyProtection="1">
      <alignment/>
      <protection locked="0"/>
    </xf>
    <xf numFmtId="172" fontId="0" fillId="4" borderId="0" xfId="0" applyNumberFormat="1" applyFill="1" applyAlignment="1" applyProtection="1">
      <alignment/>
      <protection locked="0"/>
    </xf>
    <xf numFmtId="10" fontId="0" fillId="4" borderId="0" xfId="0" applyNumberFormat="1" applyFill="1" applyAlignment="1" applyProtection="1">
      <alignment/>
      <protection locked="0"/>
    </xf>
    <xf numFmtId="0" fontId="0" fillId="0" borderId="0" xfId="0" applyAlignment="1" applyProtection="1">
      <alignment/>
      <protection locked="0"/>
    </xf>
    <xf numFmtId="0" fontId="0" fillId="0" borderId="0" xfId="0" applyFill="1" applyAlignment="1" applyProtection="1" quotePrefix="1">
      <alignment/>
      <protection locked="0"/>
    </xf>
    <xf numFmtId="0" fontId="2" fillId="4" borderId="0" xfId="0" applyFont="1" applyFill="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10" fontId="2" fillId="0" borderId="0" xfId="0" applyNumberFormat="1" applyFont="1" applyBorder="1" applyAlignment="1" applyProtection="1">
      <alignment/>
      <protection locked="0"/>
    </xf>
    <xf numFmtId="0" fontId="2" fillId="0" borderId="0" xfId="0" applyFont="1" applyFill="1" applyBorder="1" applyAlignment="1" applyProtection="1">
      <alignment/>
      <protection locked="0"/>
    </xf>
    <xf numFmtId="6" fontId="2" fillId="0" borderId="0" xfId="0" applyNumberFormat="1" applyFont="1" applyBorder="1" applyAlignment="1" applyProtection="1">
      <alignment/>
      <protection locked="0"/>
    </xf>
    <xf numFmtId="0" fontId="0" fillId="0" borderId="0" xfId="0" applyAlignment="1" applyProtection="1">
      <alignment/>
      <protection locked="0"/>
    </xf>
    <xf numFmtId="10" fontId="0" fillId="0" borderId="0" xfId="0" applyNumberFormat="1" applyAlignment="1" applyProtection="1">
      <alignment/>
      <protection locked="0"/>
    </xf>
    <xf numFmtId="6" fontId="0" fillId="0" borderId="0" xfId="0" applyNumberFormat="1" applyAlignment="1" applyProtection="1">
      <alignment/>
      <protection locked="0"/>
    </xf>
    <xf numFmtId="6" fontId="0" fillId="0" borderId="0" xfId="0" applyNumberFormat="1" applyFont="1" applyBorder="1" applyAlignment="1" applyProtection="1">
      <alignment/>
      <protection locked="0"/>
    </xf>
    <xf numFmtId="6" fontId="0" fillId="0" borderId="0" xfId="0" applyNumberFormat="1" applyFont="1" applyFill="1" applyBorder="1" applyAlignment="1" applyProtection="1">
      <alignment horizontal="right"/>
      <protection locked="0"/>
    </xf>
    <xf numFmtId="0" fontId="2" fillId="0" borderId="0" xfId="0" applyFont="1" applyAlignment="1" applyProtection="1">
      <alignment/>
      <protection locked="0"/>
    </xf>
    <xf numFmtId="0" fontId="10" fillId="24" borderId="0" xfId="0" applyFont="1" applyFill="1" applyAlignment="1" applyProtection="1">
      <alignment horizontal="left" vertical="top" wrapText="1" indent="7"/>
      <protection/>
    </xf>
    <xf numFmtId="0" fontId="20" fillId="24" borderId="0" xfId="0" applyFont="1" applyFill="1" applyBorder="1" applyAlignment="1" applyProtection="1">
      <alignment/>
      <protection/>
    </xf>
    <xf numFmtId="175" fontId="20" fillId="24" borderId="0" xfId="0" applyNumberFormat="1" applyFont="1" applyFill="1" applyBorder="1" applyAlignment="1" applyProtection="1">
      <alignment horizontal="left" indent="1"/>
      <protection/>
    </xf>
    <xf numFmtId="174" fontId="0" fillId="0" borderId="19" xfId="44" applyNumberFormat="1" applyFont="1" applyBorder="1" applyAlignment="1" applyProtection="1">
      <alignment horizontal="right"/>
      <protection/>
    </xf>
    <xf numFmtId="174" fontId="0" fillId="0" borderId="0" xfId="44" applyNumberFormat="1" applyFont="1" applyFill="1" applyAlignment="1" applyProtection="1">
      <alignment/>
      <protection locked="0"/>
    </xf>
    <xf numFmtId="10" fontId="0" fillId="0" borderId="0" xfId="59" applyNumberFormat="1" applyFont="1" applyFill="1" applyAlignment="1" applyProtection="1">
      <alignment/>
      <protection locked="0"/>
    </xf>
    <xf numFmtId="6" fontId="0" fillId="0" borderId="0" xfId="0" applyNumberFormat="1" applyFill="1" applyAlignment="1" applyProtection="1">
      <alignment/>
      <protection/>
    </xf>
    <xf numFmtId="172" fontId="0" fillId="0" borderId="0" xfId="0" applyNumberFormat="1" applyFill="1" applyAlignment="1" applyProtection="1">
      <alignment/>
      <protection locked="0"/>
    </xf>
    <xf numFmtId="10" fontId="0" fillId="0" borderId="0" xfId="0" applyNumberFormat="1" applyFill="1" applyAlignment="1" applyProtection="1">
      <alignment/>
      <protection locked="0"/>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6" fontId="2" fillId="24" borderId="0" xfId="0" applyNumberFormat="1" applyFont="1" applyFill="1" applyBorder="1" applyAlignment="1" applyProtection="1" quotePrefix="1">
      <alignment horizontal="right"/>
      <protection locked="0"/>
    </xf>
    <xf numFmtId="0" fontId="2" fillId="24" borderId="0" xfId="0" applyFont="1" applyFill="1" applyAlignment="1" applyProtection="1" quotePrefix="1">
      <alignment/>
      <protection locked="0"/>
    </xf>
    <xf numFmtId="6" fontId="0" fillId="24" borderId="0" xfId="0" applyNumberFormat="1" applyFont="1" applyFill="1" applyBorder="1" applyAlignment="1" applyProtection="1">
      <alignment horizontal="center" vertical="center"/>
      <protection locked="0"/>
    </xf>
    <xf numFmtId="6" fontId="0" fillId="24" borderId="0" xfId="0" applyNumberFormat="1" applyFont="1" applyFill="1" applyAlignment="1" applyProtection="1">
      <alignment/>
      <protection locked="0"/>
    </xf>
    <xf numFmtId="6" fontId="0" fillId="24" borderId="0" xfId="0" applyNumberFormat="1" applyFont="1" applyFill="1" applyBorder="1" applyAlignment="1" applyProtection="1">
      <alignment horizontal="right"/>
      <protection locked="0"/>
    </xf>
    <xf numFmtId="6" fontId="0" fillId="24" borderId="0" xfId="0" applyNumberFormat="1" applyFont="1" applyFill="1" applyBorder="1" applyAlignment="1" applyProtection="1">
      <alignment/>
      <protection locked="0"/>
    </xf>
    <xf numFmtId="6" fontId="0" fillId="24" borderId="0" xfId="0" applyNumberFormat="1" applyFont="1" applyFill="1" applyBorder="1" applyAlignment="1" applyProtection="1">
      <alignment/>
      <protection locked="0"/>
    </xf>
    <xf numFmtId="0" fontId="2" fillId="24" borderId="0" xfId="0" applyFont="1" applyFill="1" applyAlignment="1" applyProtection="1">
      <alignment/>
      <protection locked="0"/>
    </xf>
    <xf numFmtId="0" fontId="2" fillId="24" borderId="0" xfId="0" applyFont="1" applyFill="1" applyAlignment="1" applyProtection="1">
      <alignment/>
      <protection locked="0"/>
    </xf>
    <xf numFmtId="177" fontId="0" fillId="4" borderId="0" xfId="0" applyNumberFormat="1" applyFill="1" applyAlignment="1" applyProtection="1">
      <alignment/>
      <protection locked="0"/>
    </xf>
    <xf numFmtId="0" fontId="0" fillId="0" borderId="0" xfId="0" applyFill="1" applyAlignment="1" applyProtection="1">
      <alignment/>
      <protection locked="0"/>
    </xf>
    <xf numFmtId="177" fontId="2" fillId="4" borderId="0" xfId="0" applyNumberFormat="1" applyFont="1" applyFill="1" applyAlignment="1" applyProtection="1">
      <alignment/>
      <protection locked="0"/>
    </xf>
    <xf numFmtId="0" fontId="2" fillId="24" borderId="0" xfId="0" applyFont="1" applyFill="1" applyBorder="1" applyAlignment="1" applyProtection="1" quotePrefix="1">
      <alignment vertical="top"/>
      <protection/>
    </xf>
    <xf numFmtId="0" fontId="24" fillId="24" borderId="0" xfId="0" applyFont="1" applyFill="1" applyAlignment="1" applyProtection="1">
      <alignment/>
      <protection/>
    </xf>
    <xf numFmtId="174" fontId="0" fillId="0" borderId="19" xfId="44" applyNumberFormat="1" applyFont="1" applyFill="1" applyBorder="1" applyAlignment="1" applyProtection="1">
      <alignment horizontal="right"/>
      <protection/>
    </xf>
    <xf numFmtId="174" fontId="0" fillId="0" borderId="18"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14" xfId="0" applyNumberFormat="1" applyBorder="1" applyAlignment="1" applyProtection="1">
      <alignment horizontal="right"/>
      <protection/>
    </xf>
    <xf numFmtId="174" fontId="0" fillId="0" borderId="24"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1" xfId="44" applyNumberFormat="1" applyFont="1" applyBorder="1" applyAlignment="1" applyProtection="1">
      <alignment/>
      <protection/>
    </xf>
    <xf numFmtId="0" fontId="2" fillId="25" borderId="25" xfId="0" applyFont="1" applyFill="1" applyBorder="1" applyAlignment="1" applyProtection="1">
      <alignment horizontal="left"/>
      <protection/>
    </xf>
    <xf numFmtId="0" fontId="2" fillId="25" borderId="26" xfId="0" applyFont="1" applyFill="1" applyBorder="1" applyAlignment="1" applyProtection="1">
      <alignment horizontal="left"/>
      <protection/>
    </xf>
    <xf numFmtId="0" fontId="0" fillId="4" borderId="0" xfId="0" applyFill="1" applyAlignment="1" applyProtection="1">
      <alignment wrapText="1"/>
      <protection locked="0"/>
    </xf>
    <xf numFmtId="0" fontId="0" fillId="0" borderId="0" xfId="0" applyFill="1" applyAlignment="1" applyProtection="1">
      <alignment wrapText="1"/>
      <protection/>
    </xf>
    <xf numFmtId="174" fontId="0" fillId="0" borderId="0" xfId="44" applyNumberFormat="1" applyFont="1" applyBorder="1" applyAlignment="1" applyProtection="1">
      <alignment horizontal="right"/>
      <protection/>
    </xf>
    <xf numFmtId="0" fontId="0" fillId="4" borderId="0" xfId="0" applyFill="1" applyBorder="1" applyAlignment="1" applyProtection="1">
      <alignment/>
      <protection locked="0"/>
    </xf>
    <xf numFmtId="174" fontId="0" fillId="0" borderId="18" xfId="44" applyNumberFormat="1" applyFont="1" applyBorder="1" applyAlignment="1" applyProtection="1">
      <alignment/>
      <protection/>
    </xf>
    <xf numFmtId="174" fontId="0" fillId="0" borderId="19" xfId="44" applyNumberFormat="1" applyFont="1" applyBorder="1" applyAlignment="1" applyProtection="1">
      <alignment/>
      <protection/>
    </xf>
    <xf numFmtId="174" fontId="0" fillId="0" borderId="18" xfId="44" applyNumberFormat="1" applyFont="1" applyFill="1" applyBorder="1" applyAlignment="1" applyProtection="1">
      <alignment horizontal="right"/>
      <protection/>
    </xf>
    <xf numFmtId="0" fontId="5" fillId="20" borderId="0" xfId="0" applyFont="1" applyFill="1" applyAlignment="1" applyProtection="1">
      <alignment horizontal="center"/>
      <protection/>
    </xf>
    <xf numFmtId="174" fontId="0" fillId="0" borderId="18" xfId="44" applyNumberFormat="1" applyFont="1" applyBorder="1" applyAlignment="1" applyProtection="1">
      <alignment horizontal="right"/>
      <protection/>
    </xf>
    <xf numFmtId="174" fontId="0" fillId="0" borderId="19" xfId="44"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19" xfId="0" applyFont="1" applyBorder="1" applyAlignment="1" applyProtection="1">
      <alignment horizontal="left"/>
      <protection/>
    </xf>
    <xf numFmtId="0" fontId="9" fillId="25" borderId="27" xfId="0" applyFont="1" applyFill="1" applyBorder="1" applyAlignment="1" applyProtection="1">
      <alignment horizontal="left"/>
      <protection/>
    </xf>
    <xf numFmtId="0" fontId="23" fillId="24" borderId="0" xfId="0" applyNumberFormat="1" applyFont="1" applyFill="1" applyAlignment="1" applyProtection="1">
      <alignment horizontal="left" vertical="top" wrapText="1"/>
      <protection/>
    </xf>
    <xf numFmtId="0" fontId="10" fillId="24" borderId="0" xfId="0" applyFont="1" applyFill="1" applyAlignment="1" applyProtection="1">
      <alignment horizontal="left" vertical="top" wrapText="1"/>
      <protection/>
    </xf>
    <xf numFmtId="0" fontId="19" fillId="24" borderId="0" xfId="0" applyFont="1" applyFill="1" applyBorder="1" applyAlignment="1" applyProtection="1">
      <alignment horizontal="left" vertical="center" wrapText="1"/>
      <protection/>
    </xf>
    <xf numFmtId="0" fontId="11" fillId="4" borderId="28" xfId="0" applyFont="1" applyFill="1" applyBorder="1" applyAlignment="1" applyProtection="1">
      <alignment horizontal="left" indent="1"/>
      <protection locked="0"/>
    </xf>
    <xf numFmtId="0" fontId="11" fillId="4" borderId="29" xfId="0" applyFont="1" applyFill="1" applyBorder="1" applyAlignment="1" applyProtection="1">
      <alignment horizontal="left" indent="1"/>
      <protection locked="0"/>
    </xf>
    <xf numFmtId="0" fontId="11" fillId="4" borderId="30" xfId="0" applyFont="1" applyFill="1" applyBorder="1" applyAlignment="1" applyProtection="1">
      <alignment horizontal="left" indent="1"/>
      <protection locked="0"/>
    </xf>
    <xf numFmtId="0" fontId="11" fillId="4" borderId="31" xfId="0" applyFont="1" applyFill="1" applyBorder="1" applyAlignment="1" applyProtection="1">
      <alignment horizontal="left" indent="1"/>
      <protection locked="0"/>
    </xf>
    <xf numFmtId="0" fontId="11" fillId="4" borderId="32" xfId="0" applyFont="1" applyFill="1" applyBorder="1" applyAlignment="1" applyProtection="1">
      <alignment horizontal="left" indent="1"/>
      <protection locked="0"/>
    </xf>
    <xf numFmtId="0" fontId="12" fillId="24" borderId="0" xfId="0" applyFont="1" applyFill="1" applyBorder="1" applyAlignment="1" applyProtection="1">
      <alignment horizontal="center"/>
      <protection/>
    </xf>
    <xf numFmtId="0" fontId="11" fillId="24" borderId="0" xfId="0" applyFont="1" applyFill="1" applyBorder="1" applyAlignment="1" applyProtection="1">
      <alignment horizontal="left" indent="7"/>
      <protection/>
    </xf>
    <xf numFmtId="0" fontId="10" fillId="24" borderId="0" xfId="0" applyFont="1" applyFill="1" applyAlignment="1" applyProtection="1">
      <alignment horizontal="left" vertical="top" wrapText="1" indent="7"/>
      <protection/>
    </xf>
    <xf numFmtId="0" fontId="5" fillId="20" borderId="27" xfId="0" applyFont="1" applyFill="1" applyBorder="1" applyAlignment="1" applyProtection="1">
      <alignment horizontal="center" vertical="center"/>
      <protection/>
    </xf>
    <xf numFmtId="0" fontId="5" fillId="20" borderId="25" xfId="0" applyFont="1" applyFill="1" applyBorder="1" applyAlignment="1" applyProtection="1">
      <alignment horizontal="center" vertical="center"/>
      <protection/>
    </xf>
    <xf numFmtId="0" fontId="5" fillId="20" borderId="2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1" fillId="24" borderId="0" xfId="0" applyFont="1" applyFill="1" applyAlignment="1" applyProtection="1" quotePrefix="1">
      <alignment wrapText="1"/>
      <protection/>
    </xf>
    <xf numFmtId="0" fontId="22" fillId="24"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4" borderId="0" xfId="0" applyFill="1" applyAlignment="1" applyProtection="1">
      <alignment horizontal="left"/>
      <protection locked="0"/>
    </xf>
    <xf numFmtId="0" fontId="0" fillId="4" borderId="0" xfId="0" applyFill="1" applyAlignment="1" applyProtection="1" quotePrefix="1">
      <alignment horizontal="left"/>
      <protection locked="0"/>
    </xf>
    <xf numFmtId="0" fontId="0" fillId="26" borderId="0" xfId="0" applyFill="1" applyAlignment="1" applyProtection="1">
      <alignment horizontal="left" wrapText="1"/>
      <protection/>
    </xf>
    <xf numFmtId="0" fontId="0" fillId="0" borderId="0" xfId="0" applyAlignment="1" applyProtection="1">
      <alignment wrapText="1"/>
      <protection/>
    </xf>
    <xf numFmtId="0" fontId="2" fillId="25" borderId="0" xfId="0" applyFont="1" applyFill="1" applyBorder="1" applyAlignment="1" applyProtection="1">
      <alignment horizontal="center" vertical="center"/>
      <protection/>
    </xf>
    <xf numFmtId="0" fontId="2" fillId="25" borderId="11" xfId="0" applyFont="1" applyFill="1" applyBorder="1" applyAlignment="1" applyProtection="1">
      <alignment horizontal="center" vertical="center"/>
      <protection/>
    </xf>
    <xf numFmtId="0" fontId="2" fillId="25" borderId="0"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7" fillId="0" borderId="0" xfId="0" applyFont="1" applyBorder="1" applyAlignment="1" applyProtection="1">
      <alignment horizontal="left" wrapText="1"/>
      <protection/>
    </xf>
    <xf numFmtId="174" fontId="0" fillId="0" borderId="33"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49" fontId="7" fillId="0" borderId="0" xfId="0" applyNumberFormat="1" applyFont="1" applyBorder="1" applyAlignment="1" applyProtection="1">
      <alignment horizontal="left"/>
      <protection/>
    </xf>
    <xf numFmtId="0" fontId="10" fillId="24" borderId="0" xfId="0" applyFont="1" applyFill="1" applyAlignment="1" applyProtection="1">
      <alignment horizontal="left" vertical="top" wrapText="1" indent="8"/>
      <protection/>
    </xf>
    <xf numFmtId="0" fontId="11" fillId="24" borderId="0" xfId="0" applyFont="1" applyFill="1" applyBorder="1" applyAlignment="1" applyProtection="1">
      <alignment horizontal="left" indent="8"/>
      <protection/>
    </xf>
    <xf numFmtId="0" fontId="0" fillId="4" borderId="0" xfId="0" applyFill="1" applyAlignment="1" applyProtection="1">
      <alignment/>
      <protection locked="0"/>
    </xf>
    <xf numFmtId="0" fontId="5" fillId="20"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25" borderId="27" xfId="0" applyNumberFormat="1" applyFont="1" applyFill="1" applyBorder="1" applyAlignment="1" applyProtection="1">
      <alignment horizontal="center"/>
      <protection/>
    </xf>
    <xf numFmtId="0" fontId="2" fillId="25" borderId="25" xfId="0" applyNumberFormat="1" applyFont="1" applyFill="1" applyBorder="1" applyAlignment="1" applyProtection="1">
      <alignment horizontal="center"/>
      <protection/>
    </xf>
    <xf numFmtId="0" fontId="2" fillId="25" borderId="26" xfId="0" applyNumberFormat="1" applyFont="1" applyFill="1" applyBorder="1" applyAlignment="1" applyProtection="1">
      <alignment horizontal="center"/>
      <protection/>
    </xf>
    <xf numFmtId="49" fontId="2" fillId="25" borderId="27" xfId="0" applyNumberFormat="1" applyFont="1" applyFill="1" applyBorder="1" applyAlignment="1" applyProtection="1">
      <alignment horizontal="center"/>
      <protection/>
    </xf>
    <xf numFmtId="49" fontId="2" fillId="25" borderId="25" xfId="0" applyNumberFormat="1" applyFont="1" applyFill="1" applyBorder="1" applyAlignment="1" applyProtection="1">
      <alignment horizontal="center"/>
      <protection/>
    </xf>
    <xf numFmtId="49" fontId="2" fillId="25" borderId="26" xfId="0" applyNumberFormat="1" applyFont="1" applyFill="1" applyBorder="1" applyAlignment="1" applyProtection="1">
      <alignment horizontal="center"/>
      <protection/>
    </xf>
    <xf numFmtId="0" fontId="10" fillId="24" borderId="0" xfId="0" applyFont="1" applyFill="1" applyAlignment="1" applyProtection="1">
      <alignment horizontal="left" vertical="top" wrapText="1" indent="6"/>
      <protection/>
    </xf>
    <xf numFmtId="0" fontId="11" fillId="24" borderId="0" xfId="0" applyFont="1" applyFill="1" applyBorder="1" applyAlignment="1" applyProtection="1">
      <alignment horizontal="left" indent="6"/>
      <protection/>
    </xf>
    <xf numFmtId="0" fontId="2" fillId="0" borderId="0" xfId="0" applyFont="1" applyAlignment="1" applyProtection="1">
      <alignment horizontal="left"/>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wrapText="1"/>
      <protection/>
    </xf>
    <xf numFmtId="0" fontId="2" fillId="0" borderId="11" xfId="0" applyFont="1" applyBorder="1" applyAlignment="1" applyProtection="1">
      <alignment horizontal="right" wrapText="1"/>
      <protection/>
    </xf>
    <xf numFmtId="0" fontId="5" fillId="0" borderId="0" xfId="0" applyFont="1" applyFill="1" applyBorder="1" applyAlignment="1" applyProtection="1">
      <alignment horizontal="center"/>
      <protection/>
    </xf>
    <xf numFmtId="0" fontId="2" fillId="25" borderId="14" xfId="0" applyFont="1" applyFill="1" applyBorder="1" applyAlignment="1" applyProtection="1">
      <alignment horizontal="center" vertical="center" wrapText="1"/>
      <protection/>
    </xf>
    <xf numFmtId="0" fontId="2" fillId="25" borderId="17" xfId="0" applyFont="1" applyFill="1" applyBorder="1" applyAlignment="1" applyProtection="1">
      <alignment horizontal="center" vertical="center" wrapText="1"/>
      <protection/>
    </xf>
    <xf numFmtId="0" fontId="2" fillId="25" borderId="13" xfId="0" applyFont="1" applyFill="1" applyBorder="1" applyAlignment="1" applyProtection="1">
      <alignment horizontal="center" vertical="center" wrapText="1"/>
      <protection/>
    </xf>
    <xf numFmtId="0" fontId="2" fillId="25" borderId="20" xfId="0" applyFont="1" applyFill="1" applyBorder="1" applyAlignment="1" applyProtection="1">
      <alignment horizontal="center" vertical="center" wrapText="1"/>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174" fontId="0" fillId="0" borderId="11" xfId="0" applyNumberFormat="1" applyBorder="1" applyAlignment="1" applyProtection="1">
      <alignment horizontal="right"/>
      <protection/>
    </xf>
    <xf numFmtId="174" fontId="0" fillId="0" borderId="18" xfId="0" applyNumberFormat="1" applyFill="1" applyBorder="1" applyAlignment="1" applyProtection="1">
      <alignment horizontal="right"/>
      <protection/>
    </xf>
    <xf numFmtId="174" fontId="0" fillId="0" borderId="19" xfId="0" applyNumberFormat="1" applyFill="1" applyBorder="1" applyAlignment="1" applyProtection="1">
      <alignment horizontal="right"/>
      <protection/>
    </xf>
    <xf numFmtId="174" fontId="0" fillId="0" borderId="11" xfId="0" applyNumberFormat="1" applyBorder="1" applyAlignment="1" applyProtection="1">
      <alignment/>
      <protection/>
    </xf>
    <xf numFmtId="0" fontId="2" fillId="0" borderId="18" xfId="0" applyFont="1" applyBorder="1" applyAlignment="1" applyProtection="1">
      <alignment horizontal="center" vertical="center"/>
      <protection/>
    </xf>
    <xf numFmtId="174" fontId="0" fillId="0" borderId="33" xfId="0" applyNumberFormat="1" applyBorder="1" applyAlignment="1" applyProtection="1">
      <alignment horizontal="center"/>
      <protection/>
    </xf>
    <xf numFmtId="174" fontId="0" fillId="0" borderId="0" xfId="44" applyNumberFormat="1" applyFont="1" applyFill="1" applyBorder="1" applyAlignment="1" applyProtection="1">
      <alignment horizontal="righ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0" fontId="5" fillId="20" borderId="13" xfId="0" applyFont="1" applyFill="1" applyBorder="1" applyAlignment="1" applyProtection="1">
      <alignment horizontal="center" vertical="center" wrapText="1"/>
      <protection/>
    </xf>
    <xf numFmtId="0" fontId="5" fillId="20" borderId="18" xfId="0" applyFont="1" applyFill="1" applyBorder="1" applyAlignment="1" applyProtection="1">
      <alignment horizontal="center" vertical="center" wrapText="1"/>
      <protection/>
    </xf>
    <xf numFmtId="0" fontId="5" fillId="20" borderId="14" xfId="0" applyFont="1" applyFill="1" applyBorder="1" applyAlignment="1" applyProtection="1">
      <alignment horizontal="center" vertical="center" wrapText="1"/>
      <protection/>
    </xf>
    <xf numFmtId="0" fontId="5" fillId="20" borderId="15" xfId="0" applyFont="1" applyFill="1" applyBorder="1" applyAlignment="1" applyProtection="1">
      <alignment horizontal="center" vertical="center" wrapText="1"/>
      <protection/>
    </xf>
    <xf numFmtId="0" fontId="5" fillId="20" borderId="0" xfId="0" applyFont="1" applyFill="1" applyBorder="1" applyAlignment="1" applyProtection="1">
      <alignment horizontal="center" vertical="center" wrapText="1"/>
      <protection/>
    </xf>
    <xf numFmtId="0" fontId="5" fillId="20" borderId="12" xfId="0" applyFont="1" applyFill="1" applyBorder="1" applyAlignment="1" applyProtection="1">
      <alignment horizontal="center" vertical="center" wrapText="1"/>
      <protection/>
    </xf>
    <xf numFmtId="0" fontId="5" fillId="20" borderId="20" xfId="0" applyFont="1" applyFill="1" applyBorder="1" applyAlignment="1" applyProtection="1">
      <alignment horizontal="center" vertical="center" wrapText="1"/>
      <protection/>
    </xf>
    <xf numFmtId="0" fontId="5" fillId="20" borderId="11" xfId="0" applyFont="1" applyFill="1" applyBorder="1" applyAlignment="1" applyProtection="1">
      <alignment horizontal="center" vertical="center" wrapText="1"/>
      <protection/>
    </xf>
    <xf numFmtId="0" fontId="5" fillId="20" borderId="17" xfId="0" applyFont="1" applyFill="1" applyBorder="1" applyAlignment="1" applyProtection="1">
      <alignment horizontal="center" vertical="center" wrapText="1"/>
      <protection/>
    </xf>
    <xf numFmtId="170" fontId="0" fillId="0" borderId="34" xfId="44" applyFont="1" applyFill="1" applyBorder="1" applyAlignment="1" applyProtection="1">
      <alignment horizontal="center"/>
      <protection/>
    </xf>
    <xf numFmtId="170" fontId="0" fillId="0" borderId="35" xfId="44" applyFont="1" applyFill="1" applyBorder="1" applyAlignment="1" applyProtection="1">
      <alignment horizontal="center"/>
      <protection/>
    </xf>
    <xf numFmtId="170" fontId="0" fillId="4" borderId="34" xfId="44" applyFont="1" applyFill="1" applyBorder="1" applyAlignment="1" applyProtection="1">
      <alignment horizontal="center"/>
      <protection locked="0"/>
    </xf>
    <xf numFmtId="170" fontId="0" fillId="4" borderId="35" xfId="44" applyFont="1" applyFill="1" applyBorder="1" applyAlignment="1" applyProtection="1">
      <alignment horizontal="center"/>
      <protection locked="0"/>
    </xf>
    <xf numFmtId="0" fontId="0" fillId="0" borderId="14"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4" xfId="0" applyBorder="1" applyAlignment="1" applyProtection="1">
      <alignment horizontal="center"/>
      <protection/>
    </xf>
    <xf numFmtId="0" fontId="0" fillId="0" borderId="17" xfId="0" applyBorder="1" applyAlignment="1" applyProtection="1">
      <alignment horizontal="center"/>
      <protection/>
    </xf>
    <xf numFmtId="0" fontId="5" fillId="0" borderId="27"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17" fillId="0" borderId="26"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177" fontId="0" fillId="4" borderId="15" xfId="59" applyNumberFormat="1" applyFont="1" applyFill="1" applyBorder="1" applyAlignment="1" applyProtection="1">
      <alignment horizontal="center"/>
      <protection locked="0"/>
    </xf>
    <xf numFmtId="177" fontId="0" fillId="4" borderId="12" xfId="59" applyNumberFormat="1" applyFont="1" applyFill="1" applyBorder="1" applyAlignment="1" applyProtection="1">
      <alignment horizontal="center"/>
      <protection locked="0"/>
    </xf>
    <xf numFmtId="172" fontId="0" fillId="0" borderId="34" xfId="59" applyNumberFormat="1" applyFont="1" applyFill="1" applyBorder="1" applyAlignment="1" applyProtection="1">
      <alignment horizontal="center"/>
      <protection/>
    </xf>
    <xf numFmtId="172" fontId="0" fillId="0" borderId="35" xfId="59" applyNumberFormat="1" applyFont="1" applyFill="1" applyBorder="1" applyAlignment="1" applyProtection="1">
      <alignment horizontal="center"/>
      <protection/>
    </xf>
    <xf numFmtId="170" fontId="0" fillId="0" borderId="14" xfId="44" applyFont="1" applyFill="1" applyBorder="1" applyAlignment="1" applyProtection="1">
      <alignment horizontal="center"/>
      <protection/>
    </xf>
    <xf numFmtId="170" fontId="0" fillId="0" borderId="17" xfId="44" applyFont="1" applyFill="1" applyBorder="1" applyAlignment="1" applyProtection="1">
      <alignment horizontal="center"/>
      <protection/>
    </xf>
    <xf numFmtId="0" fontId="0" fillId="0" borderId="25" xfId="0" applyBorder="1" applyAlignment="1" applyProtection="1">
      <alignment horizontal="center" wrapText="1"/>
      <protection/>
    </xf>
    <xf numFmtId="0" fontId="0" fillId="0" borderId="26" xfId="0" applyBorder="1" applyAlignment="1" applyProtection="1">
      <alignment horizontal="center" wrapText="1"/>
      <protection/>
    </xf>
    <xf numFmtId="0" fontId="0" fillId="0" borderId="27" xfId="0" applyBorder="1" applyAlignment="1" applyProtection="1">
      <alignment horizontal="center" wrapText="1"/>
      <protection/>
    </xf>
    <xf numFmtId="0" fontId="0" fillId="0" borderId="34" xfId="0" applyBorder="1" applyAlignment="1" applyProtection="1">
      <alignment horizontal="center" wrapText="1"/>
      <protection/>
    </xf>
    <xf numFmtId="0" fontId="0" fillId="0" borderId="35" xfId="0" applyBorder="1" applyAlignment="1" applyProtection="1">
      <alignment horizontal="center" wrapText="1"/>
      <protection/>
    </xf>
    <xf numFmtId="177" fontId="0" fillId="4" borderId="20" xfId="59" applyNumberFormat="1" applyFont="1" applyFill="1" applyBorder="1" applyAlignment="1" applyProtection="1">
      <alignment horizontal="center"/>
      <protection locked="0"/>
    </xf>
    <xf numFmtId="177" fontId="0" fillId="4" borderId="17" xfId="59" applyNumberFormat="1" applyFont="1" applyFill="1" applyBorder="1" applyAlignment="1" applyProtection="1">
      <alignment horizontal="center"/>
      <protection locked="0"/>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177" fontId="0" fillId="4" borderId="15" xfId="0" applyNumberFormat="1" applyFill="1" applyBorder="1" applyAlignment="1" applyProtection="1">
      <alignment horizontal="center"/>
      <protection locked="0"/>
    </xf>
    <xf numFmtId="0" fontId="2" fillId="0" borderId="13" xfId="0" applyFont="1" applyBorder="1" applyAlignment="1" applyProtection="1">
      <alignment horizontal="center" wrapText="1"/>
      <protection/>
    </xf>
    <xf numFmtId="0" fontId="2" fillId="0" borderId="20"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0" fillId="0" borderId="11" xfId="0"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te%20Design%20Model%20-%202010_Revised_Draft%20Rate%20Or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enue Input"/>
      <sheetName val="Transformer Allowance"/>
      <sheetName val="Forecast Data For 2010"/>
      <sheetName val="2009 Existing Rates"/>
      <sheetName val="2010 Test Yr On Existing Rates"/>
      <sheetName val="Cost Allocation Study"/>
      <sheetName val="Rates By Rate Class"/>
      <sheetName val="Allocation Low Voltage Costs"/>
      <sheetName val="Low Voltage Rates"/>
      <sheetName val="Distribution Rate Schedule"/>
      <sheetName val="LRAM and SSM Rate Rider"/>
      <sheetName val="2010 Rate Rider"/>
      <sheetName val="Other Electriciy Rates"/>
      <sheetName val="BILL IMPACTS"/>
      <sheetName val="Summary of Bill Impacts"/>
      <sheetName val="Rate Schedule (Part 1)"/>
      <sheetName val="Rate Schedule (Part 2)"/>
      <sheetName val="Dist. Rev. Reconciliation"/>
      <sheetName val="Revenue Deficiency Analysis"/>
      <sheetName val="Exhibit for Application"/>
      <sheetName val="Average Bill  Impa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2"/>
  <sheetViews>
    <sheetView showGridLines="0" zoomScalePageLayoutView="0" workbookViewId="0" topLeftCell="A6">
      <selection activeCell="D29" sqref="D29"/>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281" t="s">
        <v>180</v>
      </c>
      <c r="D1" s="281"/>
      <c r="E1" s="281"/>
      <c r="F1" s="1"/>
      <c r="G1" s="1"/>
      <c r="H1" s="1"/>
      <c r="I1" s="1"/>
    </row>
    <row r="2" spans="3:8" s="2" customFormat="1" ht="18">
      <c r="C2" s="3" t="s">
        <v>181</v>
      </c>
      <c r="D2" s="283" t="s">
        <v>200</v>
      </c>
      <c r="E2" s="284"/>
      <c r="F2" s="284"/>
      <c r="G2" s="285"/>
      <c r="H2" s="256" t="s">
        <v>2</v>
      </c>
    </row>
    <row r="3" spans="3:8" s="2" customFormat="1" ht="7.5" customHeight="1" thickBot="1">
      <c r="C3" s="3"/>
      <c r="D3" s="29"/>
      <c r="E3" s="29"/>
      <c r="F3" s="29"/>
      <c r="G3" s="29"/>
      <c r="H3" s="23"/>
    </row>
    <row r="4" spans="3:9" s="2" customFormat="1" ht="18.75" thickBot="1">
      <c r="C4" s="4" t="s">
        <v>8</v>
      </c>
      <c r="D4" s="286" t="s">
        <v>201</v>
      </c>
      <c r="E4" s="287"/>
      <c r="F4" s="4"/>
      <c r="G4" s="4"/>
      <c r="I4" s="25"/>
    </row>
    <row r="5" spans="3:9" s="2" customFormat="1" ht="7.5" customHeight="1" thickBot="1">
      <c r="C5" s="4"/>
      <c r="D5" s="29"/>
      <c r="E5" s="29"/>
      <c r="F5" s="4"/>
      <c r="G5" s="4"/>
      <c r="I5" s="25"/>
    </row>
    <row r="6" spans="3:7" s="2" customFormat="1" ht="18.75" thickBot="1">
      <c r="C6" s="4" t="s">
        <v>11</v>
      </c>
      <c r="D6" s="28">
        <v>2010</v>
      </c>
      <c r="E6" s="4"/>
      <c r="F6" s="234" t="s">
        <v>193</v>
      </c>
      <c r="G6" s="235">
        <v>1</v>
      </c>
    </row>
    <row r="7" spans="6:10" s="2" customFormat="1" ht="15.75">
      <c r="F7" s="5"/>
      <c r="G7" s="5"/>
      <c r="J7" s="15"/>
    </row>
    <row r="8" s="2" customFormat="1" ht="12.75"/>
    <row r="9" spans="3:5" s="2" customFormat="1" ht="18">
      <c r="C9" s="288" t="s">
        <v>47</v>
      </c>
      <c r="D9" s="288"/>
      <c r="E9" s="288"/>
    </row>
    <row r="10" spans="3:7" s="2" customFormat="1" ht="39.75" customHeight="1">
      <c r="C10" s="6" t="s">
        <v>48</v>
      </c>
      <c r="D10" s="7"/>
      <c r="E10" s="7" t="s">
        <v>50</v>
      </c>
      <c r="F10" s="8"/>
      <c r="G10" s="8"/>
    </row>
    <row r="11" s="2" customFormat="1" ht="12.75"/>
    <row r="12" spans="3:6" s="2" customFormat="1" ht="12.75">
      <c r="C12" s="30" t="s">
        <v>191</v>
      </c>
      <c r="D12" s="15"/>
      <c r="E12" s="16" t="s">
        <v>182</v>
      </c>
      <c r="F12" s="15"/>
    </row>
    <row r="13" spans="4:6" s="2" customFormat="1" ht="12.75">
      <c r="D13" s="15"/>
      <c r="E13" s="15"/>
      <c r="F13" s="15"/>
    </row>
    <row r="14" spans="3:8" s="2" customFormat="1" ht="12.75">
      <c r="C14" s="30">
        <v>1</v>
      </c>
      <c r="D14" s="17"/>
      <c r="E14" s="16" t="s">
        <v>7</v>
      </c>
      <c r="F14" s="31"/>
      <c r="G14" s="10"/>
      <c r="H14" s="10"/>
    </row>
    <row r="15" spans="3:8" s="2" customFormat="1" ht="12.75">
      <c r="C15" s="30"/>
      <c r="D15" s="17"/>
      <c r="E15" s="18"/>
      <c r="F15" s="18"/>
      <c r="G15" s="11"/>
      <c r="H15" s="11"/>
    </row>
    <row r="16" spans="3:8" s="2" customFormat="1" ht="12.75">
      <c r="C16" s="30">
        <v>2</v>
      </c>
      <c r="D16" s="17"/>
      <c r="E16" s="16" t="s">
        <v>59</v>
      </c>
      <c r="F16" s="31"/>
      <c r="G16" s="10"/>
      <c r="H16" s="10"/>
    </row>
    <row r="17" spans="3:8" s="2" customFormat="1" ht="12.75">
      <c r="C17" s="30"/>
      <c r="D17" s="17"/>
      <c r="E17" s="18"/>
      <c r="F17" s="18"/>
      <c r="G17" s="11"/>
      <c r="H17" s="11"/>
    </row>
    <row r="18" spans="3:8" s="2" customFormat="1" ht="12.75">
      <c r="C18" s="30">
        <v>3</v>
      </c>
      <c r="D18" s="17"/>
      <c r="E18" s="16" t="s">
        <v>49</v>
      </c>
      <c r="F18" s="31"/>
      <c r="G18" s="10"/>
      <c r="H18" s="10"/>
    </row>
    <row r="19" spans="3:8" s="2" customFormat="1" ht="12.75">
      <c r="C19" s="30"/>
      <c r="D19" s="17"/>
      <c r="E19" s="18"/>
      <c r="F19" s="18"/>
      <c r="G19" s="11"/>
      <c r="H19" s="11"/>
    </row>
    <row r="20" spans="3:8" s="2" customFormat="1" ht="12.75">
      <c r="C20" s="30">
        <v>4</v>
      </c>
      <c r="D20" s="17"/>
      <c r="E20" s="16" t="s">
        <v>71</v>
      </c>
      <c r="F20" s="31"/>
      <c r="G20" s="10"/>
      <c r="H20" s="10"/>
    </row>
    <row r="21" spans="3:8" s="2" customFormat="1" ht="12.75">
      <c r="C21" s="30"/>
      <c r="D21" s="17"/>
      <c r="E21" s="17"/>
      <c r="F21" s="31"/>
      <c r="G21" s="10"/>
      <c r="H21" s="10"/>
    </row>
    <row r="22" spans="3:8" s="2" customFormat="1" ht="12.75">
      <c r="C22" s="30">
        <v>5</v>
      </c>
      <c r="D22" s="17"/>
      <c r="E22" s="16" t="s">
        <v>60</v>
      </c>
      <c r="F22" s="31"/>
      <c r="G22" s="10"/>
      <c r="H22" s="10"/>
    </row>
    <row r="23" spans="3:8" s="2" customFormat="1" ht="12.75">
      <c r="C23" s="30"/>
      <c r="D23" s="17"/>
      <c r="E23" s="18"/>
      <c r="F23" s="18"/>
      <c r="G23" s="11"/>
      <c r="H23" s="11"/>
    </row>
    <row r="24" spans="3:8" s="2" customFormat="1" ht="12.75">
      <c r="C24" s="30">
        <v>6</v>
      </c>
      <c r="D24" s="17"/>
      <c r="E24" s="19" t="s">
        <v>40</v>
      </c>
      <c r="F24" s="18"/>
      <c r="G24" s="11"/>
      <c r="H24" s="11"/>
    </row>
    <row r="25" spans="3:8" s="2" customFormat="1" ht="12.75">
      <c r="C25" s="30"/>
      <c r="D25" s="17"/>
      <c r="E25" s="18"/>
      <c r="F25" s="18"/>
      <c r="G25" s="11"/>
      <c r="H25" s="11"/>
    </row>
    <row r="26" spans="3:6" s="2" customFormat="1" ht="12.75">
      <c r="C26" s="30">
        <v>7</v>
      </c>
      <c r="D26" s="17"/>
      <c r="E26" s="16" t="s">
        <v>72</v>
      </c>
      <c r="F26" s="17"/>
    </row>
    <row r="27" s="2" customFormat="1" ht="12.75">
      <c r="E27" s="9"/>
    </row>
    <row r="30" ht="12.75">
      <c r="A30" s="12" t="s">
        <v>52</v>
      </c>
    </row>
    <row r="31" spans="1:8" ht="12.75">
      <c r="A31" s="20" t="s">
        <v>2</v>
      </c>
      <c r="B31" s="21" t="s">
        <v>74</v>
      </c>
      <c r="C31" s="22"/>
      <c r="D31" s="14"/>
      <c r="E31" s="14"/>
      <c r="F31" s="14"/>
      <c r="G31" s="14"/>
      <c r="H31" s="14"/>
    </row>
    <row r="32" spans="1:9" ht="24.75" customHeight="1">
      <c r="A32" s="27" t="s">
        <v>3</v>
      </c>
      <c r="B32" s="282" t="s">
        <v>190</v>
      </c>
      <c r="C32" s="282"/>
      <c r="D32" s="282"/>
      <c r="E32" s="282"/>
      <c r="F32" s="282"/>
      <c r="G32" s="282"/>
      <c r="H32" s="26"/>
      <c r="I32" s="26"/>
    </row>
    <row r="33" spans="2:9" ht="12.75">
      <c r="B33" s="26"/>
      <c r="C33" s="26"/>
      <c r="D33" s="26"/>
      <c r="E33" s="26"/>
      <c r="F33" s="26"/>
      <c r="G33" s="26"/>
      <c r="H33" s="26"/>
      <c r="I33" s="26"/>
    </row>
    <row r="34" spans="1:256" ht="15.75">
      <c r="A34" s="257" t="s">
        <v>195</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row>
    <row r="35" spans="1:7" ht="12.75">
      <c r="A35" s="280" t="s">
        <v>194</v>
      </c>
      <c r="B35" s="280"/>
      <c r="C35" s="280"/>
      <c r="D35" s="280"/>
      <c r="E35" s="280"/>
      <c r="F35" s="280"/>
      <c r="G35" s="280"/>
    </row>
    <row r="36" spans="1:7" ht="12.75">
      <c r="A36" s="280"/>
      <c r="B36" s="280"/>
      <c r="C36" s="280"/>
      <c r="D36" s="280"/>
      <c r="E36" s="280"/>
      <c r="F36" s="280"/>
      <c r="G36" s="280"/>
    </row>
    <row r="37" spans="1:7" ht="12.75">
      <c r="A37" s="280"/>
      <c r="B37" s="280"/>
      <c r="C37" s="280"/>
      <c r="D37" s="280"/>
      <c r="E37" s="280"/>
      <c r="F37" s="280"/>
      <c r="G37" s="280"/>
    </row>
    <row r="38" spans="1:7" ht="12.75">
      <c r="A38" s="280"/>
      <c r="B38" s="280"/>
      <c r="C38" s="280"/>
      <c r="D38" s="280"/>
      <c r="E38" s="280"/>
      <c r="F38" s="280"/>
      <c r="G38" s="280"/>
    </row>
    <row r="39" spans="1:7" ht="12.75">
      <c r="A39" s="280"/>
      <c r="B39" s="280"/>
      <c r="C39" s="280"/>
      <c r="D39" s="280"/>
      <c r="E39" s="280"/>
      <c r="F39" s="280"/>
      <c r="G39" s="280"/>
    </row>
    <row r="40" spans="1:7" ht="12.75">
      <c r="A40" s="280"/>
      <c r="B40" s="280"/>
      <c r="C40" s="280"/>
      <c r="D40" s="280"/>
      <c r="E40" s="280"/>
      <c r="F40" s="280"/>
      <c r="G40" s="280"/>
    </row>
    <row r="41" spans="1:7" ht="12.75">
      <c r="A41" s="280"/>
      <c r="B41" s="280"/>
      <c r="C41" s="280"/>
      <c r="D41" s="280"/>
      <c r="E41" s="280"/>
      <c r="F41" s="280"/>
      <c r="G41" s="280"/>
    </row>
    <row r="42" spans="1:7" ht="12.75">
      <c r="A42" s="280"/>
      <c r="B42" s="280"/>
      <c r="C42" s="280"/>
      <c r="D42" s="280"/>
      <c r="E42" s="280"/>
      <c r="F42" s="280"/>
      <c r="G42" s="280"/>
    </row>
  </sheetData>
  <sheetProtection password="82A3" sheet="1" objects="1" scenarios="1"/>
  <mergeCells count="6">
    <mergeCell ref="A35:G42"/>
    <mergeCell ref="C1:E1"/>
    <mergeCell ref="B32:G32"/>
    <mergeCell ref="D2:G2"/>
    <mergeCell ref="D4:E4"/>
    <mergeCell ref="C9:E9"/>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Bill Impacts'!A1" display="Bill Impacts"/>
    <hyperlink ref="E12" location="'A. Data_Input_Sheet'!A1" display="Data Input Sheet"/>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T76"/>
  <sheetViews>
    <sheetView showGridLines="0" zoomScalePageLayoutView="0" workbookViewId="0" topLeftCell="A48">
      <selection activeCell="L60" sqref="L60"/>
    </sheetView>
  </sheetViews>
  <sheetFormatPr defaultColWidth="9.140625" defaultRowHeight="12.75"/>
  <cols>
    <col min="1" max="1" width="3.8515625" style="13" customWidth="1"/>
    <col min="2" max="2" width="2.421875" style="13" customWidth="1"/>
    <col min="3" max="3" width="45.28125" style="13" customWidth="1"/>
    <col min="4" max="4" width="17.8515625" style="13" customWidth="1"/>
    <col min="5" max="5" width="0.9921875" style="13" customWidth="1"/>
    <col min="6" max="6" width="3.140625" style="13" customWidth="1"/>
    <col min="7" max="7" width="0.9921875" style="13" customWidth="1"/>
    <col min="8" max="8" width="14.421875" style="13" customWidth="1"/>
    <col min="9" max="9" width="1.1484375" style="13" customWidth="1"/>
    <col min="10" max="10" width="2.57421875" style="13" customWidth="1"/>
    <col min="11" max="11" width="1.1484375" style="13" customWidth="1"/>
    <col min="12" max="12" width="17.57421875" style="13" customWidth="1"/>
    <col min="13" max="13" width="0.85546875" style="13" customWidth="1"/>
    <col min="14" max="14" width="3.00390625" style="13" customWidth="1"/>
    <col min="15" max="16384" width="9.140625" style="13" customWidth="1"/>
  </cols>
  <sheetData>
    <row r="1" spans="3:13" s="2" customFormat="1" ht="20.25" customHeight="1">
      <c r="C1" s="290" t="s">
        <v>180</v>
      </c>
      <c r="D1" s="290"/>
      <c r="E1" s="290"/>
      <c r="F1" s="290"/>
      <c r="G1" s="233"/>
      <c r="H1" s="24"/>
      <c r="I1" s="24"/>
      <c r="J1" s="24"/>
      <c r="K1" s="24"/>
      <c r="L1" s="1"/>
      <c r="M1" s="1"/>
    </row>
    <row r="2" spans="3:11" s="2" customFormat="1" ht="18">
      <c r="C2" s="289" t="str">
        <f>"Name of LDC:    "&amp;IF(ISBLANK('Table of Contents'!D2),"",'Table of Contents'!D2)</f>
        <v>Name of LDC:    Cambridge and North Dumfries Hydro Inc.</v>
      </c>
      <c r="D2" s="289"/>
      <c r="E2" s="289"/>
      <c r="F2" s="289"/>
      <c r="G2" s="289"/>
      <c r="H2" s="289"/>
      <c r="I2" s="289"/>
      <c r="J2" s="289"/>
      <c r="K2" s="67"/>
    </row>
    <row r="3" spans="3:11" s="2" customFormat="1" ht="18">
      <c r="C3" s="289" t="str">
        <f>"File Number:      "&amp;IF(ISBLANK('Table of Contents'!D4),"",'Table of Contents'!D4)</f>
        <v>File Number:      EB- 2009 - 0260</v>
      </c>
      <c r="D3" s="289"/>
      <c r="E3" s="289"/>
      <c r="F3" s="289"/>
      <c r="G3" s="289"/>
      <c r="H3" s="289"/>
      <c r="I3" s="289"/>
      <c r="J3" s="289"/>
      <c r="K3" s="67"/>
    </row>
    <row r="4" spans="3:11" s="2" customFormat="1" ht="18">
      <c r="C4" s="289" t="str">
        <f>"Rate Year:          "&amp;IF(ISBLANK('Table of Contents'!D6),"",'Table of Contents'!D6)</f>
        <v>Rate Year:          2010</v>
      </c>
      <c r="D4" s="289"/>
      <c r="E4" s="289"/>
      <c r="F4" s="289"/>
      <c r="G4" s="289"/>
      <c r="H4" s="289"/>
      <c r="I4" s="289"/>
      <c r="J4" s="289"/>
      <c r="K4" s="67"/>
    </row>
    <row r="5" spans="6:9" s="2" customFormat="1" ht="15.75">
      <c r="F5" s="5"/>
      <c r="G5" s="5"/>
      <c r="H5" s="5"/>
      <c r="I5" s="5"/>
    </row>
    <row r="6" s="2" customFormat="1" ht="12.75"/>
    <row r="7" ht="4.5" customHeight="1"/>
    <row r="8" spans="4:15" ht="22.5" customHeight="1">
      <c r="D8" s="291" t="s">
        <v>84</v>
      </c>
      <c r="E8" s="292"/>
      <c r="F8" s="292"/>
      <c r="G8" s="292"/>
      <c r="H8" s="292"/>
      <c r="I8" s="292"/>
      <c r="J8" s="292"/>
      <c r="K8" s="292"/>
      <c r="L8" s="293"/>
      <c r="M8" s="242"/>
      <c r="N8" s="32" t="s">
        <v>2</v>
      </c>
      <c r="O8" s="33"/>
    </row>
    <row r="9" ht="10.5" customHeight="1">
      <c r="M9" s="49"/>
    </row>
    <row r="10" spans="4:13" ht="12.75" customHeight="1">
      <c r="D10" s="303" t="s">
        <v>4</v>
      </c>
      <c r="E10" s="111"/>
      <c r="H10" s="303" t="s">
        <v>126</v>
      </c>
      <c r="I10" s="111"/>
      <c r="J10" s="34"/>
      <c r="K10" s="34"/>
      <c r="L10" s="305" t="s">
        <v>199</v>
      </c>
      <c r="M10" s="243"/>
    </row>
    <row r="11" spans="4:13" ht="12.75">
      <c r="D11" s="304"/>
      <c r="E11" s="111"/>
      <c r="H11" s="304"/>
      <c r="I11" s="111"/>
      <c r="J11" s="34"/>
      <c r="K11" s="34"/>
      <c r="L11" s="306"/>
      <c r="M11" s="243"/>
    </row>
    <row r="12" spans="9:13" ht="10.5" customHeight="1">
      <c r="I12" s="49"/>
      <c r="M12" s="49"/>
    </row>
    <row r="13" spans="1:13" ht="12.75">
      <c r="A13" s="37">
        <v>1</v>
      </c>
      <c r="C13" s="38" t="s">
        <v>7</v>
      </c>
      <c r="I13" s="49"/>
      <c r="M13" s="49"/>
    </row>
    <row r="14" spans="3:13" ht="12.75">
      <c r="C14" s="13" t="s">
        <v>130</v>
      </c>
      <c r="D14" s="214">
        <v>175439703</v>
      </c>
      <c r="E14" s="237"/>
      <c r="F14" s="39" t="s">
        <v>158</v>
      </c>
      <c r="G14" s="39"/>
      <c r="H14" s="214">
        <v>-137000.0799999833</v>
      </c>
      <c r="I14" s="237"/>
      <c r="J14" s="253"/>
      <c r="K14" s="49"/>
      <c r="L14" s="40">
        <f>IF(ISBLANK(D14),"",D14+H14)</f>
        <v>175302702.92000002</v>
      </c>
      <c r="M14" s="40"/>
    </row>
    <row r="15" spans="3:13" ht="12.75">
      <c r="C15" s="13" t="s">
        <v>131</v>
      </c>
      <c r="D15" s="214">
        <v>-88308509.43438175</v>
      </c>
      <c r="E15" s="237"/>
      <c r="F15" s="39" t="s">
        <v>159</v>
      </c>
      <c r="G15" s="39"/>
      <c r="H15" s="214">
        <v>-14098.669999986887</v>
      </c>
      <c r="I15" s="237"/>
      <c r="J15" s="253"/>
      <c r="K15" s="49"/>
      <c r="L15" s="40">
        <f>IF(ISBLANK(D15),"",D15+H15)</f>
        <v>-88322608.10438174</v>
      </c>
      <c r="M15" s="40"/>
    </row>
    <row r="16" spans="3:13" ht="12.75">
      <c r="C16" s="41" t="s">
        <v>111</v>
      </c>
      <c r="D16" s="42"/>
      <c r="E16" s="42"/>
      <c r="F16" s="43"/>
      <c r="G16" s="43"/>
      <c r="H16" s="42"/>
      <c r="I16" s="42"/>
      <c r="L16" s="42"/>
      <c r="M16" s="42"/>
    </row>
    <row r="17" spans="3:13" ht="12.75">
      <c r="C17" s="13" t="s">
        <v>86</v>
      </c>
      <c r="D17" s="214">
        <v>10658608</v>
      </c>
      <c r="E17" s="237"/>
      <c r="F17" s="253">
        <v>6</v>
      </c>
      <c r="G17" s="218"/>
      <c r="H17" s="214">
        <v>-626500</v>
      </c>
      <c r="I17" s="237"/>
      <c r="J17" s="253"/>
      <c r="K17" s="254"/>
      <c r="L17" s="40">
        <f>IF(ISBLANK(D17),"",D17+H17)</f>
        <v>10032108</v>
      </c>
      <c r="M17" s="40"/>
    </row>
    <row r="18" spans="3:16" ht="12.75">
      <c r="C18" s="13" t="s">
        <v>87</v>
      </c>
      <c r="D18" s="214">
        <v>115937896.98739624</v>
      </c>
      <c r="E18" s="237"/>
      <c r="F18" s="253"/>
      <c r="G18" s="218"/>
      <c r="H18" s="214">
        <v>-5114668.093700185</v>
      </c>
      <c r="I18" s="237"/>
      <c r="J18" s="253"/>
      <c r="K18" s="254"/>
      <c r="L18" s="40">
        <f>IF(ISBLANK(D18),"",D18+H18)</f>
        <v>110823228.89369605</v>
      </c>
      <c r="M18" s="40"/>
      <c r="P18" s="294"/>
    </row>
    <row r="19" spans="3:16" ht="12.75">
      <c r="C19" s="13" t="s">
        <v>88</v>
      </c>
      <c r="D19" s="215">
        <v>0.15</v>
      </c>
      <c r="E19" s="238"/>
      <c r="F19" s="253"/>
      <c r="G19" s="218"/>
      <c r="H19" s="42"/>
      <c r="I19" s="42"/>
      <c r="J19" s="218"/>
      <c r="K19" s="218"/>
      <c r="L19" s="215"/>
      <c r="M19" s="238"/>
      <c r="N19" s="253"/>
      <c r="P19" s="294"/>
    </row>
    <row r="20" spans="4:13" ht="10.5" customHeight="1">
      <c r="D20" s="44"/>
      <c r="E20" s="42"/>
      <c r="H20" s="44"/>
      <c r="I20" s="42"/>
      <c r="L20" s="44"/>
      <c r="M20" s="42"/>
    </row>
    <row r="21" spans="1:20" ht="12.75">
      <c r="A21" s="37">
        <v>2</v>
      </c>
      <c r="C21" s="45" t="s">
        <v>59</v>
      </c>
      <c r="D21" s="46"/>
      <c r="E21" s="239"/>
      <c r="F21" s="34"/>
      <c r="G21" s="34"/>
      <c r="H21" s="46"/>
      <c r="I21" s="239"/>
      <c r="J21" s="34"/>
      <c r="K21" s="34"/>
      <c r="L21" s="46"/>
      <c r="M21" s="239"/>
      <c r="N21" s="34"/>
      <c r="O21" s="34"/>
      <c r="P21" s="34"/>
      <c r="Q21" s="34"/>
      <c r="R21" s="34"/>
      <c r="S21" s="34"/>
      <c r="T21" s="34"/>
    </row>
    <row r="22" spans="3:20" ht="12.75">
      <c r="C22" s="47" t="s">
        <v>27</v>
      </c>
      <c r="D22" s="46"/>
      <c r="E22" s="239"/>
      <c r="F22" s="34"/>
      <c r="G22" s="34"/>
      <c r="H22" s="46"/>
      <c r="I22" s="239"/>
      <c r="J22" s="34"/>
      <c r="K22" s="34"/>
      <c r="L22" s="46"/>
      <c r="M22" s="239"/>
      <c r="N22" s="34"/>
      <c r="O22" s="34"/>
      <c r="P22" s="34"/>
      <c r="Q22" s="34"/>
      <c r="R22" s="34"/>
      <c r="S22" s="34"/>
      <c r="T22" s="34"/>
    </row>
    <row r="23" spans="3:14" ht="12.75">
      <c r="C23" s="48" t="s">
        <v>148</v>
      </c>
      <c r="D23" s="214">
        <v>20884051.167307224</v>
      </c>
      <c r="E23" s="237"/>
      <c r="F23" s="253"/>
      <c r="G23" s="218"/>
      <c r="H23" s="44"/>
      <c r="I23" s="42"/>
      <c r="J23" s="218"/>
      <c r="K23" s="218"/>
      <c r="L23" s="214">
        <v>20383575.650757242</v>
      </c>
      <c r="M23" s="237"/>
      <c r="N23" s="253"/>
    </row>
    <row r="24" spans="3:14" ht="12.75">
      <c r="C24" s="13" t="s">
        <v>139</v>
      </c>
      <c r="D24" s="214">
        <v>23345924.299689494</v>
      </c>
      <c r="E24" s="237"/>
      <c r="F24" s="253"/>
      <c r="G24" s="218"/>
      <c r="H24" s="40"/>
      <c r="I24" s="40"/>
      <c r="J24" s="218"/>
      <c r="K24" s="218"/>
      <c r="L24" s="214">
        <v>23201066.232326265</v>
      </c>
      <c r="M24" s="237"/>
      <c r="N24" s="253"/>
    </row>
    <row r="25" spans="3:13" ht="12.75">
      <c r="C25" s="41" t="s">
        <v>113</v>
      </c>
      <c r="D25" s="44"/>
      <c r="E25" s="42"/>
      <c r="H25" s="44"/>
      <c r="I25" s="42"/>
      <c r="L25" s="44"/>
      <c r="M25" s="42"/>
    </row>
    <row r="26" spans="3:14" ht="12.75">
      <c r="C26" s="13" t="s">
        <v>93</v>
      </c>
      <c r="D26" s="214">
        <v>540140</v>
      </c>
      <c r="E26" s="237"/>
      <c r="F26" s="253"/>
      <c r="G26" s="218"/>
      <c r="H26" s="42"/>
      <c r="I26" s="42"/>
      <c r="J26" s="218"/>
      <c r="K26" s="218"/>
      <c r="L26" s="214">
        <v>540140</v>
      </c>
      <c r="M26" s="237"/>
      <c r="N26" s="253"/>
    </row>
    <row r="27" spans="3:14" ht="12.75">
      <c r="C27" s="13" t="s">
        <v>94</v>
      </c>
      <c r="D27" s="214">
        <v>349055</v>
      </c>
      <c r="E27" s="237"/>
      <c r="F27" s="253"/>
      <c r="G27" s="218"/>
      <c r="H27" s="42"/>
      <c r="I27" s="42"/>
      <c r="J27" s="218"/>
      <c r="K27" s="218"/>
      <c r="L27" s="214">
        <v>349055</v>
      </c>
      <c r="M27" s="237"/>
      <c r="N27" s="253"/>
    </row>
    <row r="28" spans="3:14" ht="12.75">
      <c r="C28" s="13" t="s">
        <v>95</v>
      </c>
      <c r="D28" s="214">
        <v>217080</v>
      </c>
      <c r="E28" s="237"/>
      <c r="F28" s="253"/>
      <c r="G28" s="218"/>
      <c r="H28" s="42"/>
      <c r="I28" s="42"/>
      <c r="J28" s="218"/>
      <c r="K28" s="218"/>
      <c r="L28" s="214">
        <v>278480</v>
      </c>
      <c r="M28" s="237"/>
      <c r="N28" s="253"/>
    </row>
    <row r="29" spans="3:14" ht="12.75">
      <c r="C29" s="13" t="s">
        <v>96</v>
      </c>
      <c r="D29" s="214">
        <v>506735</v>
      </c>
      <c r="E29" s="237"/>
      <c r="F29" s="253"/>
      <c r="G29" s="218"/>
      <c r="H29" s="42"/>
      <c r="I29" s="42"/>
      <c r="J29" s="218"/>
      <c r="K29" s="218"/>
      <c r="L29" s="214">
        <v>322735</v>
      </c>
      <c r="M29" s="237"/>
      <c r="N29" s="253"/>
    </row>
    <row r="30" spans="4:13" ht="10.5" customHeight="1">
      <c r="D30" s="42"/>
      <c r="E30" s="42"/>
      <c r="F30" s="49"/>
      <c r="G30" s="49"/>
      <c r="H30" s="42"/>
      <c r="I30" s="42"/>
      <c r="J30" s="49"/>
      <c r="K30" s="49"/>
      <c r="L30" s="42"/>
      <c r="M30" s="42"/>
    </row>
    <row r="31" spans="3:13" ht="12.75">
      <c r="C31" s="41" t="s">
        <v>28</v>
      </c>
      <c r="D31" s="44"/>
      <c r="E31" s="42"/>
      <c r="H31" s="44"/>
      <c r="I31" s="42"/>
      <c r="L31" s="44"/>
      <c r="M31" s="42"/>
    </row>
    <row r="32" spans="3:13" ht="12.75">
      <c r="C32" s="13" t="s">
        <v>90</v>
      </c>
      <c r="D32" s="214">
        <v>10658608</v>
      </c>
      <c r="E32" s="237"/>
      <c r="F32" s="253"/>
      <c r="G32" s="218"/>
      <c r="H32" s="214">
        <v>-626500</v>
      </c>
      <c r="I32" s="237"/>
      <c r="J32" s="253"/>
      <c r="K32" s="218"/>
      <c r="L32" s="40">
        <f>IF(ISBLANK(D32),"",D32+H32)</f>
        <v>10032108</v>
      </c>
      <c r="M32" s="40"/>
    </row>
    <row r="33" spans="3:13" ht="12.75">
      <c r="C33" s="13" t="s">
        <v>197</v>
      </c>
      <c r="D33" s="214">
        <v>6490738</v>
      </c>
      <c r="E33" s="237"/>
      <c r="F33" s="253"/>
      <c r="G33" s="218"/>
      <c r="H33" s="214">
        <v>-105752.99999999907</v>
      </c>
      <c r="I33" s="237"/>
      <c r="J33" s="253"/>
      <c r="K33" s="218"/>
      <c r="L33" s="40">
        <f>IF(ISBLANK(D33),"",D33+H33)</f>
        <v>6384985.000000001</v>
      </c>
      <c r="M33" s="40"/>
    </row>
    <row r="34" spans="3:13" ht="12.75">
      <c r="C34" s="13" t="s">
        <v>91</v>
      </c>
      <c r="D34" s="214">
        <v>0</v>
      </c>
      <c r="E34" s="237"/>
      <c r="F34" s="253"/>
      <c r="G34" s="218"/>
      <c r="H34" s="214"/>
      <c r="I34" s="237"/>
      <c r="J34" s="253"/>
      <c r="K34" s="218"/>
      <c r="L34" s="40">
        <f>IF(ISBLANK(D34),"",D34+H34)</f>
        <v>0</v>
      </c>
      <c r="M34" s="40"/>
    </row>
    <row r="35" spans="3:13" ht="12.75">
      <c r="C35" s="41" t="s">
        <v>92</v>
      </c>
      <c r="D35" s="40">
        <f>IF(ISBLANK(D44),"",D44)</f>
        <v>79591</v>
      </c>
      <c r="E35" s="40"/>
      <c r="F35" s="49"/>
      <c r="G35" s="49"/>
      <c r="H35" s="42"/>
      <c r="I35" s="42"/>
      <c r="L35" s="40">
        <f>IF(ISBLANK(L44),"",L44)</f>
        <v>67581.29683945872</v>
      </c>
      <c r="M35" s="40"/>
    </row>
    <row r="36" spans="3:13" ht="12.75">
      <c r="C36" s="13" t="s">
        <v>120</v>
      </c>
      <c r="D36" s="214"/>
      <c r="E36" s="237"/>
      <c r="F36" s="253"/>
      <c r="G36" s="218"/>
      <c r="H36" s="214"/>
      <c r="I36" s="237"/>
      <c r="J36" s="253"/>
      <c r="K36" s="218"/>
      <c r="L36" s="40">
        <f>IF(ISBLANK(D36),"",D36+H36)</f>
      </c>
      <c r="M36" s="40"/>
    </row>
    <row r="37" spans="4:13" ht="9.75" customHeight="1">
      <c r="D37" s="44"/>
      <c r="E37" s="42"/>
      <c r="H37" s="44"/>
      <c r="I37" s="42"/>
      <c r="L37" s="44"/>
      <c r="M37" s="42"/>
    </row>
    <row r="38" spans="1:13" ht="12.75">
      <c r="A38" s="37">
        <v>3</v>
      </c>
      <c r="C38" s="50" t="s">
        <v>6</v>
      </c>
      <c r="D38" s="44"/>
      <c r="E38" s="42"/>
      <c r="H38" s="44"/>
      <c r="I38" s="42"/>
      <c r="L38" s="44"/>
      <c r="M38" s="42"/>
    </row>
    <row r="39" spans="3:13" ht="12.75">
      <c r="C39" s="13" t="s">
        <v>97</v>
      </c>
      <c r="D39" s="44"/>
      <c r="E39" s="42"/>
      <c r="H39" s="44"/>
      <c r="I39" s="42"/>
      <c r="L39" s="44"/>
      <c r="M39" s="42"/>
    </row>
    <row r="40" spans="3:14" ht="13.5" customHeight="1">
      <c r="C40" s="51" t="s">
        <v>98</v>
      </c>
      <c r="D40" s="214">
        <v>-768709.5482000001</v>
      </c>
      <c r="E40" s="237"/>
      <c r="F40" s="39" t="s">
        <v>127</v>
      </c>
      <c r="G40" s="39"/>
      <c r="H40" s="40"/>
      <c r="I40" s="40"/>
      <c r="L40" s="214">
        <v>-1636468.4576000012</v>
      </c>
      <c r="M40" s="237"/>
      <c r="N40" s="253"/>
    </row>
    <row r="41" spans="3:13" ht="12.75">
      <c r="C41" s="41" t="s">
        <v>99</v>
      </c>
      <c r="D41" s="44"/>
      <c r="E41" s="42"/>
      <c r="H41" s="44"/>
      <c r="I41" s="42"/>
      <c r="L41" s="44"/>
      <c r="M41" s="42"/>
    </row>
    <row r="42" spans="3:14" ht="12.75">
      <c r="C42" s="13" t="s">
        <v>161</v>
      </c>
      <c r="D42" s="214">
        <v>815733</v>
      </c>
      <c r="E42" s="237"/>
      <c r="F42" s="253"/>
      <c r="G42" s="218"/>
      <c r="H42" s="44"/>
      <c r="I42" s="42"/>
      <c r="L42" s="214">
        <v>734670.7472075925</v>
      </c>
      <c r="M42" s="237"/>
      <c r="N42" s="253"/>
    </row>
    <row r="43" spans="3:13" ht="12.75">
      <c r="C43" s="41" t="s">
        <v>162</v>
      </c>
      <c r="D43" s="52">
        <f>IF(ISBLANK(D42),"",D42/(1-SUM(D45:D46)))</f>
        <v>1182221.7391304348</v>
      </c>
      <c r="E43" s="52"/>
      <c r="F43" s="53"/>
      <c r="G43" s="53"/>
      <c r="H43" s="54"/>
      <c r="I43" s="54"/>
      <c r="J43" s="53"/>
      <c r="K43" s="53"/>
      <c r="L43" s="52">
        <f>IF(ISBLANK(L42),"",L42/(1-SUM(L45:L46)))</f>
        <v>1039586.5569181615</v>
      </c>
      <c r="M43" s="52"/>
    </row>
    <row r="44" spans="3:14" ht="12.75">
      <c r="C44" s="13" t="s">
        <v>114</v>
      </c>
      <c r="D44" s="214">
        <v>79591</v>
      </c>
      <c r="E44" s="237"/>
      <c r="F44" s="253"/>
      <c r="G44" s="218"/>
      <c r="H44" s="44"/>
      <c r="I44" s="42"/>
      <c r="L44" s="214">
        <v>67581.29683945872</v>
      </c>
      <c r="M44" s="237"/>
      <c r="N44" s="253"/>
    </row>
    <row r="45" spans="3:14" ht="12.75">
      <c r="C45" s="13" t="s">
        <v>109</v>
      </c>
      <c r="D45" s="215">
        <v>0.18</v>
      </c>
      <c r="E45" s="238"/>
      <c r="F45" s="253"/>
      <c r="G45" s="218"/>
      <c r="I45" s="49"/>
      <c r="L45" s="215">
        <v>0.18</v>
      </c>
      <c r="M45" s="238"/>
      <c r="N45" s="253"/>
    </row>
    <row r="46" spans="3:14" ht="12.75">
      <c r="C46" s="13" t="s">
        <v>110</v>
      </c>
      <c r="D46" s="215">
        <v>0.13</v>
      </c>
      <c r="E46" s="238"/>
      <c r="F46" s="253"/>
      <c r="G46" s="218"/>
      <c r="I46" s="49"/>
      <c r="L46" s="215">
        <v>0.11330487940752837</v>
      </c>
      <c r="M46" s="238"/>
      <c r="N46" s="253">
        <v>6</v>
      </c>
    </row>
    <row r="47" spans="3:14" ht="12.75">
      <c r="C47" s="55" t="s">
        <v>151</v>
      </c>
      <c r="D47" s="214"/>
      <c r="E47" s="237"/>
      <c r="F47" s="253"/>
      <c r="G47" s="218"/>
      <c r="I47" s="49"/>
      <c r="L47" s="214"/>
      <c r="M47" s="237"/>
      <c r="N47" s="253"/>
    </row>
    <row r="48" spans="3:13" ht="10.5" customHeight="1">
      <c r="C48" s="13" t="s">
        <v>85</v>
      </c>
      <c r="E48" s="49"/>
      <c r="I48" s="49"/>
      <c r="M48" s="49"/>
    </row>
    <row r="49" spans="1:13" ht="12.75">
      <c r="A49" s="37">
        <v>4</v>
      </c>
      <c r="C49" s="50" t="s">
        <v>71</v>
      </c>
      <c r="E49" s="49"/>
      <c r="I49" s="49"/>
      <c r="M49" s="49"/>
    </row>
    <row r="50" spans="3:13" ht="12.75">
      <c r="C50" s="41" t="s">
        <v>115</v>
      </c>
      <c r="E50" s="49"/>
      <c r="I50" s="49"/>
      <c r="M50" s="49"/>
    </row>
    <row r="51" spans="3:14" ht="12.75">
      <c r="C51" s="13" t="s">
        <v>100</v>
      </c>
      <c r="D51" s="216">
        <v>0.56</v>
      </c>
      <c r="E51" s="240"/>
      <c r="F51" s="253"/>
      <c r="G51" s="218"/>
      <c r="I51" s="49"/>
      <c r="L51" s="216">
        <v>0.56</v>
      </c>
      <c r="M51" s="240"/>
      <c r="N51" s="253"/>
    </row>
    <row r="52" spans="3:14" ht="12.75">
      <c r="C52" s="13" t="s">
        <v>101</v>
      </c>
      <c r="D52" s="216">
        <v>0.04</v>
      </c>
      <c r="E52" s="240"/>
      <c r="F52" s="39" t="s">
        <v>3</v>
      </c>
      <c r="G52" s="39"/>
      <c r="I52" s="49"/>
      <c r="L52" s="216">
        <v>0.04</v>
      </c>
      <c r="M52" s="240"/>
      <c r="N52" s="39" t="s">
        <v>3</v>
      </c>
    </row>
    <row r="53" spans="3:14" ht="12.75">
      <c r="C53" s="13" t="s">
        <v>102</v>
      </c>
      <c r="D53" s="216">
        <v>0.4</v>
      </c>
      <c r="E53" s="240"/>
      <c r="F53" s="253"/>
      <c r="G53" s="218"/>
      <c r="I53" s="49"/>
      <c r="L53" s="216">
        <v>0.4</v>
      </c>
      <c r="M53" s="240"/>
      <c r="N53" s="253"/>
    </row>
    <row r="54" spans="3:14" ht="12.75">
      <c r="C54" s="13" t="s">
        <v>103</v>
      </c>
      <c r="D54" s="216"/>
      <c r="E54" s="240"/>
      <c r="F54" s="253"/>
      <c r="G54" s="218"/>
      <c r="I54" s="49"/>
      <c r="L54" s="216"/>
      <c r="M54" s="240"/>
      <c r="N54" s="253"/>
    </row>
    <row r="55" spans="4:13" ht="27" customHeight="1">
      <c r="D55" s="56">
        <f>IF(SUM(D51:D54)=100%,"","Capital Structure must total 100%")</f>
      </c>
      <c r="E55" s="56"/>
      <c r="F55" s="57"/>
      <c r="G55" s="57"/>
      <c r="H55" s="57"/>
      <c r="I55" s="57"/>
      <c r="J55" s="57"/>
      <c r="K55" s="57"/>
      <c r="L55" s="56">
        <f>IF(SUM(L51:L54)=100%,"","Capital Structure must total 100%")</f>
      </c>
      <c r="M55" s="56"/>
    </row>
    <row r="56" spans="3:13" ht="12.75">
      <c r="C56" s="41" t="s">
        <v>116</v>
      </c>
      <c r="E56" s="49"/>
      <c r="I56" s="49"/>
      <c r="M56" s="49"/>
    </row>
    <row r="57" spans="3:14" ht="12.75">
      <c r="C57" s="13" t="s">
        <v>104</v>
      </c>
      <c r="D57" s="217">
        <v>0.05201648676187015</v>
      </c>
      <c r="E57" s="241"/>
      <c r="F57" s="253"/>
      <c r="G57" s="218"/>
      <c r="I57" s="49"/>
      <c r="L57" s="217">
        <v>0.04993</v>
      </c>
      <c r="M57" s="241"/>
      <c r="N57" s="253"/>
    </row>
    <row r="58" spans="3:14" ht="12.75">
      <c r="C58" s="13" t="s">
        <v>105</v>
      </c>
      <c r="D58" s="217">
        <v>0.0133</v>
      </c>
      <c r="E58" s="241"/>
      <c r="F58" s="253"/>
      <c r="G58" s="218"/>
      <c r="I58" s="49"/>
      <c r="L58" s="217">
        <v>0.0207</v>
      </c>
      <c r="M58" s="241"/>
      <c r="N58" s="253"/>
    </row>
    <row r="59" spans="3:14" ht="12.75">
      <c r="C59" s="13" t="s">
        <v>106</v>
      </c>
      <c r="D59" s="217">
        <v>0.0801</v>
      </c>
      <c r="E59" s="241"/>
      <c r="F59" s="253"/>
      <c r="G59" s="218"/>
      <c r="I59" s="49"/>
      <c r="L59" s="217">
        <v>0.0985</v>
      </c>
      <c r="M59" s="241"/>
      <c r="N59" s="253"/>
    </row>
    <row r="60" spans="3:14" ht="12.75">
      <c r="C60" s="13" t="s">
        <v>107</v>
      </c>
      <c r="D60" s="217"/>
      <c r="E60" s="241"/>
      <c r="F60" s="253"/>
      <c r="G60" s="218"/>
      <c r="I60" s="49"/>
      <c r="L60" s="217"/>
      <c r="M60" s="241"/>
      <c r="N60" s="253"/>
    </row>
    <row r="61" ht="10.5" customHeight="1"/>
    <row r="62" ht="10.5" customHeight="1"/>
    <row r="63" spans="1:3" ht="12.75">
      <c r="A63" s="12" t="s">
        <v>52</v>
      </c>
      <c r="B63" s="12"/>
      <c r="C63" s="12"/>
    </row>
    <row r="64" spans="3:13" ht="39.75" customHeight="1">
      <c r="C64" s="301" t="s">
        <v>112</v>
      </c>
      <c r="D64" s="301"/>
      <c r="E64" s="301"/>
      <c r="F64" s="301"/>
      <c r="G64" s="301"/>
      <c r="H64" s="301"/>
      <c r="I64" s="301"/>
      <c r="J64" s="302"/>
      <c r="K64" s="302"/>
      <c r="L64" s="302"/>
      <c r="M64" s="51"/>
    </row>
    <row r="65" spans="1:13" ht="12.75">
      <c r="A65" s="39" t="s">
        <v>2</v>
      </c>
      <c r="B65" s="58"/>
      <c r="C65" s="298" t="s">
        <v>117</v>
      </c>
      <c r="D65" s="298"/>
      <c r="E65" s="298"/>
      <c r="F65" s="298"/>
      <c r="G65" s="298"/>
      <c r="H65" s="298"/>
      <c r="I65" s="298"/>
      <c r="J65" s="298"/>
      <c r="K65" s="298"/>
      <c r="L65" s="298"/>
      <c r="M65" s="77"/>
    </row>
    <row r="66" spans="1:13" ht="12.75">
      <c r="A66" s="39" t="s">
        <v>3</v>
      </c>
      <c r="B66" s="58"/>
      <c r="C66" s="297" t="s">
        <v>119</v>
      </c>
      <c r="D66" s="297"/>
      <c r="E66" s="297"/>
      <c r="F66" s="297"/>
      <c r="G66" s="297"/>
      <c r="H66" s="297"/>
      <c r="I66" s="297"/>
      <c r="J66" s="297"/>
      <c r="K66" s="297"/>
      <c r="L66" s="297"/>
      <c r="M66" s="34"/>
    </row>
    <row r="67" spans="1:13" ht="12.75">
      <c r="A67" s="39" t="s">
        <v>127</v>
      </c>
      <c r="B67" s="58"/>
      <c r="C67" s="297" t="s">
        <v>128</v>
      </c>
      <c r="D67" s="297"/>
      <c r="E67" s="297"/>
      <c r="F67" s="297"/>
      <c r="G67" s="297"/>
      <c r="H67" s="297"/>
      <c r="I67" s="297"/>
      <c r="J67" s="297"/>
      <c r="K67" s="297"/>
      <c r="L67" s="297"/>
      <c r="M67" s="34"/>
    </row>
    <row r="68" spans="1:13" ht="12.75">
      <c r="A68" s="39" t="s">
        <v>158</v>
      </c>
      <c r="B68" s="58"/>
      <c r="C68" s="302" t="s">
        <v>160</v>
      </c>
      <c r="D68" s="302"/>
      <c r="E68" s="302"/>
      <c r="F68" s="302"/>
      <c r="G68" s="302"/>
      <c r="H68" s="302"/>
      <c r="I68" s="302"/>
      <c r="J68" s="302"/>
      <c r="K68" s="302"/>
      <c r="L68" s="302"/>
      <c r="M68" s="51"/>
    </row>
    <row r="69" spans="1:13" ht="12.75">
      <c r="A69" s="39" t="s">
        <v>159</v>
      </c>
      <c r="B69" s="58"/>
      <c r="C69" s="297" t="s">
        <v>178</v>
      </c>
      <c r="D69" s="297"/>
      <c r="E69" s="297"/>
      <c r="F69" s="297"/>
      <c r="G69" s="297"/>
      <c r="H69" s="297"/>
      <c r="I69" s="297"/>
      <c r="J69" s="297"/>
      <c r="K69" s="297"/>
      <c r="L69" s="297"/>
      <c r="M69" s="34"/>
    </row>
    <row r="70" spans="1:13" ht="12.75">
      <c r="A70" s="253">
        <v>6</v>
      </c>
      <c r="B70" s="59"/>
      <c r="C70" s="300" t="s">
        <v>202</v>
      </c>
      <c r="D70" s="299"/>
      <c r="E70" s="299"/>
      <c r="F70" s="299"/>
      <c r="G70" s="299"/>
      <c r="H70" s="299"/>
      <c r="I70" s="299"/>
      <c r="J70" s="299"/>
      <c r="K70" s="299"/>
      <c r="L70" s="299"/>
      <c r="M70" s="192"/>
    </row>
    <row r="71" spans="1:13" ht="12.75">
      <c r="A71" s="253"/>
      <c r="B71" s="59"/>
      <c r="C71" s="192"/>
      <c r="D71" s="192"/>
      <c r="E71" s="192"/>
      <c r="F71" s="192"/>
      <c r="G71" s="192"/>
      <c r="H71" s="192"/>
      <c r="I71" s="192"/>
      <c r="J71" s="192"/>
      <c r="K71" s="192"/>
      <c r="L71" s="192"/>
      <c r="M71" s="192"/>
    </row>
    <row r="72" spans="1:13" ht="12.75">
      <c r="A72" s="253"/>
      <c r="B72" s="59"/>
      <c r="C72" s="192"/>
      <c r="D72" s="192"/>
      <c r="E72" s="192"/>
      <c r="F72" s="192"/>
      <c r="G72" s="192"/>
      <c r="H72" s="192"/>
      <c r="I72" s="192"/>
      <c r="J72" s="192"/>
      <c r="K72" s="192"/>
      <c r="L72" s="192"/>
      <c r="M72" s="192"/>
    </row>
    <row r="73" spans="1:13" ht="12.75">
      <c r="A73" s="253"/>
      <c r="B73" s="219"/>
      <c r="C73" s="299"/>
      <c r="D73" s="299"/>
      <c r="E73" s="299"/>
      <c r="F73" s="299"/>
      <c r="G73" s="299"/>
      <c r="H73" s="299"/>
      <c r="I73" s="299"/>
      <c r="J73" s="299"/>
      <c r="K73" s="299"/>
      <c r="L73" s="299"/>
      <c r="M73" s="192"/>
    </row>
    <row r="74" spans="1:13" ht="12.75">
      <c r="A74" s="253"/>
      <c r="B74" s="49"/>
      <c r="C74" s="299"/>
      <c r="D74" s="299"/>
      <c r="E74" s="299"/>
      <c r="F74" s="299"/>
      <c r="G74" s="299"/>
      <c r="H74" s="299"/>
      <c r="I74" s="299"/>
      <c r="J74" s="299"/>
      <c r="K74" s="299"/>
      <c r="L74" s="299"/>
      <c r="M74" s="192"/>
    </row>
    <row r="75" spans="3:13" ht="12.75">
      <c r="C75" s="295"/>
      <c r="D75" s="296"/>
      <c r="E75" s="296"/>
      <c r="F75" s="296"/>
      <c r="G75" s="296"/>
      <c r="H75" s="296"/>
      <c r="I75" s="296"/>
      <c r="J75" s="296"/>
      <c r="K75" s="296"/>
      <c r="L75" s="296"/>
      <c r="M75" s="51"/>
    </row>
    <row r="76" spans="3:13" ht="12.75">
      <c r="C76" s="296"/>
      <c r="D76" s="296"/>
      <c r="E76" s="296"/>
      <c r="F76" s="296"/>
      <c r="G76" s="296"/>
      <c r="H76" s="296"/>
      <c r="I76" s="296"/>
      <c r="J76" s="296"/>
      <c r="K76" s="296"/>
      <c r="L76" s="296"/>
      <c r="M76" s="51"/>
    </row>
  </sheetData>
  <sheetProtection password="82A3" sheet="1" objects="1" scenarios="1"/>
  <mergeCells count="19">
    <mergeCell ref="C73:L73"/>
    <mergeCell ref="D10:D11"/>
    <mergeCell ref="H10:H11"/>
    <mergeCell ref="L10:L11"/>
    <mergeCell ref="C69:L69"/>
    <mergeCell ref="D8:L8"/>
    <mergeCell ref="P18:P19"/>
    <mergeCell ref="C75:L76"/>
    <mergeCell ref="C66:L66"/>
    <mergeCell ref="C67:L67"/>
    <mergeCell ref="C65:L65"/>
    <mergeCell ref="C74:L74"/>
    <mergeCell ref="C70:L70"/>
    <mergeCell ref="C64:L64"/>
    <mergeCell ref="C68:L68"/>
    <mergeCell ref="C4:J4"/>
    <mergeCell ref="C1:F1"/>
    <mergeCell ref="C2:J2"/>
    <mergeCell ref="C3:J3"/>
  </mergeCells>
  <printOptions/>
  <pageMargins left="0.75" right="0.75" top="0.46" bottom="0.79" header="0.26" footer="0.5"/>
  <pageSetup fitToHeight="1" fitToWidth="1" horizontalDpi="600" verticalDpi="600" orientation="portrait" scale="69"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P42"/>
  <sheetViews>
    <sheetView showGridLines="0" zoomScalePageLayoutView="0" workbookViewId="0" topLeftCell="A6">
      <selection activeCell="B33" sqref="B33:K33"/>
    </sheetView>
  </sheetViews>
  <sheetFormatPr defaultColWidth="9.140625" defaultRowHeight="12.75"/>
  <cols>
    <col min="1" max="1" width="1.7109375" style="13" customWidth="1"/>
    <col min="2" max="2" width="6.140625" style="13" customWidth="1"/>
    <col min="3" max="3" width="2.7109375" style="13" customWidth="1"/>
    <col min="4" max="4" width="33.57421875" style="13" customWidth="1"/>
    <col min="5" max="5" width="3.7109375" style="13" customWidth="1"/>
    <col min="6" max="6" width="3.00390625" style="13" customWidth="1"/>
    <col min="7" max="7" width="13.28125" style="13" customWidth="1"/>
    <col min="8" max="8" width="3.28125" style="13" customWidth="1"/>
    <col min="9" max="9" width="12.57421875" style="13" customWidth="1"/>
    <col min="10" max="10" width="3.421875" style="13" customWidth="1"/>
    <col min="11" max="11" width="13.28125" style="13" customWidth="1"/>
    <col min="12" max="12" width="2.8515625" style="13" customWidth="1"/>
    <col min="13" max="16384" width="9.140625" style="13" customWidth="1"/>
  </cols>
  <sheetData>
    <row r="1" spans="3:9" s="2" customFormat="1" ht="20.25" customHeight="1">
      <c r="C1" s="290" t="s">
        <v>180</v>
      </c>
      <c r="D1" s="290"/>
      <c r="E1" s="290"/>
      <c r="F1" s="290"/>
      <c r="G1" s="290"/>
      <c r="H1" s="290"/>
      <c r="I1" s="290"/>
    </row>
    <row r="2" spans="3:11" s="2" customFormat="1" ht="18">
      <c r="C2" s="289" t="str">
        <f>"Name of LDC:    "&amp;IF(ISBLANK('Table of Contents'!D2),"",'Table of Contents'!D2)</f>
        <v>Name of LDC:    Cambridge and North Dumfries Hydro Inc.</v>
      </c>
      <c r="D2" s="289"/>
      <c r="E2" s="289"/>
      <c r="F2" s="289"/>
      <c r="G2" s="289"/>
      <c r="H2" s="289"/>
      <c r="I2" s="289"/>
      <c r="J2" s="289"/>
      <c r="K2" s="289"/>
    </row>
    <row r="3" spans="3:9" s="2" customFormat="1" ht="18">
      <c r="C3" s="289" t="str">
        <f>"File Number:      "&amp;IF(ISBLANK('Table of Contents'!D4),"",'Table of Contents'!D4)</f>
        <v>File Number:      EB- 2009 - 0260</v>
      </c>
      <c r="D3" s="289"/>
      <c r="E3" s="289"/>
      <c r="F3" s="289"/>
      <c r="G3" s="289"/>
      <c r="H3" s="60"/>
      <c r="I3" s="60"/>
    </row>
    <row r="4" spans="3:9" s="2" customFormat="1" ht="18">
      <c r="C4" s="289" t="str">
        <f>"Rate Year:          "&amp;IF(ISBLANK('Table of Contents'!D6),"",'Table of Contents'!D6)</f>
        <v>Rate Year:          2010</v>
      </c>
      <c r="D4" s="289"/>
      <c r="E4" s="289"/>
      <c r="F4" s="289"/>
      <c r="G4" s="289"/>
      <c r="H4" s="60"/>
      <c r="I4" s="60"/>
    </row>
    <row r="5" spans="5:6" s="2" customFormat="1" ht="15.75">
      <c r="E5" s="5"/>
      <c r="F5" s="5"/>
    </row>
    <row r="6" s="2" customFormat="1" ht="12.75"/>
    <row r="7" ht="4.5" customHeight="1"/>
    <row r="8" spans="6:11" ht="15.75">
      <c r="F8" s="274" t="s">
        <v>7</v>
      </c>
      <c r="G8" s="274"/>
      <c r="H8" s="274"/>
      <c r="I8" s="274"/>
      <c r="J8" s="274"/>
      <c r="K8" s="274"/>
    </row>
    <row r="9" spans="6:11" ht="12.75">
      <c r="F9" s="202"/>
      <c r="G9" s="202"/>
      <c r="H9" s="202"/>
      <c r="I9" s="202"/>
      <c r="J9" s="202"/>
      <c r="K9" s="202"/>
    </row>
    <row r="10" spans="2:11" ht="25.5">
      <c r="B10" s="75" t="s">
        <v>43</v>
      </c>
      <c r="C10" s="51"/>
      <c r="D10" s="76" t="s">
        <v>42</v>
      </c>
      <c r="E10" s="102"/>
      <c r="F10" s="61"/>
      <c r="G10" s="35" t="s">
        <v>4</v>
      </c>
      <c r="H10" s="138"/>
      <c r="I10" s="35" t="s">
        <v>126</v>
      </c>
      <c r="J10" s="138"/>
      <c r="K10" s="36" t="str">
        <f>'A. Data_Input_Sheet'!L10</f>
        <v>Per Board Decision</v>
      </c>
    </row>
    <row r="11" spans="6:11" ht="12.75">
      <c r="F11" s="61"/>
      <c r="G11" s="61"/>
      <c r="H11" s="61"/>
      <c r="I11" s="61"/>
      <c r="J11" s="61"/>
      <c r="K11" s="61"/>
    </row>
    <row r="12" spans="2:16" ht="12.75">
      <c r="B12" s="12">
        <v>1</v>
      </c>
      <c r="D12" s="13" t="s">
        <v>132</v>
      </c>
      <c r="E12" s="39" t="s">
        <v>127</v>
      </c>
      <c r="F12" s="61"/>
      <c r="G12" s="164">
        <f>'A. Data_Input_Sheet'!D14</f>
        <v>175439703</v>
      </c>
      <c r="H12" s="253"/>
      <c r="I12" s="164">
        <f>'A. Data_Input_Sheet'!H14</f>
        <v>-137000.0799999833</v>
      </c>
      <c r="J12" s="253"/>
      <c r="K12" s="164">
        <f>G12+I12</f>
        <v>175302702.92000002</v>
      </c>
      <c r="N12" s="88"/>
      <c r="O12" s="88"/>
      <c r="P12" s="88"/>
    </row>
    <row r="13" spans="2:11" ht="12.75">
      <c r="B13" s="12">
        <v>2</v>
      </c>
      <c r="D13" s="13" t="s">
        <v>133</v>
      </c>
      <c r="E13" s="39" t="s">
        <v>127</v>
      </c>
      <c r="F13" s="61"/>
      <c r="G13" s="166">
        <f>'A. Data_Input_Sheet'!D15</f>
        <v>-88308509.43438175</v>
      </c>
      <c r="H13" s="253"/>
      <c r="I13" s="166">
        <f>'A. Data_Input_Sheet'!H15</f>
        <v>-14098.669999986887</v>
      </c>
      <c r="J13" s="253"/>
      <c r="K13" s="166">
        <f>G13+I13</f>
        <v>-88322608.10438174</v>
      </c>
    </row>
    <row r="14" spans="2:11" ht="12.75">
      <c r="B14" s="12">
        <v>3</v>
      </c>
      <c r="D14" s="96" t="s">
        <v>134</v>
      </c>
      <c r="E14" s="39" t="s">
        <v>127</v>
      </c>
      <c r="F14" s="61"/>
      <c r="G14" s="81">
        <f>SUM(G12:G13)</f>
        <v>87131193.56561825</v>
      </c>
      <c r="H14" s="203"/>
      <c r="I14" s="81">
        <f>SUM(I12:I13)</f>
        <v>-151098.7499999702</v>
      </c>
      <c r="J14" s="203"/>
      <c r="K14" s="81">
        <f>SUM(K12:K13)</f>
        <v>86980094.81561828</v>
      </c>
    </row>
    <row r="15" spans="2:11" ht="12.75">
      <c r="B15" s="12"/>
      <c r="E15" s="12"/>
      <c r="F15" s="61"/>
      <c r="G15" s="81"/>
      <c r="H15" s="203"/>
      <c r="I15" s="81"/>
      <c r="J15" s="203"/>
      <c r="K15" s="81"/>
    </row>
    <row r="16" spans="2:11" ht="12.75">
      <c r="B16" s="12">
        <v>4</v>
      </c>
      <c r="D16" s="201" t="s">
        <v>82</v>
      </c>
      <c r="E16" s="39" t="s">
        <v>2</v>
      </c>
      <c r="F16" s="61"/>
      <c r="G16" s="89">
        <f>G29</f>
        <v>18989475.748109434</v>
      </c>
      <c r="H16" s="203"/>
      <c r="I16" s="89">
        <f>I29</f>
        <v>-861175.2140550278</v>
      </c>
      <c r="J16" s="203"/>
      <c r="K16" s="89">
        <f>K29</f>
        <v>18128300.534054406</v>
      </c>
    </row>
    <row r="17" spans="2:11" ht="12.75">
      <c r="B17" s="12"/>
      <c r="D17" s="277" t="s">
        <v>1</v>
      </c>
      <c r="E17" s="71"/>
      <c r="F17" s="115"/>
      <c r="G17" s="275">
        <f>G16+G14</f>
        <v>106120669.31372768</v>
      </c>
      <c r="H17" s="203"/>
      <c r="I17" s="275">
        <f>I16+I14</f>
        <v>-1012273.964054998</v>
      </c>
      <c r="J17" s="203"/>
      <c r="K17" s="275">
        <f>K14+K16</f>
        <v>105108395.34967268</v>
      </c>
    </row>
    <row r="18" spans="2:11" ht="13.5" thickBot="1">
      <c r="B18" s="12">
        <v>5</v>
      </c>
      <c r="D18" s="278"/>
      <c r="E18" s="71"/>
      <c r="F18" s="115"/>
      <c r="G18" s="276"/>
      <c r="H18" s="165"/>
      <c r="I18" s="276"/>
      <c r="J18" s="165"/>
      <c r="K18" s="276"/>
    </row>
    <row r="19" ht="13.5" thickTop="1">
      <c r="B19" s="12"/>
    </row>
    <row r="20" spans="2:12" ht="12.75">
      <c r="B20" s="102"/>
      <c r="C20" s="61"/>
      <c r="D20" s="61"/>
      <c r="E20" s="61"/>
      <c r="F20" s="61"/>
      <c r="G20" s="61"/>
      <c r="H20" s="61"/>
      <c r="I20" s="61"/>
      <c r="J20" s="61"/>
      <c r="K20" s="61"/>
      <c r="L20" s="61"/>
    </row>
    <row r="21" spans="2:14" ht="12.75">
      <c r="B21" s="115"/>
      <c r="C21" s="152"/>
      <c r="D21" s="279" t="s">
        <v>179</v>
      </c>
      <c r="E21" s="265"/>
      <c r="F21" s="265"/>
      <c r="G21" s="265"/>
      <c r="H21" s="265"/>
      <c r="I21" s="265"/>
      <c r="J21" s="265"/>
      <c r="K21" s="266"/>
      <c r="L21" s="204"/>
      <c r="M21" s="34"/>
      <c r="N21" s="34"/>
    </row>
    <row r="22" spans="2:14" ht="12.75">
      <c r="B22" s="115"/>
      <c r="C22" s="152"/>
      <c r="D22" s="205"/>
      <c r="E22" s="152"/>
      <c r="F22" s="152"/>
      <c r="G22" s="152"/>
      <c r="H22" s="152"/>
      <c r="I22" s="152"/>
      <c r="J22" s="152"/>
      <c r="K22" s="206"/>
      <c r="L22" s="152"/>
      <c r="M22" s="34"/>
      <c r="N22" s="34"/>
    </row>
    <row r="23" spans="2:12" ht="12.75">
      <c r="B23" s="102">
        <v>6</v>
      </c>
      <c r="C23" s="61"/>
      <c r="D23" s="101" t="s">
        <v>12</v>
      </c>
      <c r="E23" s="61"/>
      <c r="F23" s="61"/>
      <c r="G23" s="164">
        <f>'A. Data_Input_Sheet'!D17</f>
        <v>10658608</v>
      </c>
      <c r="H23" s="253"/>
      <c r="I23" s="164">
        <f>'A. Data_Input_Sheet'!H17</f>
        <v>-626500</v>
      </c>
      <c r="J23" s="253"/>
      <c r="K23" s="198">
        <f>G23+I23</f>
        <v>10032108</v>
      </c>
      <c r="L23" s="61"/>
    </row>
    <row r="24" spans="2:12" ht="12.75">
      <c r="B24" s="102">
        <v>7</v>
      </c>
      <c r="C24" s="61"/>
      <c r="D24" s="200" t="s">
        <v>5</v>
      </c>
      <c r="E24" s="61"/>
      <c r="F24" s="61"/>
      <c r="G24" s="166">
        <f>'A. Data_Input_Sheet'!D18</f>
        <v>115937896.98739624</v>
      </c>
      <c r="H24" s="253"/>
      <c r="I24" s="166">
        <f>'A. Data_Input_Sheet'!H18</f>
        <v>-5114668.093700185</v>
      </c>
      <c r="J24" s="253"/>
      <c r="K24" s="207">
        <f>G24+I24</f>
        <v>110823228.89369605</v>
      </c>
      <c r="L24" s="61"/>
    </row>
    <row r="25" spans="2:12" ht="12.75">
      <c r="B25" s="102">
        <v>8</v>
      </c>
      <c r="C25" s="61"/>
      <c r="D25" s="101" t="s">
        <v>13</v>
      </c>
      <c r="E25" s="61"/>
      <c r="F25" s="61"/>
      <c r="G25" s="81">
        <f>SUM(G23:G24)</f>
        <v>126596504.98739624</v>
      </c>
      <c r="H25" s="203"/>
      <c r="I25" s="81">
        <f>I23+I24</f>
        <v>-5741168.093700185</v>
      </c>
      <c r="J25" s="203"/>
      <c r="K25" s="104">
        <f>SUM(K23:K24)</f>
        <v>120855336.89369605</v>
      </c>
      <c r="L25" s="61"/>
    </row>
    <row r="26" spans="2:12" ht="12.75">
      <c r="B26" s="102"/>
      <c r="C26" s="61"/>
      <c r="D26" s="101"/>
      <c r="E26" s="61"/>
      <c r="F26" s="61"/>
      <c r="G26" s="61"/>
      <c r="H26" s="61"/>
      <c r="I26" s="61"/>
      <c r="J26" s="61"/>
      <c r="K26" s="62"/>
      <c r="L26" s="61"/>
    </row>
    <row r="27" spans="2:12" ht="12.75">
      <c r="B27" s="124">
        <v>9</v>
      </c>
      <c r="C27" s="53"/>
      <c r="D27" s="101" t="s">
        <v>108</v>
      </c>
      <c r="E27" s="208" t="s">
        <v>3</v>
      </c>
      <c r="F27" s="61"/>
      <c r="G27" s="143">
        <f>'A. Data_Input_Sheet'!D19</f>
        <v>0.15</v>
      </c>
      <c r="H27" s="253"/>
      <c r="I27" s="151"/>
      <c r="J27" s="151"/>
      <c r="K27" s="209">
        <f>IF('A. Data_Input_Sheet'!L19=0,G27,'A. Data_Input_Sheet'!L19)</f>
        <v>0.15</v>
      </c>
      <c r="L27" s="61"/>
    </row>
    <row r="28" spans="2:12" ht="13.5" thickBot="1">
      <c r="B28" s="102"/>
      <c r="C28" s="61"/>
      <c r="D28" s="101"/>
      <c r="E28" s="61"/>
      <c r="F28" s="61"/>
      <c r="G28" s="210"/>
      <c r="H28" s="61"/>
      <c r="I28" s="210"/>
      <c r="J28" s="61"/>
      <c r="K28" s="211"/>
      <c r="L28" s="61"/>
    </row>
    <row r="29" spans="2:12" ht="13.5" thickTop="1">
      <c r="B29" s="124">
        <v>10</v>
      </c>
      <c r="C29" s="53"/>
      <c r="D29" s="200" t="s">
        <v>0</v>
      </c>
      <c r="E29" s="201"/>
      <c r="F29" s="201"/>
      <c r="G29" s="166">
        <f>G25*G27</f>
        <v>18989475.748109434</v>
      </c>
      <c r="H29" s="166"/>
      <c r="I29" s="166">
        <f>K29-G29</f>
        <v>-861175.2140550278</v>
      </c>
      <c r="J29" s="166"/>
      <c r="K29" s="207">
        <f>K25*K27</f>
        <v>18128300.534054406</v>
      </c>
      <c r="L29" s="61"/>
    </row>
    <row r="30" spans="2:12" ht="12.75">
      <c r="B30" s="61"/>
      <c r="C30" s="61"/>
      <c r="D30" s="61"/>
      <c r="E30" s="61"/>
      <c r="F30" s="61"/>
      <c r="G30" s="61"/>
      <c r="H30" s="61"/>
      <c r="I30" s="61"/>
      <c r="J30" s="61"/>
      <c r="K30" s="61"/>
      <c r="L30" s="61"/>
    </row>
    <row r="33" spans="2:11" ht="12.75">
      <c r="B33" s="307" t="s">
        <v>44</v>
      </c>
      <c r="C33" s="307"/>
      <c r="D33" s="307"/>
      <c r="E33" s="307"/>
      <c r="F33" s="307"/>
      <c r="G33" s="307"/>
      <c r="H33" s="307"/>
      <c r="I33" s="307"/>
      <c r="J33" s="307"/>
      <c r="K33" s="307"/>
    </row>
    <row r="34" spans="2:11" ht="12.75">
      <c r="B34" s="212" t="s">
        <v>3</v>
      </c>
      <c r="D34" s="302" t="s">
        <v>73</v>
      </c>
      <c r="E34" s="302"/>
      <c r="F34" s="302"/>
      <c r="G34" s="302"/>
      <c r="H34" s="302"/>
      <c r="I34" s="302"/>
      <c r="J34" s="302"/>
      <c r="K34" s="302"/>
    </row>
    <row r="35" spans="2:11" ht="12.75">
      <c r="B35" s="213" t="s">
        <v>127</v>
      </c>
      <c r="C35" s="49"/>
      <c r="D35" s="268" t="s">
        <v>173</v>
      </c>
      <c r="E35" s="268"/>
      <c r="F35" s="268"/>
      <c r="G35" s="268"/>
      <c r="H35" s="268"/>
      <c r="I35" s="268"/>
      <c r="J35" s="268"/>
      <c r="K35" s="268"/>
    </row>
    <row r="36" spans="2:11" ht="12.75">
      <c r="B36" s="253"/>
      <c r="D36" s="267"/>
      <c r="E36" s="267"/>
      <c r="F36" s="267"/>
      <c r="G36" s="267"/>
      <c r="H36" s="267"/>
      <c r="I36" s="267"/>
      <c r="J36" s="267"/>
      <c r="K36" s="267"/>
    </row>
    <row r="37" spans="2:11" ht="12.75">
      <c r="B37" s="253"/>
      <c r="D37" s="267"/>
      <c r="E37" s="267"/>
      <c r="F37" s="267"/>
      <c r="G37" s="267"/>
      <c r="H37" s="267"/>
      <c r="I37" s="267"/>
      <c r="J37" s="267"/>
      <c r="K37" s="267"/>
    </row>
    <row r="38" spans="2:11" ht="12.75">
      <c r="B38" s="253"/>
      <c r="D38" s="267"/>
      <c r="E38" s="267"/>
      <c r="F38" s="267"/>
      <c r="G38" s="267"/>
      <c r="H38" s="267"/>
      <c r="I38" s="267"/>
      <c r="J38" s="267"/>
      <c r="K38" s="267"/>
    </row>
    <row r="39" spans="2:11" ht="12.75">
      <c r="B39" s="253"/>
      <c r="D39" s="267"/>
      <c r="E39" s="267"/>
      <c r="F39" s="267"/>
      <c r="G39" s="267"/>
      <c r="H39" s="267"/>
      <c r="I39" s="267"/>
      <c r="J39" s="267"/>
      <c r="K39" s="267"/>
    </row>
    <row r="40" spans="2:11" ht="12.75">
      <c r="B40" s="253"/>
      <c r="D40" s="267"/>
      <c r="E40" s="267"/>
      <c r="F40" s="267"/>
      <c r="G40" s="267"/>
      <c r="H40" s="267"/>
      <c r="I40" s="267"/>
      <c r="J40" s="267"/>
      <c r="K40" s="267"/>
    </row>
    <row r="41" spans="2:11" ht="12.75">
      <c r="B41" s="253"/>
      <c r="D41" s="267"/>
      <c r="E41" s="267"/>
      <c r="F41" s="267"/>
      <c r="G41" s="267"/>
      <c r="H41" s="267"/>
      <c r="I41" s="267"/>
      <c r="J41" s="267"/>
      <c r="K41" s="267"/>
    </row>
    <row r="42" spans="2:11" ht="12.75">
      <c r="B42" s="253"/>
      <c r="D42" s="267"/>
      <c r="E42" s="267"/>
      <c r="F42" s="267"/>
      <c r="G42" s="267"/>
      <c r="H42" s="267"/>
      <c r="I42" s="267"/>
      <c r="J42" s="267"/>
      <c r="K42" s="267"/>
    </row>
  </sheetData>
  <sheetProtection password="82A3" sheet="1" objects="1" scenarios="1"/>
  <mergeCells count="20">
    <mergeCell ref="D34:K34"/>
    <mergeCell ref="D35:K35"/>
    <mergeCell ref="D36:K36"/>
    <mergeCell ref="D41:K41"/>
    <mergeCell ref="D42:K42"/>
    <mergeCell ref="D37:K37"/>
    <mergeCell ref="D38:K38"/>
    <mergeCell ref="D39:K39"/>
    <mergeCell ref="D40:K40"/>
    <mergeCell ref="B33:K33"/>
    <mergeCell ref="F8:K8"/>
    <mergeCell ref="G17:G18"/>
    <mergeCell ref="I17:I18"/>
    <mergeCell ref="K17:K18"/>
    <mergeCell ref="D17:D18"/>
    <mergeCell ref="D21:K21"/>
    <mergeCell ref="C3:G3"/>
    <mergeCell ref="C4:G4"/>
    <mergeCell ref="C1:I1"/>
    <mergeCell ref="C2:K2"/>
  </mergeCells>
  <printOptions/>
  <pageMargins left="0.75" right="0.75" top="0.57" bottom="1" header="0.34" footer="0.5"/>
  <pageSetup fitToHeight="1" fitToWidth="1" horizontalDpi="600" verticalDpi="600" orientation="portrait" scale="91"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N55"/>
  <sheetViews>
    <sheetView showGridLines="0" zoomScalePageLayoutView="0" workbookViewId="0" topLeftCell="A31">
      <selection activeCell="D33" sqref="D33"/>
    </sheetView>
  </sheetViews>
  <sheetFormatPr defaultColWidth="9.140625" defaultRowHeight="12.75"/>
  <cols>
    <col min="1" max="1" width="2.140625" style="13" customWidth="1"/>
    <col min="2" max="2" width="5.7109375" style="13" customWidth="1"/>
    <col min="3" max="3" width="2.28125" style="13" customWidth="1"/>
    <col min="4" max="4" width="36.421875" style="13" customWidth="1"/>
    <col min="5" max="5" width="3.00390625" style="13" customWidth="1"/>
    <col min="6" max="6" width="15.7109375" style="13" customWidth="1"/>
    <col min="7" max="7" width="2.8515625" style="13" customWidth="1"/>
    <col min="8" max="8" width="15.7109375" style="13" customWidth="1"/>
    <col min="9" max="9" width="3.00390625" style="13" customWidth="1"/>
    <col min="10" max="10" width="15.7109375" style="13" customWidth="1"/>
    <col min="11" max="11" width="3.28125" style="13" customWidth="1"/>
    <col min="12" max="12" width="11.7109375" style="13" bestFit="1" customWidth="1"/>
    <col min="13" max="16384" width="9.140625" style="13" customWidth="1"/>
  </cols>
  <sheetData>
    <row r="1" spans="3:9" s="2" customFormat="1" ht="20.25" customHeight="1">
      <c r="C1" s="290" t="s">
        <v>180</v>
      </c>
      <c r="D1" s="290"/>
      <c r="E1" s="290"/>
      <c r="F1" s="290"/>
      <c r="G1" s="290"/>
      <c r="H1" s="290"/>
      <c r="I1" s="290"/>
    </row>
    <row r="2" spans="3:10" s="2" customFormat="1" ht="18">
      <c r="C2" s="289" t="str">
        <f>"Name of LDC:    "&amp;IF(ISBLANK('Table of Contents'!D2),"",'Table of Contents'!D2)</f>
        <v>Name of LDC:    Cambridge and North Dumfries Hydro Inc.</v>
      </c>
      <c r="D2" s="289"/>
      <c r="E2" s="289"/>
      <c r="F2" s="289"/>
      <c r="G2" s="289"/>
      <c r="H2" s="289"/>
      <c r="I2" s="289"/>
      <c r="J2" s="289"/>
    </row>
    <row r="3" spans="3:9" s="2" customFormat="1" ht="18">
      <c r="C3" s="289" t="str">
        <f>"File Number:      "&amp;IF(ISBLANK('Table of Contents'!D4),"",'Table of Contents'!D4)</f>
        <v>File Number:      EB- 2009 - 0260</v>
      </c>
      <c r="D3" s="289"/>
      <c r="E3" s="289"/>
      <c r="F3" s="289"/>
      <c r="G3" s="289"/>
      <c r="H3" s="60"/>
      <c r="I3" s="60"/>
    </row>
    <row r="4" spans="3:9" s="2" customFormat="1" ht="18">
      <c r="C4" s="289" t="str">
        <f>"Rate Year:          "&amp;IF(ISBLANK('Table of Contents'!D6),"",'Table of Contents'!D6)</f>
        <v>Rate Year:          2010</v>
      </c>
      <c r="D4" s="289"/>
      <c r="E4" s="289"/>
      <c r="F4" s="289"/>
      <c r="G4" s="289"/>
      <c r="H4" s="60"/>
      <c r="I4" s="60"/>
    </row>
    <row r="5" spans="5:6" s="2" customFormat="1" ht="15.75">
      <c r="E5" s="5"/>
      <c r="F5" s="5"/>
    </row>
    <row r="6" s="2" customFormat="1" ht="12.75"/>
    <row r="7" ht="4.5" customHeight="1"/>
    <row r="8" spans="4:11" ht="15.75">
      <c r="D8" s="186"/>
      <c r="E8" s="274" t="s">
        <v>41</v>
      </c>
      <c r="F8" s="274"/>
      <c r="G8" s="274"/>
      <c r="H8" s="274"/>
      <c r="I8" s="274"/>
      <c r="J8" s="274"/>
      <c r="K8" s="274"/>
    </row>
    <row r="10" spans="2:10" ht="30.75" customHeight="1">
      <c r="B10" s="75" t="s">
        <v>43</v>
      </c>
      <c r="D10" s="76" t="s">
        <v>51</v>
      </c>
      <c r="E10" s="187"/>
      <c r="F10" s="35" t="s">
        <v>26</v>
      </c>
      <c r="H10" s="36" t="s">
        <v>126</v>
      </c>
      <c r="J10" s="36" t="str">
        <f>'A. Data_Input_Sheet'!L10</f>
        <v>Per Board Decision</v>
      </c>
    </row>
    <row r="12" ht="12.75">
      <c r="D12" s="50" t="s">
        <v>27</v>
      </c>
    </row>
    <row r="13" spans="2:10" ht="12.75">
      <c r="B13" s="12">
        <v>1</v>
      </c>
      <c r="D13" s="13" t="s">
        <v>166</v>
      </c>
      <c r="E13" s="188"/>
      <c r="F13" s="52">
        <f>'A. Data_Input_Sheet'!D24</f>
        <v>23345924.299689494</v>
      </c>
      <c r="G13" s="253"/>
      <c r="H13" s="52">
        <f>J13-F13</f>
        <v>-144858.06736322865</v>
      </c>
      <c r="I13" s="253"/>
      <c r="J13" s="52">
        <f>IF(ISBLANK('A. Data_Input_Sheet'!L24),'2.Utility Income'!F13,'A. Data_Input_Sheet'!L24)</f>
        <v>23201066.232326265</v>
      </c>
    </row>
    <row r="14" spans="2:10" ht="12.75">
      <c r="B14" s="12">
        <v>2</v>
      </c>
      <c r="D14" s="13" t="s">
        <v>89</v>
      </c>
      <c r="E14" s="39" t="s">
        <v>2</v>
      </c>
      <c r="F14" s="166">
        <f>F45</f>
        <v>1613010</v>
      </c>
      <c r="G14" s="253"/>
      <c r="H14" s="166">
        <f>J14-F14</f>
        <v>-122600</v>
      </c>
      <c r="I14" s="253"/>
      <c r="J14" s="166">
        <f>J45</f>
        <v>1490410</v>
      </c>
    </row>
    <row r="15" spans="2:10" ht="12.75">
      <c r="B15" s="12"/>
      <c r="F15" s="271">
        <f>SUM(F13:F14)</f>
        <v>24958934.299689494</v>
      </c>
      <c r="G15" s="189"/>
      <c r="H15" s="271">
        <f>SUM(H13:H14)</f>
        <v>-267458.06736322865</v>
      </c>
      <c r="I15" s="189"/>
      <c r="J15" s="271">
        <f>SUM(J13:J14)</f>
        <v>24691476.232326265</v>
      </c>
    </row>
    <row r="16" spans="2:12" ht="12.75">
      <c r="B16" s="12">
        <v>3</v>
      </c>
      <c r="D16" s="13" t="s">
        <v>149</v>
      </c>
      <c r="F16" s="264"/>
      <c r="G16" s="189"/>
      <c r="H16" s="264"/>
      <c r="I16" s="189"/>
      <c r="J16" s="264"/>
      <c r="L16" s="44"/>
    </row>
    <row r="17" spans="2:10" ht="12.75">
      <c r="B17" s="12"/>
      <c r="F17" s="80"/>
      <c r="G17" s="189"/>
      <c r="H17" s="80"/>
      <c r="I17" s="189"/>
      <c r="J17" s="80"/>
    </row>
    <row r="18" spans="2:10" ht="12.75">
      <c r="B18" s="12"/>
      <c r="D18" s="50" t="s">
        <v>28</v>
      </c>
      <c r="F18" s="80"/>
      <c r="G18" s="189"/>
      <c r="H18" s="80"/>
      <c r="I18" s="189"/>
      <c r="J18" s="80"/>
    </row>
    <row r="19" spans="2:10" ht="12.75">
      <c r="B19" s="12">
        <v>4</v>
      </c>
      <c r="D19" s="13" t="s">
        <v>45</v>
      </c>
      <c r="F19" s="52">
        <f>'A. Data_Input_Sheet'!D32</f>
        <v>10658608</v>
      </c>
      <c r="G19" s="253"/>
      <c r="H19" s="52">
        <f>'A. Data_Input_Sheet'!H32</f>
        <v>-626500</v>
      </c>
      <c r="I19" s="253"/>
      <c r="J19" s="52">
        <f>F19+H19</f>
        <v>10032108</v>
      </c>
    </row>
    <row r="20" spans="2:10" ht="12.75">
      <c r="B20" s="12">
        <v>5</v>
      </c>
      <c r="D20" s="13" t="s">
        <v>29</v>
      </c>
      <c r="F20" s="52">
        <f>'A. Data_Input_Sheet'!D33</f>
        <v>6490738</v>
      </c>
      <c r="G20" s="253"/>
      <c r="H20" s="52">
        <f>'A. Data_Input_Sheet'!H33</f>
        <v>-105752.99999999907</v>
      </c>
      <c r="I20" s="253"/>
      <c r="J20" s="52">
        <f>F20+H20</f>
        <v>6384985.000000001</v>
      </c>
    </row>
    <row r="21" spans="2:14" ht="12.75">
      <c r="B21" s="84">
        <v>6</v>
      </c>
      <c r="C21" s="34"/>
      <c r="D21" s="34" t="s">
        <v>54</v>
      </c>
      <c r="E21" s="34"/>
      <c r="F21" s="190">
        <f>'A. Data_Input_Sheet'!D34</f>
        <v>0</v>
      </c>
      <c r="G21" s="253"/>
      <c r="H21" s="190">
        <f>'A. Data_Input_Sheet'!H34</f>
        <v>0</v>
      </c>
      <c r="I21" s="253"/>
      <c r="J21" s="190">
        <f>F21+H21</f>
        <v>0</v>
      </c>
      <c r="K21" s="34"/>
      <c r="L21" s="34"/>
      <c r="M21" s="34"/>
      <c r="N21" s="34"/>
    </row>
    <row r="22" spans="2:14" ht="12.75">
      <c r="B22" s="84">
        <v>7</v>
      </c>
      <c r="C22" s="34"/>
      <c r="D22" s="34" t="s">
        <v>53</v>
      </c>
      <c r="E22" s="34"/>
      <c r="F22" s="82">
        <f>'3.Taxes_PILs'!G23</f>
        <v>79591</v>
      </c>
      <c r="G22" s="253"/>
      <c r="H22" s="82">
        <f>J22-F22</f>
        <v>-12009.703160541278</v>
      </c>
      <c r="I22" s="253"/>
      <c r="J22" s="82">
        <f>'3.Taxes_PILs'!I23</f>
        <v>67581.29683945872</v>
      </c>
      <c r="K22" s="34"/>
      <c r="L22" s="34"/>
      <c r="M22" s="34"/>
      <c r="N22" s="34"/>
    </row>
    <row r="23" spans="2:10" ht="12.75">
      <c r="B23" s="12">
        <v>8</v>
      </c>
      <c r="D23" s="13" t="s">
        <v>121</v>
      </c>
      <c r="F23" s="166">
        <f>'A. Data_Input_Sheet'!D36</f>
        <v>0</v>
      </c>
      <c r="G23" s="253"/>
      <c r="H23" s="166">
        <f>'A. Data_Input_Sheet'!H36</f>
        <v>0</v>
      </c>
      <c r="I23" s="253"/>
      <c r="J23" s="166">
        <f>F23+H23</f>
        <v>0</v>
      </c>
    </row>
    <row r="24" spans="2:10" ht="12.75">
      <c r="B24" s="12"/>
      <c r="D24" s="48"/>
      <c r="F24" s="275">
        <f>SUM(F19:F23)</f>
        <v>17228937</v>
      </c>
      <c r="G24" s="189"/>
      <c r="H24" s="275">
        <f>SUM(H19:H23)</f>
        <v>-744262.7031605403</v>
      </c>
      <c r="I24" s="189"/>
      <c r="J24" s="275">
        <f>SUM(J19:J23)</f>
        <v>16484674.296839459</v>
      </c>
    </row>
    <row r="25" spans="2:10" ht="12.75">
      <c r="B25" s="12">
        <v>9</v>
      </c>
      <c r="D25" s="191" t="s">
        <v>31</v>
      </c>
      <c r="F25" s="269"/>
      <c r="G25" s="189"/>
      <c r="H25" s="269"/>
      <c r="I25" s="189"/>
      <c r="J25" s="269"/>
    </row>
    <row r="26" spans="2:10" ht="12.75">
      <c r="B26" s="12"/>
      <c r="F26" s="83"/>
      <c r="G26" s="189"/>
      <c r="H26" s="83"/>
      <c r="I26" s="189"/>
      <c r="J26" s="83"/>
    </row>
    <row r="27" spans="2:10" ht="12.75">
      <c r="B27" s="12">
        <v>10</v>
      </c>
      <c r="D27" s="48" t="s">
        <v>122</v>
      </c>
      <c r="F27" s="91">
        <f>'4.Cost_of_Capital'!L18</f>
        <v>3147669.85476516</v>
      </c>
      <c r="G27" s="189"/>
      <c r="H27" s="91">
        <f>J27-F27</f>
        <v>-121725.28272250295</v>
      </c>
      <c r="I27" s="189"/>
      <c r="J27" s="91">
        <f>'4.Cost_of_Capital'!L33</f>
        <v>3025944.572042657</v>
      </c>
    </row>
    <row r="28" spans="2:10" ht="12.75">
      <c r="B28" s="12"/>
      <c r="F28" s="83"/>
      <c r="G28" s="189"/>
      <c r="H28" s="83"/>
      <c r="I28" s="189"/>
      <c r="J28" s="83"/>
    </row>
    <row r="29" spans="2:10" ht="12.75">
      <c r="B29" s="12">
        <v>11</v>
      </c>
      <c r="D29" s="191" t="s">
        <v>124</v>
      </c>
      <c r="F29" s="83">
        <f>F24+F27</f>
        <v>20376606.854765162</v>
      </c>
      <c r="G29" s="189"/>
      <c r="H29" s="83">
        <f>H27+H24</f>
        <v>-865987.9858830433</v>
      </c>
      <c r="I29" s="189"/>
      <c r="J29" s="83">
        <f>J24+J27</f>
        <v>19510618.868882116</v>
      </c>
    </row>
    <row r="30" spans="2:10" ht="12.75">
      <c r="B30" s="12"/>
      <c r="F30" s="271">
        <f>F15-F29</f>
        <v>4582327.444924332</v>
      </c>
      <c r="G30" s="189"/>
      <c r="H30" s="271">
        <f>H15-H29</f>
        <v>598529.9185198146</v>
      </c>
      <c r="I30" s="189"/>
      <c r="J30" s="271">
        <f>J15-J29</f>
        <v>5180857.3634441495</v>
      </c>
    </row>
    <row r="31" spans="2:12" ht="13.5" thickBot="1">
      <c r="B31" s="12">
        <v>12</v>
      </c>
      <c r="D31" s="37" t="s">
        <v>125</v>
      </c>
      <c r="E31" s="188"/>
      <c r="F31" s="272"/>
      <c r="G31" s="193"/>
      <c r="H31" s="272"/>
      <c r="I31" s="194"/>
      <c r="J31" s="272"/>
      <c r="L31" s="44"/>
    </row>
    <row r="32" spans="2:10" ht="13.5" thickTop="1">
      <c r="B32" s="12"/>
      <c r="F32" s="308">
        <f>'3.Taxes_PILs'!G29</f>
        <v>1182221.7391304348</v>
      </c>
      <c r="G32" s="189"/>
      <c r="H32" s="308">
        <f>J32-F32</f>
        <v>-142635.18221227336</v>
      </c>
      <c r="I32" s="189"/>
      <c r="J32" s="308">
        <f>IF('3.Taxes_PILs'!I29=0,F32,'3.Taxes_PILs'!I29)</f>
        <v>1039586.5569181615</v>
      </c>
    </row>
    <row r="33" spans="2:10" ht="12.75">
      <c r="B33" s="12">
        <v>13</v>
      </c>
      <c r="D33" s="48" t="s">
        <v>138</v>
      </c>
      <c r="F33" s="309"/>
      <c r="G33" s="189"/>
      <c r="H33" s="309"/>
      <c r="I33" s="189"/>
      <c r="J33" s="309"/>
    </row>
    <row r="34" spans="2:10" ht="12.75">
      <c r="B34" s="12"/>
      <c r="F34" s="273">
        <f>F30-F32</f>
        <v>3400105.7057938976</v>
      </c>
      <c r="G34" s="189"/>
      <c r="H34" s="273">
        <f>SUM(H30-H32)</f>
        <v>741165.100732088</v>
      </c>
      <c r="I34" s="189"/>
      <c r="J34" s="273">
        <f>J30-J32</f>
        <v>4141270.806525988</v>
      </c>
    </row>
    <row r="35" spans="2:10" ht="13.5" thickBot="1">
      <c r="B35" s="12">
        <v>14</v>
      </c>
      <c r="D35" s="37" t="s">
        <v>135</v>
      </c>
      <c r="F35" s="258"/>
      <c r="G35" s="193"/>
      <c r="H35" s="258"/>
      <c r="I35" s="193"/>
      <c r="J35" s="258"/>
    </row>
    <row r="36" ht="13.5" thickTop="1"/>
    <row r="37" ht="7.5" customHeight="1"/>
    <row r="38" spans="2:10" ht="12.75">
      <c r="B38" s="263" t="s">
        <v>44</v>
      </c>
      <c r="C38" s="263"/>
      <c r="D38" s="263"/>
      <c r="E38" s="263"/>
      <c r="F38" s="263"/>
      <c r="G38" s="263"/>
      <c r="H38" s="263"/>
      <c r="I38" s="263"/>
      <c r="J38" s="263"/>
    </row>
    <row r="39" ht="7.5" customHeight="1"/>
    <row r="40" spans="2:10" ht="12.75">
      <c r="B40" s="39" t="s">
        <v>2</v>
      </c>
      <c r="D40" s="195" t="s">
        <v>76</v>
      </c>
      <c r="E40" s="96"/>
      <c r="F40" s="96"/>
      <c r="G40" s="96"/>
      <c r="H40" s="96"/>
      <c r="I40" s="96"/>
      <c r="J40" s="196"/>
    </row>
    <row r="41" spans="4:10" ht="12.75">
      <c r="D41" s="197" t="s">
        <v>77</v>
      </c>
      <c r="E41" s="61"/>
      <c r="F41" s="164">
        <f>'A. Data_Input_Sheet'!D26</f>
        <v>540140</v>
      </c>
      <c r="G41" s="253"/>
      <c r="H41" s="61"/>
      <c r="I41" s="61"/>
      <c r="J41" s="198">
        <f>IF(ISBLANK('A. Data_Input_Sheet'!L26),F41,'A. Data_Input_Sheet'!L26)</f>
        <v>540140</v>
      </c>
    </row>
    <row r="42" spans="4:10" ht="12.75">
      <c r="D42" s="197" t="s">
        <v>78</v>
      </c>
      <c r="E42" s="61"/>
      <c r="F42" s="164">
        <f>'A. Data_Input_Sheet'!D27</f>
        <v>349055</v>
      </c>
      <c r="G42" s="253"/>
      <c r="H42" s="61"/>
      <c r="I42" s="61"/>
      <c r="J42" s="198">
        <f>IF(ISBLANK('A. Data_Input_Sheet'!L27),F42,'A. Data_Input_Sheet'!L27)</f>
        <v>349055</v>
      </c>
    </row>
    <row r="43" spans="4:10" ht="12.75">
      <c r="D43" s="197" t="s">
        <v>79</v>
      </c>
      <c r="E43" s="61"/>
      <c r="F43" s="164">
        <f>'A. Data_Input_Sheet'!D28</f>
        <v>217080</v>
      </c>
      <c r="G43" s="253"/>
      <c r="H43" s="61"/>
      <c r="I43" s="61"/>
      <c r="J43" s="198">
        <f>IF(ISBLANK('A. Data_Input_Sheet'!L28),F43,'A. Data_Input_Sheet'!L28)</f>
        <v>278480</v>
      </c>
    </row>
    <row r="44" spans="4:10" ht="12.75">
      <c r="D44" s="197" t="s">
        <v>80</v>
      </c>
      <c r="E44" s="61"/>
      <c r="F44" s="164">
        <f>'A. Data_Input_Sheet'!D29</f>
        <v>506735</v>
      </c>
      <c r="G44" s="253"/>
      <c r="H44" s="61"/>
      <c r="I44" s="61"/>
      <c r="J44" s="198">
        <f>IF(ISBLANK('A. Data_Input_Sheet'!L29),F44,'A. Data_Input_Sheet'!L29)</f>
        <v>322735</v>
      </c>
    </row>
    <row r="45" spans="4:10" ht="12.75">
      <c r="D45" s="197"/>
      <c r="E45" s="61"/>
      <c r="F45" s="259">
        <f>SUM(F41:F44)</f>
        <v>1613010</v>
      </c>
      <c r="G45" s="61"/>
      <c r="H45" s="61"/>
      <c r="I45" s="61"/>
      <c r="J45" s="261">
        <f>SUM(J41:J44)</f>
        <v>1490410</v>
      </c>
    </row>
    <row r="46" spans="4:10" ht="13.5" thickBot="1">
      <c r="D46" s="199" t="s">
        <v>81</v>
      </c>
      <c r="E46" s="61"/>
      <c r="F46" s="260"/>
      <c r="G46" s="61"/>
      <c r="H46" s="61"/>
      <c r="I46" s="61"/>
      <c r="J46" s="262"/>
    </row>
    <row r="47" spans="4:10" ht="13.5" thickTop="1">
      <c r="D47" s="200"/>
      <c r="E47" s="201"/>
      <c r="F47" s="201"/>
      <c r="G47" s="201"/>
      <c r="H47" s="201"/>
      <c r="I47" s="201"/>
      <c r="J47" s="70"/>
    </row>
    <row r="48" spans="2:10" ht="12.75">
      <c r="B48" s="253"/>
      <c r="D48" s="270"/>
      <c r="E48" s="270"/>
      <c r="F48" s="270"/>
      <c r="G48" s="270"/>
      <c r="H48" s="270"/>
      <c r="I48" s="270"/>
      <c r="J48" s="270"/>
    </row>
    <row r="49" spans="2:10" ht="12.75">
      <c r="B49" s="253"/>
      <c r="D49" s="270"/>
      <c r="E49" s="270"/>
      <c r="F49" s="270"/>
      <c r="G49" s="270"/>
      <c r="H49" s="270"/>
      <c r="I49" s="270"/>
      <c r="J49" s="270"/>
    </row>
    <row r="50" spans="2:10" ht="12.75">
      <c r="B50" s="253"/>
      <c r="D50" s="270"/>
      <c r="E50" s="270"/>
      <c r="F50" s="270"/>
      <c r="G50" s="270"/>
      <c r="H50" s="270"/>
      <c r="I50" s="270"/>
      <c r="J50" s="270"/>
    </row>
    <row r="51" spans="2:10" ht="12.75">
      <c r="B51" s="253"/>
      <c r="D51" s="270"/>
      <c r="E51" s="270"/>
      <c r="F51" s="270"/>
      <c r="G51" s="270"/>
      <c r="H51" s="270"/>
      <c r="I51" s="270"/>
      <c r="J51" s="270"/>
    </row>
    <row r="52" spans="2:10" ht="12.75">
      <c r="B52" s="253"/>
      <c r="D52" s="270"/>
      <c r="E52" s="270"/>
      <c r="F52" s="270"/>
      <c r="G52" s="270"/>
      <c r="H52" s="270"/>
      <c r="I52" s="270"/>
      <c r="J52" s="270"/>
    </row>
    <row r="53" spans="2:10" ht="12.75">
      <c r="B53" s="253"/>
      <c r="D53" s="270"/>
      <c r="E53" s="270"/>
      <c r="F53" s="270"/>
      <c r="G53" s="270"/>
      <c r="H53" s="270"/>
      <c r="I53" s="270"/>
      <c r="J53" s="270"/>
    </row>
    <row r="54" spans="2:10" ht="12.75">
      <c r="B54" s="253"/>
      <c r="D54" s="270"/>
      <c r="E54" s="270"/>
      <c r="F54" s="270"/>
      <c r="G54" s="270"/>
      <c r="H54" s="270"/>
      <c r="I54" s="270"/>
      <c r="J54" s="270"/>
    </row>
    <row r="55" spans="2:10" ht="12.75">
      <c r="B55" s="253"/>
      <c r="D55" s="270"/>
      <c r="E55" s="270"/>
      <c r="F55" s="270"/>
      <c r="G55" s="270"/>
      <c r="H55" s="270"/>
      <c r="I55" s="270"/>
      <c r="J55" s="270"/>
    </row>
  </sheetData>
  <sheetProtection password="82A3" sheet="1" objects="1" scenarios="1"/>
  <mergeCells count="31">
    <mergeCell ref="E8:K8"/>
    <mergeCell ref="B38:J38"/>
    <mergeCell ref="F15:F16"/>
    <mergeCell ref="H15:H16"/>
    <mergeCell ref="J15:J16"/>
    <mergeCell ref="F30:F31"/>
    <mergeCell ref="H32:H33"/>
    <mergeCell ref="J32:J33"/>
    <mergeCell ref="F32:F33"/>
    <mergeCell ref="J24:J25"/>
    <mergeCell ref="H34:H35"/>
    <mergeCell ref="J34:J35"/>
    <mergeCell ref="F34:F35"/>
    <mergeCell ref="D50:J50"/>
    <mergeCell ref="D49:J49"/>
    <mergeCell ref="F45:F46"/>
    <mergeCell ref="J45:J46"/>
    <mergeCell ref="C1:I1"/>
    <mergeCell ref="C3:G3"/>
    <mergeCell ref="C4:G4"/>
    <mergeCell ref="C2:J2"/>
    <mergeCell ref="F24:F25"/>
    <mergeCell ref="H24:H25"/>
    <mergeCell ref="D55:J55"/>
    <mergeCell ref="D51:J51"/>
    <mergeCell ref="D52:J52"/>
    <mergeCell ref="D53:J53"/>
    <mergeCell ref="D54:J54"/>
    <mergeCell ref="D48:J48"/>
    <mergeCell ref="H30:H31"/>
    <mergeCell ref="J30:J31"/>
  </mergeCells>
  <printOptions/>
  <pageMargins left="0.75" right="0.75" top="0.47" bottom="1" header="0.31" footer="0.5"/>
  <pageSetup fitToHeight="1" fitToWidth="1" horizontalDpi="600" verticalDpi="600" orientation="portrait" scale="86"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N48"/>
  <sheetViews>
    <sheetView showGridLines="0" zoomScalePageLayoutView="0" workbookViewId="0" topLeftCell="A20">
      <selection activeCell="D33" sqref="D33"/>
    </sheetView>
  </sheetViews>
  <sheetFormatPr defaultColWidth="9.140625" defaultRowHeight="12.75"/>
  <cols>
    <col min="1" max="1" width="1.7109375" style="13" customWidth="1"/>
    <col min="2" max="2" width="5.8515625" style="13" customWidth="1"/>
    <col min="3" max="3" width="2.7109375" style="13" customWidth="1"/>
    <col min="4" max="4" width="22.28125" style="13" customWidth="1"/>
    <col min="5" max="5" width="23.7109375" style="13" customWidth="1"/>
    <col min="6" max="6" width="2.28125" style="13" customWidth="1"/>
    <col min="7" max="7" width="15.57421875" style="13" customWidth="1"/>
    <col min="8" max="8" width="2.28125" style="13" customWidth="1"/>
    <col min="9" max="9" width="15.57421875" style="13" customWidth="1"/>
    <col min="10" max="10" width="2.7109375" style="13" customWidth="1"/>
    <col min="11" max="16384" width="9.140625" style="13" customWidth="1"/>
  </cols>
  <sheetData>
    <row r="1" spans="3:9" s="2" customFormat="1" ht="20.25" customHeight="1">
      <c r="C1" s="290" t="s">
        <v>180</v>
      </c>
      <c r="D1" s="290"/>
      <c r="E1" s="290"/>
      <c r="F1" s="290"/>
      <c r="G1" s="290"/>
      <c r="H1" s="290"/>
      <c r="I1" s="290"/>
    </row>
    <row r="2" spans="3:9" s="2" customFormat="1" ht="18">
      <c r="C2" s="289" t="str">
        <f>"Name of LDC:    "&amp;IF(ISBLANK('Table of Contents'!D2),"",'Table of Contents'!D2)</f>
        <v>Name of LDC:    Cambridge and North Dumfries Hydro Inc.</v>
      </c>
      <c r="D2" s="289"/>
      <c r="E2" s="289"/>
      <c r="F2" s="289"/>
      <c r="G2" s="289"/>
      <c r="H2" s="289"/>
      <c r="I2" s="289"/>
    </row>
    <row r="3" spans="3:9" s="2" customFormat="1" ht="18">
      <c r="C3" s="289" t="str">
        <f>"File Number:      "&amp;IF(ISBLANK('Table of Contents'!D4),"",'Table of Contents'!D4)</f>
        <v>File Number:      EB- 2009 - 0260</v>
      </c>
      <c r="D3" s="289"/>
      <c r="E3" s="289"/>
      <c r="F3" s="289"/>
      <c r="G3" s="289"/>
      <c r="H3" s="60"/>
      <c r="I3" s="60"/>
    </row>
    <row r="4" spans="3:9" s="2" customFormat="1" ht="18">
      <c r="C4" s="289" t="str">
        <f>"Rate Year:          "&amp;IF(ISBLANK('Table of Contents'!D6),"",'Table of Contents'!D6)</f>
        <v>Rate Year:          2010</v>
      </c>
      <c r="D4" s="289"/>
      <c r="E4" s="289"/>
      <c r="F4" s="289"/>
      <c r="G4" s="289"/>
      <c r="H4" s="60"/>
      <c r="I4" s="60"/>
    </row>
    <row r="5" spans="3:9" s="2" customFormat="1" ht="15.75">
      <c r="C5" s="60"/>
      <c r="D5" s="60"/>
      <c r="E5" s="161"/>
      <c r="F5" s="161"/>
      <c r="G5" s="60"/>
      <c r="H5" s="60"/>
      <c r="I5" s="60"/>
    </row>
    <row r="6" s="2" customFormat="1" ht="12.75"/>
    <row r="7" ht="4.5" customHeight="1"/>
    <row r="8" spans="4:9" ht="15.75">
      <c r="D8" s="274" t="s">
        <v>6</v>
      </c>
      <c r="E8" s="274"/>
      <c r="F8" s="274"/>
      <c r="G8" s="274"/>
      <c r="H8" s="274"/>
      <c r="I8" s="274"/>
    </row>
    <row r="10" spans="2:9" ht="25.5">
      <c r="B10" s="75" t="s">
        <v>43</v>
      </c>
      <c r="D10" s="76" t="s">
        <v>83</v>
      </c>
      <c r="E10" s="78"/>
      <c r="F10" s="78"/>
      <c r="G10" s="35" t="s">
        <v>4</v>
      </c>
      <c r="H10" s="78"/>
      <c r="I10" s="36" t="str">
        <f>'A. Data_Input_Sheet'!L10</f>
        <v>Per Board Decision</v>
      </c>
    </row>
    <row r="11" spans="6:8" ht="12.75">
      <c r="F11" s="61"/>
      <c r="H11" s="61"/>
    </row>
    <row r="12" spans="4:9" ht="12.75">
      <c r="D12" s="45" t="s">
        <v>32</v>
      </c>
      <c r="E12" s="162"/>
      <c r="F12" s="163"/>
      <c r="G12" s="162"/>
      <c r="H12" s="163"/>
      <c r="I12" s="162"/>
    </row>
    <row r="13" spans="6:8" ht="12.75">
      <c r="F13" s="61"/>
      <c r="H13" s="61"/>
    </row>
    <row r="14" spans="2:9" ht="12.75">
      <c r="B14" s="12">
        <v>1</v>
      </c>
      <c r="D14" s="298" t="s">
        <v>135</v>
      </c>
      <c r="E14" s="298"/>
      <c r="F14" s="61"/>
      <c r="G14" s="164">
        <f>'4.Cost_of_Capital'!L21</f>
        <v>3400106.2448118352</v>
      </c>
      <c r="H14" s="165"/>
      <c r="I14" s="164">
        <f>'4.Cost_of_Capital'!L36</f>
        <v>4141270.7767771035</v>
      </c>
    </row>
    <row r="15" spans="2:9" ht="12.75">
      <c r="B15" s="12"/>
      <c r="F15" s="61"/>
      <c r="G15" s="88"/>
      <c r="H15" s="165"/>
      <c r="I15" s="88"/>
    </row>
    <row r="16" spans="2:10" ht="12.75">
      <c r="B16" s="12">
        <v>2</v>
      </c>
      <c r="D16" s="298" t="s">
        <v>33</v>
      </c>
      <c r="E16" s="298"/>
      <c r="F16" s="61"/>
      <c r="G16" s="166">
        <f>'A. Data_Input_Sheet'!D40</f>
        <v>-768709.5482000001</v>
      </c>
      <c r="H16" s="253"/>
      <c r="I16" s="166">
        <f>IF(ISBLANK('A. Data_Input_Sheet'!L40),G16,'A. Data_Input_Sheet'!L40)</f>
        <v>-1636468.4576000012</v>
      </c>
      <c r="J16" s="253"/>
    </row>
    <row r="17" spans="2:9" ht="12.75">
      <c r="B17" s="12"/>
      <c r="F17" s="61"/>
      <c r="G17" s="88"/>
      <c r="H17" s="165"/>
      <c r="I17" s="88"/>
    </row>
    <row r="18" spans="2:9" ht="13.5" thickBot="1">
      <c r="B18" s="12">
        <v>3</v>
      </c>
      <c r="D18" s="298" t="s">
        <v>34</v>
      </c>
      <c r="E18" s="298"/>
      <c r="F18" s="61"/>
      <c r="G18" s="167">
        <f>G14+G16</f>
        <v>2631396.696611835</v>
      </c>
      <c r="H18" s="165"/>
      <c r="I18" s="167">
        <f>I14+I16</f>
        <v>2504802.3191771023</v>
      </c>
    </row>
    <row r="19" spans="2:9" ht="13.5" thickTop="1">
      <c r="B19" s="12"/>
      <c r="F19" s="61"/>
      <c r="G19" s="88"/>
      <c r="H19" s="165"/>
      <c r="I19" s="88"/>
    </row>
    <row r="20" spans="2:9" ht="12.75">
      <c r="B20" s="12"/>
      <c r="D20" s="50" t="s">
        <v>35</v>
      </c>
      <c r="E20" s="168"/>
      <c r="F20" s="169"/>
      <c r="G20" s="170"/>
      <c r="H20" s="171"/>
      <c r="I20" s="170"/>
    </row>
    <row r="21" spans="2:14" ht="12.75">
      <c r="B21" s="84"/>
      <c r="C21" s="34"/>
      <c r="D21" s="34"/>
      <c r="E21" s="34"/>
      <c r="F21" s="152"/>
      <c r="G21" s="172"/>
      <c r="H21" s="173"/>
      <c r="I21" s="172"/>
      <c r="J21" s="34"/>
      <c r="K21" s="34"/>
      <c r="L21" s="34"/>
      <c r="M21" s="34"/>
      <c r="N21" s="34"/>
    </row>
    <row r="22" spans="2:14" ht="12.75">
      <c r="B22" s="84">
        <v>4</v>
      </c>
      <c r="C22" s="34"/>
      <c r="D22" s="34" t="s">
        <v>30</v>
      </c>
      <c r="E22" s="34"/>
      <c r="F22" s="152"/>
      <c r="G22" s="174">
        <f>'A. Data_Input_Sheet'!D42</f>
        <v>815733</v>
      </c>
      <c r="H22" s="253"/>
      <c r="I22" s="174">
        <f>IF(ISBLANK('A. Data_Input_Sheet'!L42),'3.Taxes_PILs'!G22,'A. Data_Input_Sheet'!L42)</f>
        <v>734670.7472075925</v>
      </c>
      <c r="J22" s="253"/>
      <c r="K22" s="34"/>
      <c r="L22" s="34"/>
      <c r="M22" s="34"/>
      <c r="N22" s="34"/>
    </row>
    <row r="23" spans="2:10" ht="12.75">
      <c r="B23" s="12">
        <v>5</v>
      </c>
      <c r="D23" s="13" t="s">
        <v>53</v>
      </c>
      <c r="F23" s="61"/>
      <c r="G23" s="166">
        <f>'A. Data_Input_Sheet'!D44</f>
        <v>79591</v>
      </c>
      <c r="H23" s="253"/>
      <c r="I23" s="166">
        <f>IF(ISBLANK('A. Data_Input_Sheet'!L44),'3.Taxes_PILs'!G23,'A. Data_Input_Sheet'!L44)</f>
        <v>67581.29683945872</v>
      </c>
      <c r="J23" s="253"/>
    </row>
    <row r="24" spans="2:9" ht="12.75">
      <c r="B24" s="12"/>
      <c r="F24" s="61"/>
      <c r="G24" s="275">
        <f>SUM(G22:G23)</f>
        <v>895324</v>
      </c>
      <c r="H24" s="175"/>
      <c r="I24" s="275">
        <f>SUM(I22:I23)</f>
        <v>802252.0440470512</v>
      </c>
    </row>
    <row r="25" spans="2:9" ht="13.5" thickBot="1">
      <c r="B25" s="12">
        <v>6</v>
      </c>
      <c r="D25" s="13" t="s">
        <v>36</v>
      </c>
      <c r="F25" s="61"/>
      <c r="G25" s="276"/>
      <c r="H25" s="175"/>
      <c r="I25" s="276"/>
    </row>
    <row r="26" spans="2:9" ht="13.5" thickTop="1">
      <c r="B26" s="12"/>
      <c r="F26" s="61"/>
      <c r="G26" s="176"/>
      <c r="H26" s="165"/>
      <c r="I26" s="176"/>
    </row>
    <row r="27" spans="2:9" ht="12.75">
      <c r="B27" s="12">
        <v>7</v>
      </c>
      <c r="D27" s="13" t="s">
        <v>123</v>
      </c>
      <c r="F27" s="61"/>
      <c r="G27" s="91">
        <f>G22/(1-G39)-G22</f>
        <v>366488.7391304348</v>
      </c>
      <c r="H27" s="175"/>
      <c r="I27" s="91">
        <f>I22/(1-I39)-I22</f>
        <v>304915.809710569</v>
      </c>
    </row>
    <row r="28" spans="2:9" ht="12.75">
      <c r="B28" s="12"/>
      <c r="F28" s="61"/>
      <c r="G28" s="83"/>
      <c r="H28" s="175"/>
      <c r="I28" s="83"/>
    </row>
    <row r="29" spans="2:9" ht="13.5" thickBot="1">
      <c r="B29" s="12">
        <v>8</v>
      </c>
      <c r="D29" s="13" t="s">
        <v>136</v>
      </c>
      <c r="F29" s="61"/>
      <c r="G29" s="236">
        <f>G22+G27</f>
        <v>1182221.7391304348</v>
      </c>
      <c r="H29" s="175"/>
      <c r="I29" s="236">
        <f>I22+I27</f>
        <v>1039586.5569181615</v>
      </c>
    </row>
    <row r="30" spans="2:9" ht="13.5" thickTop="1">
      <c r="B30" s="12"/>
      <c r="F30" s="61"/>
      <c r="G30" s="83"/>
      <c r="H30" s="175"/>
      <c r="I30" s="83"/>
    </row>
    <row r="31" spans="2:9" ht="25.5" customHeight="1" thickBot="1">
      <c r="B31" s="12">
        <v>9</v>
      </c>
      <c r="D31" s="302" t="s">
        <v>137</v>
      </c>
      <c r="E31" s="302"/>
      <c r="F31" s="61"/>
      <c r="G31" s="236">
        <f>G24+G27</f>
        <v>1261812.7391304348</v>
      </c>
      <c r="H31" s="175"/>
      <c r="I31" s="236">
        <f>I27+I24</f>
        <v>1107167.8537576203</v>
      </c>
    </row>
    <row r="32" spans="2:9" ht="12.75" customHeight="1" thickTop="1">
      <c r="B32" s="12"/>
      <c r="D32" s="51"/>
      <c r="E32" s="51"/>
      <c r="F32" s="61"/>
      <c r="G32" s="83"/>
      <c r="H32" s="175"/>
      <c r="I32" s="83"/>
    </row>
    <row r="33" spans="2:10" ht="14.25" customHeight="1">
      <c r="B33" s="12">
        <v>10</v>
      </c>
      <c r="D33" s="51" t="s">
        <v>171</v>
      </c>
      <c r="E33" s="51"/>
      <c r="F33" s="61"/>
      <c r="G33" s="83">
        <f>'A. Data_Input_Sheet'!D47</f>
        <v>0</v>
      </c>
      <c r="H33" s="253"/>
      <c r="I33" s="83">
        <f>IF(ISBLANK('A. Data_Input_Sheet'!L47),G33,'A. Data_Input_Sheet'!L47)</f>
        <v>0</v>
      </c>
      <c r="J33" s="253"/>
    </row>
    <row r="34" spans="2:8" ht="12.75">
      <c r="B34" s="12"/>
      <c r="F34" s="61"/>
      <c r="H34" s="61"/>
    </row>
    <row r="35" spans="2:8" ht="12.75">
      <c r="B35" s="12"/>
      <c r="D35" s="50" t="s">
        <v>37</v>
      </c>
      <c r="E35" s="177"/>
      <c r="F35" s="178"/>
      <c r="G35" s="177"/>
      <c r="H35" s="178"/>
    </row>
    <row r="36" spans="2:9" ht="12.75">
      <c r="B36" s="12"/>
      <c r="F36" s="61"/>
      <c r="G36" s="179"/>
      <c r="H36" s="180"/>
      <c r="I36" s="181"/>
    </row>
    <row r="37" spans="2:10" ht="12.75">
      <c r="B37" s="12">
        <v>11</v>
      </c>
      <c r="D37" s="13" t="s">
        <v>183</v>
      </c>
      <c r="F37" s="61"/>
      <c r="G37" s="143">
        <f>'A. Data_Input_Sheet'!D45</f>
        <v>0.18</v>
      </c>
      <c r="H37" s="253"/>
      <c r="I37" s="182">
        <f>IF(ISBLANK('A. Data_Input_Sheet'!L45),G37,'A. Data_Input_Sheet'!L45)</f>
        <v>0.18</v>
      </c>
      <c r="J37" s="253"/>
    </row>
    <row r="38" spans="2:10" ht="12.75">
      <c r="B38" s="12">
        <v>12</v>
      </c>
      <c r="D38" s="13" t="s">
        <v>184</v>
      </c>
      <c r="F38" s="61"/>
      <c r="G38" s="144">
        <f>'A. Data_Input_Sheet'!D46</f>
        <v>0.13</v>
      </c>
      <c r="H38" s="253"/>
      <c r="I38" s="156">
        <f>IF(ISBLANK('A. Data_Input_Sheet'!L46),G38,'A. Data_Input_Sheet'!L46)</f>
        <v>0.11330487940752837</v>
      </c>
      <c r="J38" s="253"/>
    </row>
    <row r="39" spans="2:9" ht="13.5" thickBot="1">
      <c r="B39" s="12">
        <v>13</v>
      </c>
      <c r="D39" s="13" t="s">
        <v>185</v>
      </c>
      <c r="F39" s="61"/>
      <c r="G39" s="183">
        <f>G37+G38</f>
        <v>0.31</v>
      </c>
      <c r="H39" s="184"/>
      <c r="I39" s="185">
        <f>I37+I38</f>
        <v>0.29330487940752836</v>
      </c>
    </row>
    <row r="40" spans="6:8" ht="13.5" thickTop="1">
      <c r="F40" s="61"/>
      <c r="H40" s="61"/>
    </row>
    <row r="41" ht="12.75">
      <c r="H41" s="61"/>
    </row>
    <row r="42" spans="2:9" ht="12.75">
      <c r="B42" s="310" t="s">
        <v>44</v>
      </c>
      <c r="C42" s="310"/>
      <c r="D42" s="310"/>
      <c r="E42" s="310"/>
      <c r="F42" s="310"/>
      <c r="G42" s="310"/>
      <c r="H42" s="310"/>
      <c r="I42" s="310"/>
    </row>
    <row r="43" spans="2:9" ht="12.75">
      <c r="B43" s="220"/>
      <c r="D43" s="267"/>
      <c r="E43" s="267"/>
      <c r="F43" s="267"/>
      <c r="G43" s="267"/>
      <c r="H43" s="267"/>
      <c r="I43" s="267"/>
    </row>
    <row r="44" spans="2:9" ht="12.75">
      <c r="B44" s="220"/>
      <c r="D44" s="267"/>
      <c r="E44" s="267"/>
      <c r="F44" s="267"/>
      <c r="G44" s="267"/>
      <c r="H44" s="267"/>
      <c r="I44" s="267"/>
    </row>
    <row r="45" spans="2:9" ht="12.75">
      <c r="B45" s="220"/>
      <c r="D45" s="267"/>
      <c r="E45" s="267"/>
      <c r="F45" s="267"/>
      <c r="G45" s="267"/>
      <c r="H45" s="267"/>
      <c r="I45" s="267"/>
    </row>
    <row r="46" spans="2:9" ht="12.75">
      <c r="B46" s="220"/>
      <c r="D46" s="267"/>
      <c r="E46" s="267"/>
      <c r="F46" s="267"/>
      <c r="G46" s="267"/>
      <c r="H46" s="267"/>
      <c r="I46" s="267"/>
    </row>
    <row r="47" spans="2:9" ht="12.75">
      <c r="B47" s="220"/>
      <c r="D47" s="267"/>
      <c r="E47" s="267"/>
      <c r="F47" s="267"/>
      <c r="G47" s="267"/>
      <c r="H47" s="267"/>
      <c r="I47" s="267"/>
    </row>
    <row r="48" spans="2:9" ht="12.75">
      <c r="B48" s="220"/>
      <c r="D48" s="267"/>
      <c r="E48" s="267"/>
      <c r="F48" s="267"/>
      <c r="G48" s="267"/>
      <c r="H48" s="267"/>
      <c r="I48" s="267"/>
    </row>
  </sheetData>
  <sheetProtection password="82A3" sheet="1" objects="1" scenarios="1"/>
  <mergeCells count="18">
    <mergeCell ref="D47:I47"/>
    <mergeCell ref="D48:I48"/>
    <mergeCell ref="D43:I43"/>
    <mergeCell ref="D44:I44"/>
    <mergeCell ref="D45:I45"/>
    <mergeCell ref="D46:I46"/>
    <mergeCell ref="B42:I42"/>
    <mergeCell ref="D8:I8"/>
    <mergeCell ref="G24:G25"/>
    <mergeCell ref="I24:I25"/>
    <mergeCell ref="D14:E14"/>
    <mergeCell ref="D16:E16"/>
    <mergeCell ref="D18:E18"/>
    <mergeCell ref="D31:E31"/>
    <mergeCell ref="C1:I1"/>
    <mergeCell ref="C3:G3"/>
    <mergeCell ref="C4:G4"/>
    <mergeCell ref="C2:I2"/>
  </mergeCells>
  <printOptions/>
  <pageMargins left="0.75" right="0.75" top="0.47" bottom="1" header="0.31" footer="0.5"/>
  <pageSetup fitToHeight="1" fitToWidth="1" horizontalDpi="600" verticalDpi="600" orientation="portrait" scale="99"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N50"/>
  <sheetViews>
    <sheetView showGridLines="0" zoomScalePageLayoutView="0" workbookViewId="0" topLeftCell="A18">
      <selection activeCell="D33" sqref="D33"/>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3.57421875" style="13" customWidth="1"/>
    <col min="6" max="6" width="9.28125" style="13" customWidth="1"/>
    <col min="7" max="7" width="2.7109375" style="13" customWidth="1"/>
    <col min="8" max="8" width="13.8515625" style="13" customWidth="1"/>
    <col min="9" max="9" width="3.00390625" style="13" customWidth="1"/>
    <col min="10" max="10" width="9.00390625" style="13" customWidth="1"/>
    <col min="11" max="11" width="2.7109375" style="13" customWidth="1"/>
    <col min="12" max="12" width="13.8515625" style="13" customWidth="1"/>
    <col min="13" max="13" width="2.8515625" style="13" customWidth="1"/>
    <col min="14" max="16384" width="9.140625" style="13" customWidth="1"/>
  </cols>
  <sheetData>
    <row r="1" spans="3:11" s="2" customFormat="1" ht="20.25" customHeight="1">
      <c r="C1" s="311" t="s">
        <v>180</v>
      </c>
      <c r="D1" s="311"/>
      <c r="E1" s="311"/>
      <c r="F1" s="311"/>
      <c r="G1" s="311"/>
      <c r="H1" s="311"/>
      <c r="I1" s="311"/>
      <c r="J1" s="311"/>
      <c r="K1" s="311"/>
    </row>
    <row r="2" spans="3:14" s="2" customFormat="1" ht="18">
      <c r="C2" s="312" t="str">
        <f>"Name of LDC:    "&amp;IF(ISBLANK('Table of Contents'!D2),"",'Table of Contents'!D2)</f>
        <v>Name of LDC:    Cambridge and North Dumfries Hydro Inc.</v>
      </c>
      <c r="D2" s="312"/>
      <c r="E2" s="312"/>
      <c r="F2" s="312"/>
      <c r="G2" s="312"/>
      <c r="H2" s="312"/>
      <c r="I2" s="312"/>
      <c r="J2" s="312"/>
      <c r="K2" s="312"/>
      <c r="L2" s="312"/>
      <c r="M2" s="312"/>
      <c r="N2" s="312"/>
    </row>
    <row r="3" spans="3:11" s="2" customFormat="1" ht="18">
      <c r="C3" s="312" t="str">
        <f>"File Number:      "&amp;IF(ISBLANK('Table of Contents'!D4),"",'Table of Contents'!D4)</f>
        <v>File Number:      EB- 2009 - 0260</v>
      </c>
      <c r="D3" s="312"/>
      <c r="E3" s="312"/>
      <c r="F3" s="312"/>
      <c r="G3" s="312"/>
      <c r="H3" s="312"/>
      <c r="I3" s="312"/>
      <c r="J3" s="312"/>
      <c r="K3" s="312"/>
    </row>
    <row r="4" spans="3:11" s="2" customFormat="1" ht="18">
      <c r="C4" s="312" t="str">
        <f>"Rate Year:          "&amp;IF(ISBLANK('Table of Contents'!D6),"",'Table of Contents'!D6)</f>
        <v>Rate Year:          2010</v>
      </c>
      <c r="D4" s="312"/>
      <c r="E4" s="312"/>
      <c r="F4" s="312"/>
      <c r="G4" s="312"/>
      <c r="H4" s="312"/>
      <c r="I4" s="72"/>
      <c r="J4" s="72"/>
      <c r="K4" s="72"/>
    </row>
    <row r="5" spans="5:6" s="2" customFormat="1" ht="15.75">
      <c r="E5" s="5"/>
      <c r="F5" s="5"/>
    </row>
    <row r="6" s="2" customFormat="1" ht="12.75"/>
    <row r="7" ht="4.5" customHeight="1"/>
    <row r="8" spans="4:13" ht="21" customHeight="1">
      <c r="D8" s="314" t="s">
        <v>71</v>
      </c>
      <c r="E8" s="314"/>
      <c r="F8" s="314"/>
      <c r="G8" s="314"/>
      <c r="H8" s="314"/>
      <c r="I8" s="314"/>
      <c r="J8" s="314"/>
      <c r="K8" s="314"/>
      <c r="L8" s="314"/>
      <c r="M8" s="94"/>
    </row>
    <row r="10" spans="3:13" ht="12.75">
      <c r="C10" s="61"/>
      <c r="D10" s="61"/>
      <c r="E10" s="61"/>
      <c r="F10" s="61"/>
      <c r="G10" s="61"/>
      <c r="H10" s="61"/>
      <c r="I10" s="61"/>
      <c r="J10" s="61"/>
      <c r="K10" s="61"/>
      <c r="L10" s="61"/>
      <c r="M10" s="61"/>
    </row>
    <row r="11" spans="1:13" ht="25.5">
      <c r="A11" s="12"/>
      <c r="B11" s="75" t="s">
        <v>43</v>
      </c>
      <c r="C11" s="61"/>
      <c r="D11" s="76" t="s">
        <v>42</v>
      </c>
      <c r="E11" s="61"/>
      <c r="F11" s="315" t="s">
        <v>56</v>
      </c>
      <c r="G11" s="315"/>
      <c r="H11" s="315"/>
      <c r="I11" s="137"/>
      <c r="J11" s="76" t="s">
        <v>24</v>
      </c>
      <c r="K11" s="61"/>
      <c r="L11" s="76" t="s">
        <v>25</v>
      </c>
      <c r="M11" s="61"/>
    </row>
    <row r="12" spans="1:13" ht="12.75">
      <c r="A12" s="12"/>
      <c r="B12" s="12"/>
      <c r="C12" s="61"/>
      <c r="D12" s="61"/>
      <c r="E12" s="61"/>
      <c r="F12" s="61"/>
      <c r="G12" s="61"/>
      <c r="H12" s="138"/>
      <c r="I12" s="138"/>
      <c r="J12" s="61"/>
      <c r="K12" s="61"/>
      <c r="L12" s="61"/>
      <c r="M12" s="61"/>
    </row>
    <row r="13" spans="1:13" ht="12.75">
      <c r="A13" s="12"/>
      <c r="B13" s="12"/>
      <c r="C13" s="139"/>
      <c r="D13" s="319" t="s">
        <v>4</v>
      </c>
      <c r="E13" s="320"/>
      <c r="F13" s="320"/>
      <c r="G13" s="320"/>
      <c r="H13" s="320"/>
      <c r="I13" s="320"/>
      <c r="J13" s="320"/>
      <c r="K13" s="320"/>
      <c r="L13" s="321"/>
      <c r="M13" s="61"/>
    </row>
    <row r="14" spans="1:13" ht="12.75">
      <c r="A14" s="12"/>
      <c r="B14" s="12"/>
      <c r="C14" s="61"/>
      <c r="D14" s="61"/>
      <c r="E14" s="61"/>
      <c r="F14" s="140" t="s">
        <v>23</v>
      </c>
      <c r="G14" s="140"/>
      <c r="H14" s="141" t="s">
        <v>10</v>
      </c>
      <c r="I14" s="61"/>
      <c r="J14" s="140" t="s">
        <v>23</v>
      </c>
      <c r="K14" s="61"/>
      <c r="L14" s="61" t="s">
        <v>10</v>
      </c>
      <c r="M14" s="61"/>
    </row>
    <row r="15" spans="1:13" ht="12.75">
      <c r="A15" s="12"/>
      <c r="B15" s="12"/>
      <c r="C15" s="61"/>
      <c r="D15" s="142" t="s">
        <v>14</v>
      </c>
      <c r="E15" s="61"/>
      <c r="F15" s="61"/>
      <c r="G15" s="61"/>
      <c r="H15" s="61"/>
      <c r="I15" s="61"/>
      <c r="J15" s="61"/>
      <c r="K15" s="61"/>
      <c r="L15" s="61"/>
      <c r="M15" s="61"/>
    </row>
    <row r="16" spans="1:13" ht="12.75">
      <c r="A16" s="12"/>
      <c r="B16" s="12">
        <v>1</v>
      </c>
      <c r="C16" s="61"/>
      <c r="D16" s="141" t="s">
        <v>15</v>
      </c>
      <c r="E16" s="61"/>
      <c r="F16" s="143">
        <f>'A. Data_Input_Sheet'!D51</f>
        <v>0.56</v>
      </c>
      <c r="G16" s="253"/>
      <c r="H16" s="81">
        <f>H25*F16</f>
        <v>59427574.81568751</v>
      </c>
      <c r="I16" s="61"/>
      <c r="J16" s="143">
        <f>'A. Data_Input_Sheet'!D57</f>
        <v>0.05201648676187015</v>
      </c>
      <c r="K16" s="253"/>
      <c r="L16" s="81">
        <f>J16*H16</f>
        <v>3091213.658690257</v>
      </c>
      <c r="M16" s="61"/>
    </row>
    <row r="17" spans="1:13" ht="12.75">
      <c r="A17" s="12"/>
      <c r="B17" s="12">
        <v>2</v>
      </c>
      <c r="C17" s="61"/>
      <c r="D17" s="141" t="s">
        <v>16</v>
      </c>
      <c r="E17" s="61"/>
      <c r="F17" s="144">
        <f>'A. Data_Input_Sheet'!D52</f>
        <v>0.04</v>
      </c>
      <c r="G17" s="253"/>
      <c r="H17" s="89">
        <f>$H$25*F17</f>
        <v>4244826.772549107</v>
      </c>
      <c r="I17" s="61"/>
      <c r="J17" s="144">
        <f>'A. Data_Input_Sheet'!D58</f>
        <v>0.0133</v>
      </c>
      <c r="K17" s="253"/>
      <c r="L17" s="89">
        <f>J17*H17</f>
        <v>56456.19607490311</v>
      </c>
      <c r="M17" s="61"/>
    </row>
    <row r="18" spans="1:13" ht="13.5" thickBot="1">
      <c r="A18" s="12"/>
      <c r="B18" s="12">
        <v>3</v>
      </c>
      <c r="C18" s="61"/>
      <c r="D18" s="145" t="s">
        <v>17</v>
      </c>
      <c r="E18" s="61"/>
      <c r="F18" s="146">
        <f>SUM(F16:F17)</f>
        <v>0.6000000000000001</v>
      </c>
      <c r="G18" s="147"/>
      <c r="H18" s="148">
        <f>SUM(H16:H17)</f>
        <v>63672401.588236615</v>
      </c>
      <c r="I18" s="61"/>
      <c r="J18" s="146">
        <f>IF(F18=0,0,SUMPRODUCT(F16:F17,J16:J17)/F18)</f>
        <v>0.04943538764441214</v>
      </c>
      <c r="K18" s="61"/>
      <c r="L18" s="148">
        <f>SUM(L16:L17)</f>
        <v>3147669.85476516</v>
      </c>
      <c r="M18" s="61"/>
    </row>
    <row r="19" spans="1:13" ht="13.5" thickTop="1">
      <c r="A19" s="12"/>
      <c r="B19" s="12"/>
      <c r="C19" s="61"/>
      <c r="D19" s="61"/>
      <c r="E19" s="61"/>
      <c r="F19" s="149"/>
      <c r="G19" s="149"/>
      <c r="H19" s="150"/>
      <c r="I19" s="61"/>
      <c r="J19" s="151"/>
      <c r="K19" s="61"/>
      <c r="L19" s="150"/>
      <c r="M19" s="61"/>
    </row>
    <row r="20" spans="1:13" ht="12.75">
      <c r="A20" s="12"/>
      <c r="B20" s="12"/>
      <c r="C20" s="61"/>
      <c r="D20" s="142" t="s">
        <v>18</v>
      </c>
      <c r="E20" s="61"/>
      <c r="F20" s="149"/>
      <c r="G20" s="149"/>
      <c r="H20" s="150"/>
      <c r="I20" s="61"/>
      <c r="J20" s="151"/>
      <c r="K20" s="61"/>
      <c r="L20" s="150"/>
      <c r="M20" s="61"/>
    </row>
    <row r="21" spans="1:14" ht="12.75">
      <c r="A21" s="12"/>
      <c r="B21" s="84">
        <v>4</v>
      </c>
      <c r="C21" s="152"/>
      <c r="D21" s="153" t="s">
        <v>19</v>
      </c>
      <c r="E21" s="152"/>
      <c r="F21" s="154">
        <f>'A. Data_Input_Sheet'!D53</f>
        <v>0.4</v>
      </c>
      <c r="G21" s="253"/>
      <c r="H21" s="82">
        <f>$H$25*F21</f>
        <v>42448267.72549108</v>
      </c>
      <c r="I21" s="152"/>
      <c r="J21" s="155">
        <f>'A. Data_Input_Sheet'!D59</f>
        <v>0.0801</v>
      </c>
      <c r="K21" s="253"/>
      <c r="L21" s="82">
        <f>J21*H21</f>
        <v>3400106.2448118352</v>
      </c>
      <c r="M21" s="152"/>
      <c r="N21" s="34"/>
    </row>
    <row r="22" spans="1:14" ht="12.75">
      <c r="A22" s="12"/>
      <c r="B22" s="84">
        <v>5</v>
      </c>
      <c r="C22" s="152"/>
      <c r="D22" s="153" t="s">
        <v>20</v>
      </c>
      <c r="E22" s="152"/>
      <c r="F22" s="156">
        <f>'A. Data_Input_Sheet'!D54</f>
        <v>0</v>
      </c>
      <c r="G22" s="253"/>
      <c r="H22" s="90">
        <f>$H$25*F22</f>
        <v>0</v>
      </c>
      <c r="I22" s="152"/>
      <c r="J22" s="156">
        <f>'A. Data_Input_Sheet'!D54</f>
        <v>0</v>
      </c>
      <c r="K22" s="253"/>
      <c r="L22" s="90">
        <f>J22*H22</f>
        <v>0</v>
      </c>
      <c r="M22" s="152"/>
      <c r="N22" s="34"/>
    </row>
    <row r="23" spans="1:13" ht="13.5" thickBot="1">
      <c r="A23" s="12"/>
      <c r="B23" s="12">
        <v>6</v>
      </c>
      <c r="C23" s="61"/>
      <c r="D23" s="145" t="s">
        <v>21</v>
      </c>
      <c r="E23" s="61"/>
      <c r="F23" s="146">
        <f>SUM(F21:F22)</f>
        <v>0.4</v>
      </c>
      <c r="G23" s="147"/>
      <c r="H23" s="148">
        <f>SUM(H21:H22)</f>
        <v>42448267.72549108</v>
      </c>
      <c r="I23" s="61"/>
      <c r="J23" s="146">
        <f>IF(F23=0,0,SUMPRODUCT(F21:F22,J21:J22)/F23)</f>
        <v>0.0801</v>
      </c>
      <c r="K23" s="61"/>
      <c r="L23" s="148">
        <f>SUM(L21:L22)</f>
        <v>3400106.2448118352</v>
      </c>
      <c r="M23" s="61"/>
    </row>
    <row r="24" spans="1:13" ht="13.5" thickTop="1">
      <c r="A24" s="12"/>
      <c r="B24" s="12"/>
      <c r="C24" s="61"/>
      <c r="D24" s="61"/>
      <c r="E24" s="61"/>
      <c r="F24" s="61"/>
      <c r="G24" s="61"/>
      <c r="H24" s="150"/>
      <c r="I24" s="61"/>
      <c r="J24" s="151"/>
      <c r="K24" s="61"/>
      <c r="L24" s="150"/>
      <c r="M24" s="61"/>
    </row>
    <row r="25" spans="1:13" ht="13.5" thickBot="1">
      <c r="A25" s="12"/>
      <c r="B25" s="12">
        <v>7</v>
      </c>
      <c r="C25" s="61"/>
      <c r="D25" s="142" t="s">
        <v>22</v>
      </c>
      <c r="E25" s="61"/>
      <c r="F25" s="157">
        <v>1</v>
      </c>
      <c r="G25" s="157"/>
      <c r="H25" s="158">
        <f>'1.Rate_Base'!G17</f>
        <v>106120669.31372768</v>
      </c>
      <c r="I25" s="61"/>
      <c r="J25" s="159">
        <f>(J18*F18)+(J23*F23)</f>
        <v>0.061701232586647295</v>
      </c>
      <c r="K25" s="61"/>
      <c r="L25" s="158">
        <f>L18+L23</f>
        <v>6547776.099576995</v>
      </c>
      <c r="M25" s="61"/>
    </row>
    <row r="26" spans="1:13" ht="13.5" thickTop="1">
      <c r="A26" s="12"/>
      <c r="B26" s="12"/>
      <c r="C26" s="61"/>
      <c r="D26" s="61"/>
      <c r="E26" s="61"/>
      <c r="F26" s="61"/>
      <c r="G26" s="61"/>
      <c r="H26" s="61"/>
      <c r="I26" s="61"/>
      <c r="J26" s="61"/>
      <c r="K26" s="61"/>
      <c r="L26" s="61"/>
      <c r="M26" s="61"/>
    </row>
    <row r="27" spans="1:2" ht="12.75">
      <c r="A27" s="12"/>
      <c r="B27" s="12"/>
    </row>
    <row r="28" spans="1:13" ht="12.75">
      <c r="A28" s="12"/>
      <c r="B28" s="12"/>
      <c r="C28" s="61"/>
      <c r="D28" s="316" t="str">
        <f>'A. Data_Input_Sheet'!L10</f>
        <v>Per Board Decision</v>
      </c>
      <c r="E28" s="317"/>
      <c r="F28" s="317"/>
      <c r="G28" s="317"/>
      <c r="H28" s="317"/>
      <c r="I28" s="317"/>
      <c r="J28" s="317"/>
      <c r="K28" s="317"/>
      <c r="L28" s="318"/>
      <c r="M28" s="61"/>
    </row>
    <row r="29" spans="1:13" ht="12.75">
      <c r="A29" s="12"/>
      <c r="B29" s="12"/>
      <c r="C29" s="61"/>
      <c r="D29" s="61"/>
      <c r="E29" s="61"/>
      <c r="F29" s="140" t="s">
        <v>23</v>
      </c>
      <c r="G29" s="140"/>
      <c r="H29" s="141" t="s">
        <v>10</v>
      </c>
      <c r="I29" s="61"/>
      <c r="J29" s="140" t="s">
        <v>23</v>
      </c>
      <c r="K29" s="61"/>
      <c r="L29" s="61"/>
      <c r="M29" s="61"/>
    </row>
    <row r="30" spans="1:13" ht="12.75">
      <c r="A30" s="12"/>
      <c r="B30" s="12"/>
      <c r="C30" s="61"/>
      <c r="D30" s="142" t="s">
        <v>14</v>
      </c>
      <c r="E30" s="61"/>
      <c r="F30" s="61"/>
      <c r="G30" s="61"/>
      <c r="H30" s="61"/>
      <c r="I30" s="61"/>
      <c r="J30" s="61"/>
      <c r="K30" s="61"/>
      <c r="L30" s="61"/>
      <c r="M30" s="61"/>
    </row>
    <row r="31" spans="1:13" ht="12.75">
      <c r="A31" s="12"/>
      <c r="B31" s="12">
        <v>8</v>
      </c>
      <c r="C31" s="61"/>
      <c r="D31" s="141" t="s">
        <v>15</v>
      </c>
      <c r="E31" s="61"/>
      <c r="F31" s="143">
        <f>IF(ISBLANK('A. Data_Input_Sheet'!L51),F16,'A. Data_Input_Sheet'!L51)</f>
        <v>0.56</v>
      </c>
      <c r="G31" s="253"/>
      <c r="H31" s="81">
        <f>$H$40*F31</f>
        <v>58860701.395816706</v>
      </c>
      <c r="I31" s="61"/>
      <c r="J31" s="143">
        <f>IF(ISBLANK('A. Data_Input_Sheet'!L57),J16,'A. Data_Input_Sheet'!L57)</f>
        <v>0.04993</v>
      </c>
      <c r="K31" s="253"/>
      <c r="L31" s="81">
        <f>J31*H31</f>
        <v>2938914.8206931283</v>
      </c>
      <c r="M31" s="61"/>
    </row>
    <row r="32" spans="1:13" ht="12.75">
      <c r="A32" s="12"/>
      <c r="B32" s="12">
        <v>9</v>
      </c>
      <c r="C32" s="61"/>
      <c r="D32" s="141" t="s">
        <v>16</v>
      </c>
      <c r="E32" s="61"/>
      <c r="F32" s="144">
        <f>IF(ISBLANK('A. Data_Input_Sheet'!L52),F17,'A. Data_Input_Sheet'!L52)</f>
        <v>0.04</v>
      </c>
      <c r="G32" s="253"/>
      <c r="H32" s="89">
        <f>$H$40*F32</f>
        <v>4204335.813986907</v>
      </c>
      <c r="I32" s="61"/>
      <c r="J32" s="144">
        <f>IF(ISBLANK('A. Data_Input_Sheet'!L58),J17,'A. Data_Input_Sheet'!L58)</f>
        <v>0.0207</v>
      </c>
      <c r="K32" s="253"/>
      <c r="L32" s="89">
        <f>J32*H32</f>
        <v>87029.75134952897</v>
      </c>
      <c r="M32" s="61"/>
    </row>
    <row r="33" spans="1:13" ht="13.5" thickBot="1">
      <c r="A33" s="12"/>
      <c r="B33" s="12">
        <v>10</v>
      </c>
      <c r="C33" s="61"/>
      <c r="D33" s="145" t="s">
        <v>17</v>
      </c>
      <c r="E33" s="61"/>
      <c r="F33" s="146">
        <f>SUM(F31:F32)</f>
        <v>0.6000000000000001</v>
      </c>
      <c r="G33" s="147"/>
      <c r="H33" s="148">
        <f>SUM(H31:H32)</f>
        <v>63065037.20980361</v>
      </c>
      <c r="I33" s="61"/>
      <c r="J33" s="146">
        <f>IF(F33=0,0,SUMPRODUCT(F31:F32,J31:J32)/F33)</f>
        <v>0.047981333333333334</v>
      </c>
      <c r="K33" s="61"/>
      <c r="L33" s="148">
        <f>SUM(L31:L32)</f>
        <v>3025944.572042657</v>
      </c>
      <c r="M33" s="61"/>
    </row>
    <row r="34" spans="1:13" ht="13.5" thickTop="1">
      <c r="A34" s="12"/>
      <c r="B34" s="12"/>
      <c r="C34" s="61"/>
      <c r="D34" s="61"/>
      <c r="E34" s="61"/>
      <c r="F34" s="149"/>
      <c r="G34" s="149"/>
      <c r="H34" s="150"/>
      <c r="I34" s="61"/>
      <c r="J34" s="151"/>
      <c r="K34" s="61"/>
      <c r="L34" s="150"/>
      <c r="M34" s="61"/>
    </row>
    <row r="35" spans="1:13" ht="12.75">
      <c r="A35" s="12"/>
      <c r="B35" s="12"/>
      <c r="C35" s="61"/>
      <c r="D35" s="142" t="s">
        <v>18</v>
      </c>
      <c r="E35" s="61"/>
      <c r="F35" s="149"/>
      <c r="G35" s="149"/>
      <c r="H35" s="150"/>
      <c r="I35" s="61"/>
      <c r="J35" s="151"/>
      <c r="K35" s="61"/>
      <c r="L35" s="150"/>
      <c r="M35" s="61"/>
    </row>
    <row r="36" spans="1:13" ht="12.75">
      <c r="A36" s="12"/>
      <c r="B36" s="12">
        <v>11</v>
      </c>
      <c r="C36" s="61"/>
      <c r="D36" s="141" t="s">
        <v>19</v>
      </c>
      <c r="E36" s="61"/>
      <c r="F36" s="149">
        <f>IF(ISBLANK('A. Data_Input_Sheet'!L53),'A. Data_Input_Sheet'!D53,'A. Data_Input_Sheet'!L53)</f>
        <v>0.4</v>
      </c>
      <c r="G36" s="253"/>
      <c r="H36" s="81">
        <f>$H$40*F36</f>
        <v>42043358.13986907</v>
      </c>
      <c r="I36" s="61"/>
      <c r="J36" s="143">
        <f>IF(ISBLANK('A. Data_Input_Sheet'!L59),J21,'A. Data_Input_Sheet'!L59)</f>
        <v>0.0985</v>
      </c>
      <c r="K36" s="253"/>
      <c r="L36" s="81">
        <f>J36*H36</f>
        <v>4141270.7767771035</v>
      </c>
      <c r="M36" s="61"/>
    </row>
    <row r="37" spans="1:13" ht="12.75">
      <c r="A37" s="12"/>
      <c r="B37" s="12">
        <v>12</v>
      </c>
      <c r="C37" s="61"/>
      <c r="D37" s="141" t="s">
        <v>20</v>
      </c>
      <c r="E37" s="61"/>
      <c r="F37" s="160">
        <f>IF(ISBLANK('A. Data_Input_Sheet'!L54),'A. Data_Input_Sheet'!D54,'A. Data_Input_Sheet'!L54)</f>
        <v>0</v>
      </c>
      <c r="G37" s="253"/>
      <c r="H37" s="89">
        <f>$H$40*F37</f>
        <v>0</v>
      </c>
      <c r="I37" s="61"/>
      <c r="J37" s="144">
        <f>IF(ISBLANK('A. Data_Input_Sheet'!L60),J22,'A. Data_Input_Sheet'!L60)</f>
        <v>0</v>
      </c>
      <c r="K37" s="253"/>
      <c r="L37" s="89">
        <f>J37*H37</f>
        <v>0</v>
      </c>
      <c r="M37" s="61"/>
    </row>
    <row r="38" spans="1:13" ht="13.5" thickBot="1">
      <c r="A38" s="12"/>
      <c r="B38" s="12">
        <v>13</v>
      </c>
      <c r="C38" s="61"/>
      <c r="D38" s="145" t="s">
        <v>21</v>
      </c>
      <c r="E38" s="61"/>
      <c r="F38" s="147">
        <f>SUM(F36:F37)</f>
        <v>0.4</v>
      </c>
      <c r="G38" s="147"/>
      <c r="H38" s="148">
        <f>SUM(H36:H37)</f>
        <v>42043358.13986907</v>
      </c>
      <c r="I38" s="61"/>
      <c r="J38" s="146">
        <f>IF(F38=0,0,SUMPRODUCT(F36:F37,J36:J37)/F38)</f>
        <v>0.0985</v>
      </c>
      <c r="K38" s="61"/>
      <c r="L38" s="148">
        <f>SUM(L36:L37)</f>
        <v>4141270.7767771035</v>
      </c>
      <c r="M38" s="61"/>
    </row>
    <row r="39" spans="1:13" ht="13.5" thickTop="1">
      <c r="A39" s="12"/>
      <c r="B39" s="12"/>
      <c r="C39" s="61"/>
      <c r="D39" s="61"/>
      <c r="E39" s="61"/>
      <c r="F39" s="61"/>
      <c r="G39" s="61"/>
      <c r="H39" s="150"/>
      <c r="I39" s="61"/>
      <c r="J39" s="151"/>
      <c r="K39" s="61"/>
      <c r="L39" s="150"/>
      <c r="M39" s="61"/>
    </row>
    <row r="40" spans="1:13" ht="13.5" thickBot="1">
      <c r="A40" s="12"/>
      <c r="B40" s="12">
        <v>14</v>
      </c>
      <c r="C40" s="61"/>
      <c r="D40" s="145" t="s">
        <v>22</v>
      </c>
      <c r="E40" s="61"/>
      <c r="F40" s="157">
        <v>1</v>
      </c>
      <c r="G40" s="157"/>
      <c r="H40" s="158">
        <f>'1.Rate_Base'!K17</f>
        <v>105108395.34967268</v>
      </c>
      <c r="I40" s="61"/>
      <c r="J40" s="159">
        <f>(J33*F33)+(J38*F38)</f>
        <v>0.06818880000000001</v>
      </c>
      <c r="K40" s="61"/>
      <c r="L40" s="158">
        <f>L33+L38</f>
        <v>7167215.348819761</v>
      </c>
      <c r="M40" s="61"/>
    </row>
    <row r="41" spans="3:13" ht="13.5" thickTop="1">
      <c r="C41" s="61"/>
      <c r="D41" s="61"/>
      <c r="E41" s="61"/>
      <c r="F41" s="61"/>
      <c r="G41" s="61"/>
      <c r="H41" s="61"/>
      <c r="I41" s="61"/>
      <c r="J41" s="61"/>
      <c r="K41" s="61"/>
      <c r="L41" s="61"/>
      <c r="M41" s="61"/>
    </row>
    <row r="43" spans="2:12" ht="12.75">
      <c r="B43" s="263" t="s">
        <v>44</v>
      </c>
      <c r="C43" s="263"/>
      <c r="D43" s="263"/>
      <c r="E43" s="263"/>
      <c r="F43" s="263"/>
      <c r="G43" s="263"/>
      <c r="H43" s="263"/>
      <c r="I43" s="263"/>
      <c r="J43" s="263"/>
      <c r="K43" s="263"/>
      <c r="L43" s="263"/>
    </row>
    <row r="44" spans="2:12" ht="12.75">
      <c r="B44" s="39" t="s">
        <v>2</v>
      </c>
      <c r="D44" s="297" t="str">
        <f>'A. Data_Input_Sheet'!C66</f>
        <v>4.0% unless an Applicant has proposed or been approved for another amount.</v>
      </c>
      <c r="E44" s="297"/>
      <c r="F44" s="297"/>
      <c r="G44" s="297"/>
      <c r="H44" s="297"/>
      <c r="I44" s="297"/>
      <c r="J44" s="297"/>
      <c r="K44" s="297"/>
      <c r="L44" s="297"/>
    </row>
    <row r="45" spans="2:12" ht="12.75">
      <c r="B45" s="253"/>
      <c r="D45" s="313"/>
      <c r="E45" s="313"/>
      <c r="F45" s="313"/>
      <c r="G45" s="313"/>
      <c r="H45" s="313"/>
      <c r="I45" s="313"/>
      <c r="J45" s="313"/>
      <c r="K45" s="313"/>
      <c r="L45" s="313"/>
    </row>
    <row r="46" spans="2:12" ht="12.75">
      <c r="B46" s="253"/>
      <c r="D46" s="313"/>
      <c r="E46" s="313"/>
      <c r="F46" s="313"/>
      <c r="G46" s="313"/>
      <c r="H46" s="313"/>
      <c r="I46" s="313"/>
      <c r="J46" s="313"/>
      <c r="K46" s="313"/>
      <c r="L46" s="313"/>
    </row>
    <row r="47" spans="2:12" ht="12.75">
      <c r="B47" s="253"/>
      <c r="D47" s="313"/>
      <c r="E47" s="313"/>
      <c r="F47" s="313"/>
      <c r="G47" s="313"/>
      <c r="H47" s="313"/>
      <c r="I47" s="313"/>
      <c r="J47" s="313"/>
      <c r="K47" s="313"/>
      <c r="L47" s="313"/>
    </row>
    <row r="48" spans="2:12" ht="12.75">
      <c r="B48" s="253"/>
      <c r="D48" s="313"/>
      <c r="E48" s="313"/>
      <c r="F48" s="313"/>
      <c r="G48" s="313"/>
      <c r="H48" s="313"/>
      <c r="I48" s="313"/>
      <c r="J48" s="313"/>
      <c r="K48" s="313"/>
      <c r="L48" s="313"/>
    </row>
    <row r="49" spans="2:12" ht="12.75">
      <c r="B49" s="253"/>
      <c r="D49" s="313"/>
      <c r="E49" s="313"/>
      <c r="F49" s="313"/>
      <c r="G49" s="313"/>
      <c r="H49" s="313"/>
      <c r="I49" s="313"/>
      <c r="J49" s="313"/>
      <c r="K49" s="313"/>
      <c r="L49" s="313"/>
    </row>
    <row r="50" spans="2:12" ht="12.75">
      <c r="B50" s="253"/>
      <c r="D50" s="313"/>
      <c r="E50" s="313"/>
      <c r="F50" s="313"/>
      <c r="G50" s="313"/>
      <c r="H50" s="313"/>
      <c r="I50" s="313"/>
      <c r="J50" s="313"/>
      <c r="K50" s="313"/>
      <c r="L50" s="313"/>
    </row>
  </sheetData>
  <sheetProtection password="82A3" sheet="1" objects="1" scenarios="1"/>
  <mergeCells count="16">
    <mergeCell ref="D8:L8"/>
    <mergeCell ref="F11:H11"/>
    <mergeCell ref="B43:L43"/>
    <mergeCell ref="D28:L28"/>
    <mergeCell ref="D13:L13"/>
    <mergeCell ref="D49:L49"/>
    <mergeCell ref="D50:L50"/>
    <mergeCell ref="D48:L48"/>
    <mergeCell ref="D44:L44"/>
    <mergeCell ref="D45:L45"/>
    <mergeCell ref="D46:L46"/>
    <mergeCell ref="D47:L47"/>
    <mergeCell ref="C1:K1"/>
    <mergeCell ref="C3:K3"/>
    <mergeCell ref="C4:H4"/>
    <mergeCell ref="C2:N2"/>
  </mergeCells>
  <printOptions/>
  <pageMargins left="0.75" right="0.75" top="0.54" bottom="1" header="0.3" footer="0.5"/>
  <pageSetup fitToHeight="1" fitToWidth="1" horizontalDpi="600" verticalDpi="600" orientation="portrait" scale="96"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N56"/>
  <sheetViews>
    <sheetView showGridLines="0" zoomScalePageLayoutView="0" workbookViewId="0" topLeftCell="A33">
      <selection activeCell="D33" sqref="D33"/>
    </sheetView>
  </sheetViews>
  <sheetFormatPr defaultColWidth="9.140625" defaultRowHeight="12.75"/>
  <cols>
    <col min="1" max="1" width="1.7109375" style="13" customWidth="1"/>
    <col min="2" max="2" width="4.8515625" style="13" customWidth="1"/>
    <col min="3" max="3" width="2.7109375" style="13" customWidth="1"/>
    <col min="4" max="4" width="35.7109375" style="13" customWidth="1"/>
    <col min="5" max="5" width="1.8515625" style="13" customWidth="1"/>
    <col min="6" max="6" width="14.710937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6384" width="9.140625" style="13" customWidth="1"/>
  </cols>
  <sheetData>
    <row r="1" spans="3:11" s="2" customFormat="1" ht="20.25" customHeight="1">
      <c r="C1" s="322" t="s">
        <v>180</v>
      </c>
      <c r="D1" s="322"/>
      <c r="E1" s="322"/>
      <c r="F1" s="322"/>
      <c r="G1" s="322"/>
      <c r="H1" s="322"/>
      <c r="I1" s="322"/>
      <c r="J1" s="322"/>
      <c r="K1" s="322"/>
    </row>
    <row r="2" spans="3:11" s="2" customFormat="1" ht="18">
      <c r="C2" s="323" t="str">
        <f>"Name of LDC:    "&amp;IF(ISBLANK('Table of Contents'!D2),"",'Table of Contents'!D2)</f>
        <v>Name of LDC:    Cambridge and North Dumfries Hydro Inc.</v>
      </c>
      <c r="D2" s="323"/>
      <c r="E2" s="323"/>
      <c r="F2" s="323"/>
      <c r="G2" s="323"/>
      <c r="H2" s="323"/>
      <c r="I2" s="323"/>
      <c r="J2" s="323"/>
      <c r="K2" s="323"/>
    </row>
    <row r="3" spans="3:11" s="2" customFormat="1" ht="18">
      <c r="C3" s="323" t="str">
        <f>"File Number:      "&amp;IF(ISBLANK('Table of Contents'!D4),"",'Table of Contents'!D4)</f>
        <v>File Number:      EB- 2009 - 0260</v>
      </c>
      <c r="D3" s="323"/>
      <c r="E3" s="323"/>
      <c r="F3" s="323"/>
      <c r="G3" s="323"/>
      <c r="H3" s="323"/>
      <c r="I3" s="323"/>
      <c r="J3" s="323"/>
      <c r="K3" s="323"/>
    </row>
    <row r="4" spans="3:8" s="2" customFormat="1" ht="18">
      <c r="C4" s="323" t="str">
        <f>"Rate Year:          "&amp;IF(ISBLANK('Table of Contents'!D6),"",'Table of Contents'!D6)</f>
        <v>Rate Year:          2010</v>
      </c>
      <c r="D4" s="323"/>
      <c r="E4" s="323"/>
      <c r="F4" s="323"/>
      <c r="G4" s="323"/>
      <c r="H4" s="323"/>
    </row>
    <row r="5" spans="5:6" s="2" customFormat="1" ht="15.75">
      <c r="E5" s="5"/>
      <c r="F5" s="5"/>
    </row>
    <row r="6" s="2" customFormat="1" ht="12.75"/>
    <row r="7" ht="4.5" customHeight="1"/>
    <row r="8" spans="5:12" ht="15.75">
      <c r="E8" s="94"/>
      <c r="F8" s="274" t="s">
        <v>60</v>
      </c>
      <c r="G8" s="274"/>
      <c r="H8" s="274"/>
      <c r="I8" s="274"/>
      <c r="J8" s="274"/>
      <c r="K8" s="274"/>
      <c r="L8" s="274"/>
    </row>
    <row r="9" spans="5:12" ht="15.75">
      <c r="E9" s="94"/>
      <c r="F9" s="95"/>
      <c r="G9" s="95"/>
      <c r="H9" s="95"/>
      <c r="I9" s="95"/>
      <c r="J9" s="95"/>
      <c r="K9" s="95"/>
      <c r="L9" s="95"/>
    </row>
    <row r="10" spans="5:12" ht="15.75">
      <c r="E10" s="94"/>
      <c r="F10" s="328" t="s">
        <v>163</v>
      </c>
      <c r="G10" s="328"/>
      <c r="H10" s="328"/>
      <c r="I10" s="95"/>
      <c r="J10" s="328" t="str">
        <f>'A. Data_Input_Sheet'!L10</f>
        <v>Per Board Decision</v>
      </c>
      <c r="K10" s="328"/>
      <c r="L10" s="328"/>
    </row>
    <row r="11" spans="4:12" ht="6" customHeight="1">
      <c r="D11" s="95"/>
      <c r="E11" s="95"/>
      <c r="F11" s="95"/>
      <c r="G11" s="95"/>
      <c r="H11" s="95"/>
      <c r="I11" s="95"/>
      <c r="J11" s="95"/>
      <c r="K11" s="95"/>
      <c r="L11" s="94"/>
    </row>
    <row r="12" spans="2:12" ht="12.75">
      <c r="B12" s="326" t="s">
        <v>43</v>
      </c>
      <c r="D12" s="325" t="s">
        <v>42</v>
      </c>
      <c r="F12" s="331" t="s">
        <v>164</v>
      </c>
      <c r="G12" s="96"/>
      <c r="H12" s="329" t="s">
        <v>165</v>
      </c>
      <c r="J12" s="331" t="s">
        <v>164</v>
      </c>
      <c r="K12" s="96"/>
      <c r="L12" s="329" t="s">
        <v>165</v>
      </c>
    </row>
    <row r="13" spans="2:12" ht="12.75">
      <c r="B13" s="327"/>
      <c r="C13" s="97"/>
      <c r="D13" s="315"/>
      <c r="E13" s="78"/>
      <c r="F13" s="332"/>
      <c r="G13" s="78"/>
      <c r="H13" s="330"/>
      <c r="J13" s="332"/>
      <c r="K13" s="61"/>
      <c r="L13" s="330"/>
    </row>
    <row r="14" spans="2:13" ht="12.75">
      <c r="B14" s="98"/>
      <c r="C14" s="97"/>
      <c r="D14" s="78"/>
      <c r="E14" s="78"/>
      <c r="F14" s="99"/>
      <c r="G14" s="221"/>
      <c r="H14" s="100"/>
      <c r="I14" s="218"/>
      <c r="J14" s="101"/>
      <c r="K14" s="222"/>
      <c r="L14" s="103"/>
      <c r="M14" s="218"/>
    </row>
    <row r="15" spans="2:13" ht="12.75">
      <c r="B15" s="12"/>
      <c r="D15" s="12"/>
      <c r="F15" s="101"/>
      <c r="G15" s="222"/>
      <c r="H15" s="62"/>
      <c r="I15" s="218"/>
      <c r="J15" s="101"/>
      <c r="K15" s="222"/>
      <c r="L15" s="62"/>
      <c r="M15" s="218"/>
    </row>
    <row r="16" spans="2:13" ht="12.75">
      <c r="B16" s="12">
        <v>1</v>
      </c>
      <c r="D16" s="13" t="s">
        <v>140</v>
      </c>
      <c r="F16" s="101"/>
      <c r="G16" s="222"/>
      <c r="H16" s="104">
        <f>F49</f>
        <v>2461873.6365446555</v>
      </c>
      <c r="I16" s="218"/>
      <c r="J16" s="101"/>
      <c r="K16" s="222"/>
      <c r="L16" s="104">
        <f>J49</f>
        <v>2817490.5446860087</v>
      </c>
      <c r="M16" s="218"/>
    </row>
    <row r="17" spans="2:13" ht="12.75">
      <c r="B17" s="12">
        <v>2</v>
      </c>
      <c r="D17" s="13" t="s">
        <v>141</v>
      </c>
      <c r="F17" s="105">
        <f>'A. Data_Input_Sheet'!D23</f>
        <v>20884051.167307224</v>
      </c>
      <c r="G17" s="222"/>
      <c r="H17" s="104">
        <f>'A. Data_Input_Sheet'!D24-H16</f>
        <v>20884050.663144838</v>
      </c>
      <c r="I17" s="218"/>
      <c r="J17" s="105">
        <f>IF(ISBLANK('A. Data_Input_Sheet'!L23),'A. Data_Input_Sheet'!D23,'A. Data_Input_Sheet'!L23)</f>
        <v>20383575.650757242</v>
      </c>
      <c r="K17" s="222"/>
      <c r="L17" s="104">
        <f>IF(ISBLANK('A. Data_Input_Sheet'!L24),'A. Data_Input_Sheet'!D24-L16,'A. Data_Input_Sheet'!L24-L16)</f>
        <v>20383575.687640257</v>
      </c>
      <c r="M17" s="218"/>
    </row>
    <row r="18" spans="2:13" ht="12.75">
      <c r="B18" s="12">
        <v>3</v>
      </c>
      <c r="D18" s="13" t="s">
        <v>177</v>
      </c>
      <c r="F18" s="106">
        <f>'2.Utility Income'!F45</f>
        <v>1613010</v>
      </c>
      <c r="G18" s="222"/>
      <c r="H18" s="107">
        <f>'2.Utility Income'!F45</f>
        <v>1613010</v>
      </c>
      <c r="I18" s="218"/>
      <c r="J18" s="106">
        <f>'2.Utility Income'!J45</f>
        <v>1490410</v>
      </c>
      <c r="K18" s="222"/>
      <c r="L18" s="104">
        <f>'2.Utility Income'!J45</f>
        <v>1490410</v>
      </c>
      <c r="M18" s="218"/>
    </row>
    <row r="19" spans="2:13" ht="13.5" thickBot="1">
      <c r="B19" s="12">
        <v>4</v>
      </c>
      <c r="D19" s="37" t="s">
        <v>142</v>
      </c>
      <c r="F19" s="108">
        <f>SUM(F17:F18)</f>
        <v>22497061.167307224</v>
      </c>
      <c r="G19" s="222"/>
      <c r="H19" s="109">
        <f>SUM(H16:H18)</f>
        <v>24958934.299689494</v>
      </c>
      <c r="I19" s="218"/>
      <c r="J19" s="110">
        <f>SUM(J17:J18)</f>
        <v>21873985.650757242</v>
      </c>
      <c r="K19" s="222"/>
      <c r="L19" s="109">
        <f>SUM(L16:L18)</f>
        <v>24691476.232326265</v>
      </c>
      <c r="M19" s="218"/>
    </row>
    <row r="20" spans="2:13" ht="13.5" thickTop="1">
      <c r="B20" s="12"/>
      <c r="F20" s="112"/>
      <c r="G20" s="222"/>
      <c r="H20" s="113"/>
      <c r="I20" s="218"/>
      <c r="J20" s="112"/>
      <c r="K20" s="222"/>
      <c r="L20" s="104"/>
      <c r="M20" s="218"/>
    </row>
    <row r="21" spans="2:14" ht="12.75">
      <c r="B21" s="84">
        <v>5</v>
      </c>
      <c r="C21" s="34"/>
      <c r="D21" s="47" t="s">
        <v>152</v>
      </c>
      <c r="E21" s="34"/>
      <c r="F21" s="114">
        <f>'2.Utility Income'!F24</f>
        <v>17228937</v>
      </c>
      <c r="G21" s="223"/>
      <c r="H21" s="116">
        <f>'2.Utility Income'!F24</f>
        <v>17228937</v>
      </c>
      <c r="I21" s="227"/>
      <c r="J21" s="114">
        <f>'2.Utility Income'!J24</f>
        <v>16484674.296839459</v>
      </c>
      <c r="K21" s="223"/>
      <c r="L21" s="116">
        <f>'2.Utility Income'!J24</f>
        <v>16484674.296839459</v>
      </c>
      <c r="M21" s="227"/>
      <c r="N21" s="34"/>
    </row>
    <row r="22" spans="2:14" ht="12.75">
      <c r="B22" s="84">
        <v>6</v>
      </c>
      <c r="C22" s="34"/>
      <c r="D22" s="47" t="s">
        <v>122</v>
      </c>
      <c r="E22" s="34"/>
      <c r="F22" s="117">
        <f>'2.Utility Income'!F27</f>
        <v>3147669.85476516</v>
      </c>
      <c r="G22" s="223"/>
      <c r="H22" s="118">
        <f>'2.Utility Income'!F27</f>
        <v>3147669.85476516</v>
      </c>
      <c r="I22" s="227"/>
      <c r="J22" s="114">
        <f>'2.Utility Income'!J27</f>
        <v>3025944.572042657</v>
      </c>
      <c r="K22" s="223"/>
      <c r="L22" s="116">
        <f>'2.Utility Income'!J27</f>
        <v>3025944.572042657</v>
      </c>
      <c r="M22" s="227"/>
      <c r="N22" s="34"/>
    </row>
    <row r="23" spans="2:13" ht="13.5" thickBot="1">
      <c r="B23" s="12"/>
      <c r="D23" s="37" t="s">
        <v>153</v>
      </c>
      <c r="F23" s="108">
        <f>SUM(F21:F22)</f>
        <v>20376606.854765162</v>
      </c>
      <c r="G23" s="222"/>
      <c r="H23" s="109">
        <f>SUM(H21:H22)</f>
        <v>20376606.854765162</v>
      </c>
      <c r="I23" s="218"/>
      <c r="J23" s="110">
        <f>SUM(J21:J22)</f>
        <v>19510618.868882116</v>
      </c>
      <c r="K23" s="222"/>
      <c r="L23" s="109">
        <f>SUM(L21:L22)</f>
        <v>19510618.868882116</v>
      </c>
      <c r="M23" s="218"/>
    </row>
    <row r="24" spans="2:13" ht="13.5" thickTop="1">
      <c r="B24" s="12"/>
      <c r="D24" s="12"/>
      <c r="F24" s="105"/>
      <c r="G24" s="222"/>
      <c r="H24" s="104"/>
      <c r="I24" s="218"/>
      <c r="J24" s="112"/>
      <c r="K24" s="222"/>
      <c r="L24" s="104"/>
      <c r="M24" s="218"/>
    </row>
    <row r="25" spans="2:13" ht="12.75">
      <c r="B25" s="12">
        <v>7</v>
      </c>
      <c r="D25" s="37" t="s">
        <v>143</v>
      </c>
      <c r="F25" s="105">
        <f>F19-F23</f>
        <v>2120454.3125420623</v>
      </c>
      <c r="G25" s="222"/>
      <c r="H25" s="104">
        <f>H19-H23</f>
        <v>4582327.444924332</v>
      </c>
      <c r="I25" s="218"/>
      <c r="J25" s="112">
        <f>J19-J23</f>
        <v>2363366.781875126</v>
      </c>
      <c r="K25" s="222"/>
      <c r="L25" s="104">
        <f>L19-L23</f>
        <v>5180857.3634441495</v>
      </c>
      <c r="M25" s="218"/>
    </row>
    <row r="26" spans="2:13" ht="12.75">
      <c r="B26" s="12"/>
      <c r="D26" s="13" t="s">
        <v>85</v>
      </c>
      <c r="F26" s="112"/>
      <c r="G26" s="222"/>
      <c r="H26" s="113"/>
      <c r="I26" s="218"/>
      <c r="J26" s="112"/>
      <c r="K26" s="222"/>
      <c r="L26" s="104"/>
      <c r="M26" s="218"/>
    </row>
    <row r="27" spans="2:13" ht="25.5">
      <c r="B27" s="12">
        <v>8</v>
      </c>
      <c r="D27" s="119" t="s">
        <v>176</v>
      </c>
      <c r="F27" s="106">
        <f>'A. Data_Input_Sheet'!D40</f>
        <v>-768709.5482000001</v>
      </c>
      <c r="G27" s="222"/>
      <c r="H27" s="107">
        <f>'A. Data_Input_Sheet'!D40</f>
        <v>-768709.5482000001</v>
      </c>
      <c r="I27" s="218"/>
      <c r="J27" s="106">
        <f>IF(ISBLANK('A. Data_Input_Sheet'!L40),'A. Data_Input_Sheet'!D40,'A. Data_Input_Sheet'!L40)</f>
        <v>-1636468.4576000012</v>
      </c>
      <c r="K27" s="222"/>
      <c r="L27" s="107">
        <f>IF(ISBLANK('A. Data_Input_Sheet'!L40),'A. Data_Input_Sheet'!D40,'A. Data_Input_Sheet'!L40)</f>
        <v>-1636468.4576000012</v>
      </c>
      <c r="M27" s="218"/>
    </row>
    <row r="28" spans="2:13" ht="12.75">
      <c r="B28" s="12">
        <v>9</v>
      </c>
      <c r="D28" s="37" t="s">
        <v>150</v>
      </c>
      <c r="F28" s="112">
        <f>SUM(F25:F27)</f>
        <v>1351744.7643420622</v>
      </c>
      <c r="G28" s="222"/>
      <c r="H28" s="113">
        <f>SUM(H25:H27)</f>
        <v>3813617.896724332</v>
      </c>
      <c r="I28" s="218"/>
      <c r="J28" s="112">
        <f>SUM(J25+J27)</f>
        <v>726898.3242751248</v>
      </c>
      <c r="K28" s="222"/>
      <c r="L28" s="104">
        <f>L25+L27</f>
        <v>3544388.9058441482</v>
      </c>
      <c r="M28" s="218"/>
    </row>
    <row r="29" spans="2:13" ht="12.75">
      <c r="B29" s="12"/>
      <c r="D29" s="12"/>
      <c r="F29" s="112"/>
      <c r="G29" s="222"/>
      <c r="H29" s="113"/>
      <c r="I29" s="218"/>
      <c r="J29" s="112"/>
      <c r="K29" s="222"/>
      <c r="L29" s="113"/>
      <c r="M29" s="218"/>
    </row>
    <row r="30" spans="2:13" ht="12.75">
      <c r="B30" s="12">
        <v>10</v>
      </c>
      <c r="D30" s="48" t="s">
        <v>147</v>
      </c>
      <c r="F30" s="120">
        <f>'3.Taxes_PILs'!G39</f>
        <v>0.31</v>
      </c>
      <c r="G30" s="224"/>
      <c r="H30" s="121">
        <f>'3.Taxes_PILs'!G39</f>
        <v>0.31</v>
      </c>
      <c r="I30" s="228"/>
      <c r="J30" s="120">
        <f>'3.Taxes_PILs'!I39</f>
        <v>0.29330487940752836</v>
      </c>
      <c r="K30" s="224"/>
      <c r="L30" s="121">
        <f>'3.Taxes_PILs'!I39</f>
        <v>0.29330487940752836</v>
      </c>
      <c r="M30" s="218"/>
    </row>
    <row r="31" spans="2:13" ht="12.75">
      <c r="B31" s="12">
        <v>11</v>
      </c>
      <c r="D31" s="12" t="s">
        <v>144</v>
      </c>
      <c r="F31" s="105">
        <f>F28*F30</f>
        <v>419040.87694603927</v>
      </c>
      <c r="G31" s="222"/>
      <c r="H31" s="104">
        <f>H28*H30</f>
        <v>1182221.547984543</v>
      </c>
      <c r="I31" s="218"/>
      <c r="J31" s="112">
        <f>J28*J30</f>
        <v>213202.82534304992</v>
      </c>
      <c r="K31" s="222"/>
      <c r="L31" s="104">
        <f>L28*L30</f>
        <v>1039586.5606019993</v>
      </c>
      <c r="M31" s="218"/>
    </row>
    <row r="32" spans="2:13" ht="12.75">
      <c r="B32" s="12">
        <v>12</v>
      </c>
      <c r="D32" s="13" t="s">
        <v>145</v>
      </c>
      <c r="F32" s="105">
        <f>'A. Data_Input_Sheet'!D47</f>
        <v>0</v>
      </c>
      <c r="G32" s="222"/>
      <c r="H32" s="104">
        <f>'A. Data_Input_Sheet'!D47</f>
        <v>0</v>
      </c>
      <c r="I32" s="218"/>
      <c r="J32" s="105">
        <f>IF(ISBLANK('A. Data_Input_Sheet'!L47),'A. Data_Input_Sheet'!D47,'A. Data_Input_Sheet'!L47)</f>
        <v>0</v>
      </c>
      <c r="K32" s="222"/>
      <c r="L32" s="104">
        <f>IF(ISBLANK('A. Data_Input_Sheet'!L47),'A. Data_Input_Sheet'!D47,'A. Data_Input_Sheet'!L47)</f>
        <v>0</v>
      </c>
      <c r="M32" s="218"/>
    </row>
    <row r="33" spans="2:13" ht="13.5" thickBot="1">
      <c r="B33" s="12">
        <v>13</v>
      </c>
      <c r="D33" s="37" t="s">
        <v>146</v>
      </c>
      <c r="F33" s="108">
        <f>F25-SUM(F31:F32)</f>
        <v>1701413.435596023</v>
      </c>
      <c r="G33" s="222"/>
      <c r="H33" s="109">
        <f>'2.Utility Income'!F34</f>
        <v>3400105.7057938976</v>
      </c>
      <c r="I33" s="218"/>
      <c r="J33" s="110">
        <f>J25-SUM(J31:J32)</f>
        <v>2150163.956532076</v>
      </c>
      <c r="K33" s="222"/>
      <c r="L33" s="109">
        <f>'2.Utility Income'!J34</f>
        <v>4141270.806525988</v>
      </c>
      <c r="M33" s="218"/>
    </row>
    <row r="34" spans="2:13" ht="13.5" thickTop="1">
      <c r="B34" s="12"/>
      <c r="F34" s="112"/>
      <c r="G34" s="222"/>
      <c r="H34" s="113"/>
      <c r="I34" s="218"/>
      <c r="J34" s="112"/>
      <c r="K34" s="222"/>
      <c r="L34" s="113"/>
      <c r="M34" s="218"/>
    </row>
    <row r="35" spans="2:13" ht="12.75">
      <c r="B35" s="12">
        <v>14</v>
      </c>
      <c r="D35" s="37" t="s">
        <v>67</v>
      </c>
      <c r="F35" s="105">
        <f>'1.Rate_Base'!G17</f>
        <v>106120669.31372768</v>
      </c>
      <c r="G35" s="222"/>
      <c r="H35" s="104">
        <f>'1.Rate_Base'!G17</f>
        <v>106120669.31372768</v>
      </c>
      <c r="I35" s="218"/>
      <c r="J35" s="105">
        <f>'1.Rate_Base'!K17</f>
        <v>105108395.34967268</v>
      </c>
      <c r="K35" s="222"/>
      <c r="L35" s="104">
        <f>'1.Rate_Base'!K17</f>
        <v>105108395.34967268</v>
      </c>
      <c r="M35" s="218"/>
    </row>
    <row r="36" spans="2:13" ht="12.75">
      <c r="B36" s="12"/>
      <c r="D36" s="12"/>
      <c r="F36" s="105"/>
      <c r="G36" s="222"/>
      <c r="H36" s="104"/>
      <c r="I36" s="218"/>
      <c r="J36" s="112"/>
      <c r="K36" s="222"/>
      <c r="L36" s="104"/>
      <c r="M36" s="218"/>
    </row>
    <row r="37" spans="2:13" ht="12.75">
      <c r="B37" s="12"/>
      <c r="D37" s="122" t="s">
        <v>172</v>
      </c>
      <c r="E37" s="122"/>
      <c r="F37" s="123">
        <f>'4.Cost_of_Capital'!H23</f>
        <v>42448267.72549108</v>
      </c>
      <c r="G37" s="225"/>
      <c r="H37" s="125">
        <f>F37</f>
        <v>42448267.72549108</v>
      </c>
      <c r="I37" s="218"/>
      <c r="J37" s="105">
        <f>'4.Cost_of_Capital'!H38</f>
        <v>42043358.13986907</v>
      </c>
      <c r="K37" s="222"/>
      <c r="L37" s="113">
        <f>J37</f>
        <v>42043358.13986907</v>
      </c>
      <c r="M37" s="218"/>
    </row>
    <row r="38" spans="2:13" ht="12.75">
      <c r="B38" s="12"/>
      <c r="D38" s="122"/>
      <c r="E38" s="122"/>
      <c r="F38" s="126"/>
      <c r="G38" s="225"/>
      <c r="H38" s="127"/>
      <c r="I38" s="218"/>
      <c r="J38" s="101"/>
      <c r="K38" s="222"/>
      <c r="L38" s="62"/>
      <c r="M38" s="218"/>
    </row>
    <row r="39" spans="2:13" ht="12.75">
      <c r="B39" s="12">
        <v>15</v>
      </c>
      <c r="D39" s="13" t="s">
        <v>156</v>
      </c>
      <c r="F39" s="120">
        <f>IF(F37=0,0,F33/F37)</f>
        <v>0.040082046376990046</v>
      </c>
      <c r="G39" s="222"/>
      <c r="H39" s="121">
        <f>IF(H37=0,0,H33/H37)</f>
        <v>0.08009998730176833</v>
      </c>
      <c r="I39" s="218"/>
      <c r="J39" s="120">
        <f>IF(J37=0,0,J33/J37)</f>
        <v>0.05114158458463166</v>
      </c>
      <c r="K39" s="222"/>
      <c r="L39" s="121">
        <f>IF(L37=0,0,L33/L37)</f>
        <v>0.09850000070757632</v>
      </c>
      <c r="M39" s="218"/>
    </row>
    <row r="40" spans="2:13" ht="12.75">
      <c r="B40" s="12">
        <v>16</v>
      </c>
      <c r="D40" s="13" t="s">
        <v>154</v>
      </c>
      <c r="F40" s="128">
        <f>'4.Cost_of_Capital'!J23</f>
        <v>0.0801</v>
      </c>
      <c r="G40" s="222"/>
      <c r="H40" s="129">
        <f>'4.Cost_of_Capital'!J23</f>
        <v>0.0801</v>
      </c>
      <c r="I40" s="218"/>
      <c r="J40" s="130">
        <f>'4.Cost_of_Capital'!J38</f>
        <v>0.0985</v>
      </c>
      <c r="K40" s="222"/>
      <c r="L40" s="129">
        <f>'4.Cost_of_Capital'!J38</f>
        <v>0.0985</v>
      </c>
      <c r="M40" s="218"/>
    </row>
    <row r="41" spans="2:13" ht="12.75">
      <c r="B41" s="12"/>
      <c r="D41" s="13" t="s">
        <v>168</v>
      </c>
      <c r="F41" s="120">
        <f>F39-F40</f>
        <v>-0.04001795362300996</v>
      </c>
      <c r="G41" s="222"/>
      <c r="H41" s="121">
        <f>H39-H40</f>
        <v>-1.2698231674490579E-08</v>
      </c>
      <c r="I41" s="218"/>
      <c r="J41" s="131">
        <f>J39-J40</f>
        <v>-0.047358415415368345</v>
      </c>
      <c r="K41" s="222"/>
      <c r="L41" s="121">
        <f>L39-L40</f>
        <v>7.075763169828164E-10</v>
      </c>
      <c r="M41" s="218"/>
    </row>
    <row r="42" spans="2:13" ht="12.75">
      <c r="B42" s="12"/>
      <c r="F42" s="120"/>
      <c r="G42" s="222"/>
      <c r="H42" s="121"/>
      <c r="I42" s="218"/>
      <c r="J42" s="101"/>
      <c r="K42" s="222"/>
      <c r="L42" s="62"/>
      <c r="M42" s="218"/>
    </row>
    <row r="43" spans="2:13" ht="12.75">
      <c r="B43" s="12">
        <v>17</v>
      </c>
      <c r="D43" s="13" t="s">
        <v>68</v>
      </c>
      <c r="F43" s="120">
        <f>IF(F35=0,0,(F33+F22)/F35)</f>
        <v>0.045694051137443306</v>
      </c>
      <c r="G43" s="222"/>
      <c r="H43" s="121">
        <f>IF(H35=0,0,(H33+H22)/H35)</f>
        <v>0.06170122750735462</v>
      </c>
      <c r="I43" s="218"/>
      <c r="J43" s="120">
        <f>IF(J35=0,0,(J33+J22)/J35)</f>
        <v>0.049245433833852666</v>
      </c>
      <c r="K43" s="222"/>
      <c r="L43" s="121">
        <f>IF(L37=0,0,(L33+L22)/L35)</f>
        <v>0.06818880028303054</v>
      </c>
      <c r="M43" s="218"/>
    </row>
    <row r="44" spans="2:13" ht="12.75">
      <c r="B44" s="12">
        <v>18</v>
      </c>
      <c r="D44" s="13" t="s">
        <v>155</v>
      </c>
      <c r="F44" s="130">
        <f>'4.Cost_of_Capital'!J25</f>
        <v>0.061701232586647295</v>
      </c>
      <c r="G44" s="222"/>
      <c r="H44" s="132">
        <f>'4.Cost_of_Capital'!J25</f>
        <v>0.061701232586647295</v>
      </c>
      <c r="I44" s="218"/>
      <c r="J44" s="130">
        <f>'4.Cost_of_Capital'!J40</f>
        <v>0.06818880000000001</v>
      </c>
      <c r="K44" s="222"/>
      <c r="L44" s="129">
        <f>'4.Cost_of_Capital'!J40</f>
        <v>0.06818880000000001</v>
      </c>
      <c r="M44" s="218"/>
    </row>
    <row r="45" spans="2:13" ht="12.75">
      <c r="B45" s="12">
        <v>19</v>
      </c>
      <c r="D45" s="13" t="s">
        <v>69</v>
      </c>
      <c r="F45" s="131">
        <f>F43-F44</f>
        <v>-0.01600718144920399</v>
      </c>
      <c r="G45" s="222"/>
      <c r="H45" s="133">
        <f>H43-H44</f>
        <v>-5.079292673959568E-09</v>
      </c>
      <c r="I45" s="218"/>
      <c r="J45" s="131">
        <f>J43-J44</f>
        <v>-0.018943366166147342</v>
      </c>
      <c r="K45" s="222"/>
      <c r="L45" s="133">
        <f>L43-L44</f>
        <v>2.8303052956868413E-10</v>
      </c>
      <c r="M45" s="218"/>
    </row>
    <row r="46" spans="2:13" ht="12.75">
      <c r="B46" s="12"/>
      <c r="F46" s="101"/>
      <c r="G46" s="222"/>
      <c r="H46" s="62"/>
      <c r="I46" s="218"/>
      <c r="J46" s="101"/>
      <c r="K46" s="222"/>
      <c r="L46" s="62"/>
      <c r="M46" s="218"/>
    </row>
    <row r="47" spans="2:13" ht="12.75">
      <c r="B47" s="12">
        <v>20</v>
      </c>
      <c r="D47" s="13" t="s">
        <v>167</v>
      </c>
      <c r="F47" s="105">
        <f>H47</f>
        <v>3400106.2448118352</v>
      </c>
      <c r="G47" s="226"/>
      <c r="H47" s="104">
        <f>'4.Cost_of_Capital'!L23</f>
        <v>3400106.2448118352</v>
      </c>
      <c r="I47" s="229"/>
      <c r="J47" s="105">
        <f>L47</f>
        <v>4141270.7767771035</v>
      </c>
      <c r="K47" s="226"/>
      <c r="L47" s="104">
        <f>'4.Cost_of_Capital'!L38</f>
        <v>4141270.7767771035</v>
      </c>
      <c r="M47" s="218"/>
    </row>
    <row r="48" spans="2:13" ht="12.75">
      <c r="B48" s="12">
        <v>21</v>
      </c>
      <c r="D48" s="13" t="s">
        <v>60</v>
      </c>
      <c r="F48" s="105">
        <f>F47-F33</f>
        <v>1698692.8092158122</v>
      </c>
      <c r="G48" s="226" t="s">
        <v>157</v>
      </c>
      <c r="H48" s="113">
        <f>H35*H45</f>
        <v>-0.5390179382009029</v>
      </c>
      <c r="I48" s="229"/>
      <c r="J48" s="105">
        <f>J47-J33</f>
        <v>1991106.8202450275</v>
      </c>
      <c r="K48" s="226"/>
      <c r="L48" s="113">
        <f>L35*L45</f>
        <v>0.029748884797932473</v>
      </c>
      <c r="M48" s="218"/>
    </row>
    <row r="49" spans="2:12" ht="12.75">
      <c r="B49" s="12">
        <v>22</v>
      </c>
      <c r="D49" s="37" t="s">
        <v>70</v>
      </c>
      <c r="F49" s="106">
        <f>F48/(1-F30)</f>
        <v>2461873.6365446555</v>
      </c>
      <c r="G49" s="134" t="s">
        <v>2</v>
      </c>
      <c r="H49" s="135"/>
      <c r="I49" s="44"/>
      <c r="J49" s="106">
        <f>J48/(1-J30)</f>
        <v>2817490.5446860087</v>
      </c>
      <c r="K49" s="134" t="s">
        <v>2</v>
      </c>
      <c r="L49" s="135"/>
    </row>
    <row r="52" spans="2:11" ht="12.75">
      <c r="B52" s="324" t="s">
        <v>52</v>
      </c>
      <c r="C52" s="324"/>
      <c r="D52" s="324"/>
      <c r="E52" s="324"/>
      <c r="F52" s="324"/>
      <c r="G52" s="324"/>
      <c r="H52" s="324"/>
      <c r="I52" s="324"/>
      <c r="J52" s="136"/>
      <c r="K52" s="136"/>
    </row>
    <row r="53" spans="2:12" ht="12.75">
      <c r="B53" s="39" t="s">
        <v>2</v>
      </c>
      <c r="D53" s="268" t="s">
        <v>175</v>
      </c>
      <c r="E53" s="268"/>
      <c r="F53" s="268"/>
      <c r="G53" s="268"/>
      <c r="H53" s="268"/>
      <c r="I53" s="268"/>
      <c r="J53" s="268"/>
      <c r="K53" s="268"/>
      <c r="L53" s="268"/>
    </row>
    <row r="54" spans="2:12" ht="12.75">
      <c r="B54" s="253"/>
      <c r="D54" s="267"/>
      <c r="E54" s="267"/>
      <c r="F54" s="267"/>
      <c r="G54" s="267"/>
      <c r="H54" s="267"/>
      <c r="I54" s="267"/>
      <c r="J54" s="267"/>
      <c r="K54" s="267"/>
      <c r="L54" s="267"/>
    </row>
    <row r="55" spans="2:12" ht="12.75">
      <c r="B55" s="253"/>
      <c r="D55" s="267"/>
      <c r="E55" s="267"/>
      <c r="F55" s="267"/>
      <c r="G55" s="267"/>
      <c r="H55" s="267"/>
      <c r="I55" s="267"/>
      <c r="J55" s="267"/>
      <c r="K55" s="267"/>
      <c r="L55" s="267"/>
    </row>
    <row r="56" spans="2:12" ht="12.75">
      <c r="B56" s="253"/>
      <c r="D56" s="267"/>
      <c r="E56" s="267"/>
      <c r="F56" s="267"/>
      <c r="G56" s="267"/>
      <c r="H56" s="267"/>
      <c r="I56" s="267"/>
      <c r="J56" s="267"/>
      <c r="K56" s="267"/>
      <c r="L56" s="267"/>
    </row>
  </sheetData>
  <sheetProtection password="82A3" sheet="1" objects="1" scenarios="1"/>
  <mergeCells count="18">
    <mergeCell ref="F8:L8"/>
    <mergeCell ref="H12:H13"/>
    <mergeCell ref="L12:L13"/>
    <mergeCell ref="F12:F13"/>
    <mergeCell ref="J10:L10"/>
    <mergeCell ref="J12:J13"/>
    <mergeCell ref="B52:I52"/>
    <mergeCell ref="D12:D13"/>
    <mergeCell ref="B12:B13"/>
    <mergeCell ref="F10:H10"/>
    <mergeCell ref="D56:L56"/>
    <mergeCell ref="D53:L53"/>
    <mergeCell ref="D54:L54"/>
    <mergeCell ref="D55:L55"/>
    <mergeCell ref="C1:K1"/>
    <mergeCell ref="C2:K2"/>
    <mergeCell ref="C3:K3"/>
    <mergeCell ref="C4:H4"/>
  </mergeCells>
  <printOptions/>
  <pageMargins left="0.75" right="0.75" top="0.65" bottom="1" header="0.4" footer="0.5"/>
  <pageSetup fitToHeight="1" fitToWidth="1" horizontalDpi="600" verticalDpi="600" orientation="portrait" scale="80"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N39"/>
  <sheetViews>
    <sheetView showGridLines="0" zoomScalePageLayoutView="0" workbookViewId="0" topLeftCell="A1">
      <selection activeCell="D33" sqref="D33"/>
    </sheetView>
  </sheetViews>
  <sheetFormatPr defaultColWidth="9.140625" defaultRowHeight="12.75"/>
  <cols>
    <col min="1" max="1" width="1.8515625" style="13" customWidth="1"/>
    <col min="2" max="2" width="4.7109375" style="13" customWidth="1"/>
    <col min="3" max="3" width="2.7109375" style="13" customWidth="1"/>
    <col min="4" max="4" width="32.7109375" style="13" customWidth="1"/>
    <col min="5" max="5" width="3.00390625" style="13" customWidth="1"/>
    <col min="6" max="6" width="19.421875" style="13" customWidth="1"/>
    <col min="7" max="7" width="3.57421875" style="13" customWidth="1"/>
    <col min="8" max="8" width="12.8515625" style="13" customWidth="1"/>
    <col min="9" max="9" width="7.140625" style="13" customWidth="1"/>
    <col min="10" max="10" width="2.7109375" style="13" customWidth="1"/>
    <col min="11" max="16384" width="9.140625" style="13" customWidth="1"/>
  </cols>
  <sheetData>
    <row r="1" spans="3:11" s="2" customFormat="1" ht="20.25" customHeight="1">
      <c r="C1" s="311" t="s">
        <v>180</v>
      </c>
      <c r="D1" s="311"/>
      <c r="E1" s="311"/>
      <c r="F1" s="311"/>
      <c r="G1" s="311"/>
      <c r="H1" s="311"/>
      <c r="I1" s="311"/>
      <c r="J1" s="311"/>
      <c r="K1" s="311"/>
    </row>
    <row r="2" spans="3:11" s="2" customFormat="1" ht="18">
      <c r="C2" s="312" t="str">
        <f>"Name of LDC:    "&amp;IF(ISBLANK('Table of Contents'!D2),"",'Table of Contents'!D2)</f>
        <v>Name of LDC:    Cambridge and North Dumfries Hydro Inc.</v>
      </c>
      <c r="D2" s="312"/>
      <c r="E2" s="312"/>
      <c r="F2" s="312"/>
      <c r="G2" s="312"/>
      <c r="H2" s="312"/>
      <c r="I2" s="312"/>
      <c r="J2" s="312"/>
      <c r="K2" s="312"/>
    </row>
    <row r="3" spans="3:11" s="2" customFormat="1" ht="18">
      <c r="C3" s="312" t="str">
        <f>"File Number:      "&amp;IF(ISBLANK('Table of Contents'!D4),"",'Table of Contents'!D4)</f>
        <v>File Number:      EB- 2009 - 0260</v>
      </c>
      <c r="D3" s="312"/>
      <c r="E3" s="312"/>
      <c r="F3" s="312"/>
      <c r="G3" s="312"/>
      <c r="H3" s="312"/>
      <c r="I3" s="312"/>
      <c r="J3" s="312"/>
      <c r="K3" s="312"/>
    </row>
    <row r="4" spans="3:11" s="2" customFormat="1" ht="18">
      <c r="C4" s="312" t="str">
        <f>"Rate Year:          "&amp;IF(ISBLANK('Table of Contents'!D6),"",'Table of Contents'!D6)</f>
        <v>Rate Year:          2010</v>
      </c>
      <c r="D4" s="312"/>
      <c r="E4" s="312"/>
      <c r="F4" s="312"/>
      <c r="G4" s="312"/>
      <c r="H4" s="312"/>
      <c r="I4" s="72"/>
      <c r="J4" s="72"/>
      <c r="K4" s="72"/>
    </row>
    <row r="5" spans="5:6" s="2" customFormat="1" ht="15.75">
      <c r="E5" s="5"/>
      <c r="F5" s="5"/>
    </row>
    <row r="6" s="2" customFormat="1" ht="12.75"/>
    <row r="7" ht="4.5" customHeight="1"/>
    <row r="8" spans="6:10" ht="21" customHeight="1">
      <c r="F8" s="314" t="s">
        <v>40</v>
      </c>
      <c r="G8" s="314"/>
      <c r="H8" s="314"/>
      <c r="I8" s="314"/>
      <c r="J8" s="73"/>
    </row>
    <row r="9" spans="6:10" ht="13.5" customHeight="1">
      <c r="F9" s="74"/>
      <c r="G9" s="74"/>
      <c r="H9" s="74"/>
      <c r="I9" s="74"/>
      <c r="J9" s="73"/>
    </row>
    <row r="10" spans="2:9" ht="39" customHeight="1">
      <c r="B10" s="75" t="s">
        <v>43</v>
      </c>
      <c r="D10" s="76" t="s">
        <v>42</v>
      </c>
      <c r="F10" s="35" t="s">
        <v>26</v>
      </c>
      <c r="G10" s="78"/>
      <c r="H10" s="306" t="str">
        <f>'A. Data_Input_Sheet'!L10</f>
        <v>Per Board Decision</v>
      </c>
      <c r="I10" s="306"/>
    </row>
    <row r="11" spans="2:10" ht="14.25" customHeight="1">
      <c r="B11" s="12"/>
      <c r="D11" s="78"/>
      <c r="F11" s="78"/>
      <c r="G11" s="221"/>
      <c r="H11" s="342"/>
      <c r="I11" s="342"/>
      <c r="J11" s="218"/>
    </row>
    <row r="12" spans="2:10" ht="12.75">
      <c r="B12" s="12">
        <v>1</v>
      </c>
      <c r="D12" s="13" t="s">
        <v>187</v>
      </c>
      <c r="F12" s="79">
        <f>'2.Utility Income'!F19</f>
        <v>10658608</v>
      </c>
      <c r="G12" s="246"/>
      <c r="H12" s="336">
        <f>'2.Utility Income'!J19</f>
        <v>10032108</v>
      </c>
      <c r="I12" s="337"/>
      <c r="J12" s="251"/>
    </row>
    <row r="13" spans="2:10" ht="12.75">
      <c r="B13" s="12">
        <v>2</v>
      </c>
      <c r="D13" s="13" t="s">
        <v>38</v>
      </c>
      <c r="F13" s="80">
        <f>'2.Utility Income'!F20</f>
        <v>6490738</v>
      </c>
      <c r="G13" s="247"/>
      <c r="H13" s="333">
        <f>'2.Utility Income'!J20</f>
        <v>6384985.000000001</v>
      </c>
      <c r="I13" s="334"/>
      <c r="J13" s="251"/>
    </row>
    <row r="14" spans="2:10" ht="12.75">
      <c r="B14" s="12">
        <v>3</v>
      </c>
      <c r="D14" s="13" t="s">
        <v>55</v>
      </c>
      <c r="F14" s="80">
        <f>'2.Utility Income'!F21</f>
        <v>0</v>
      </c>
      <c r="G14" s="247"/>
      <c r="H14" s="333">
        <f>'2.Utility Income'!J21</f>
        <v>0</v>
      </c>
      <c r="I14" s="334"/>
      <c r="J14" s="251"/>
    </row>
    <row r="15" spans="2:10" ht="12.75">
      <c r="B15" s="12">
        <v>4</v>
      </c>
      <c r="D15" s="13" t="s">
        <v>186</v>
      </c>
      <c r="F15" s="80">
        <f>'3.Taxes_PILs'!G23</f>
        <v>79591</v>
      </c>
      <c r="G15" s="247"/>
      <c r="H15" s="333">
        <f>'3.Taxes_PILs'!I23</f>
        <v>67581.29683945872</v>
      </c>
      <c r="I15" s="334"/>
      <c r="J15" s="251"/>
    </row>
    <row r="16" spans="2:10" ht="12.75">
      <c r="B16" s="12">
        <v>5</v>
      </c>
      <c r="D16" s="13" t="s">
        <v>118</v>
      </c>
      <c r="F16" s="80">
        <f>'3.Taxes_PILs'!G31-F15</f>
        <v>1182221.7391304348</v>
      </c>
      <c r="G16" s="247"/>
      <c r="H16" s="333">
        <f>'3.Taxes_PILs'!I31-H15</f>
        <v>1039586.5569181616</v>
      </c>
      <c r="I16" s="334"/>
      <c r="J16" s="251"/>
    </row>
    <row r="17" spans="2:10" ht="12.75">
      <c r="B17" s="12">
        <v>6</v>
      </c>
      <c r="D17" s="13" t="s">
        <v>174</v>
      </c>
      <c r="F17" s="80">
        <f>'2.Utility Income'!F23</f>
        <v>0</v>
      </c>
      <c r="G17" s="247"/>
      <c r="H17" s="335">
        <f>'2.Utility Income'!J23</f>
        <v>0</v>
      </c>
      <c r="I17" s="335"/>
      <c r="J17" s="251"/>
    </row>
    <row r="18" spans="2:10" ht="12.75">
      <c r="B18" s="12">
        <v>7</v>
      </c>
      <c r="D18" s="13" t="s">
        <v>25</v>
      </c>
      <c r="F18" s="81"/>
      <c r="G18" s="230"/>
      <c r="H18" s="345"/>
      <c r="I18" s="346"/>
      <c r="J18" s="251"/>
    </row>
    <row r="19" spans="2:10" ht="12.75">
      <c r="B19" s="12"/>
      <c r="D19" s="13" t="s">
        <v>169</v>
      </c>
      <c r="F19" s="83">
        <f>'5. Rev_Suff_Def'!F22</f>
        <v>3147669.85476516</v>
      </c>
      <c r="G19" s="248"/>
      <c r="H19" s="344">
        <f>'5. Rev_Suff_Def'!L22</f>
        <v>3025944.572042657</v>
      </c>
      <c r="I19" s="344"/>
      <c r="J19" s="251"/>
    </row>
    <row r="20" spans="2:10" ht="12.75">
      <c r="B20" s="12"/>
      <c r="D20" s="13" t="s">
        <v>170</v>
      </c>
      <c r="F20" s="83">
        <f>'5. Rev_Suff_Def'!F47</f>
        <v>3400106.2448118352</v>
      </c>
      <c r="G20" s="248"/>
      <c r="H20" s="347">
        <f>'5. Rev_Suff_Def'!J47</f>
        <v>4141270.7767771035</v>
      </c>
      <c r="I20" s="347"/>
      <c r="J20" s="251"/>
    </row>
    <row r="21" spans="2:14" ht="12.75">
      <c r="B21" s="84"/>
      <c r="C21" s="34"/>
      <c r="D21" s="34"/>
      <c r="E21" s="34"/>
      <c r="F21" s="85"/>
      <c r="G21" s="249"/>
      <c r="H21" s="85"/>
      <c r="I21" s="86"/>
      <c r="J21" s="252"/>
      <c r="K21" s="34"/>
      <c r="L21" s="34"/>
      <c r="M21" s="34"/>
      <c r="N21" s="34"/>
    </row>
    <row r="22" spans="2:14" ht="26.25" thickBot="1">
      <c r="B22" s="84">
        <v>8</v>
      </c>
      <c r="C22" s="34"/>
      <c r="D22" s="51" t="s">
        <v>66</v>
      </c>
      <c r="E22" s="34"/>
      <c r="F22" s="87">
        <f>SUM(F12:F20)</f>
        <v>24958934.83870743</v>
      </c>
      <c r="G22" s="249"/>
      <c r="H22" s="276">
        <f>SUM(H12:I20)</f>
        <v>24691476.202577382</v>
      </c>
      <c r="I22" s="276"/>
      <c r="J22" s="252"/>
      <c r="K22" s="34"/>
      <c r="L22" s="34"/>
      <c r="M22" s="34"/>
      <c r="N22" s="34"/>
    </row>
    <row r="23" spans="2:10" ht="13.5" thickTop="1">
      <c r="B23" s="12"/>
      <c r="F23" s="88"/>
      <c r="G23" s="247"/>
      <c r="H23" s="343"/>
      <c r="I23" s="343"/>
      <c r="J23" s="251"/>
    </row>
    <row r="24" spans="2:10" ht="12.75">
      <c r="B24" s="12">
        <v>9</v>
      </c>
      <c r="D24" s="13" t="s">
        <v>75</v>
      </c>
      <c r="F24" s="80">
        <f>'2.Utility Income'!F13</f>
        <v>23345924.299689494</v>
      </c>
      <c r="G24" s="247"/>
      <c r="H24" s="333">
        <f>'2.Utility Income'!J13</f>
        <v>23201066.232326265</v>
      </c>
      <c r="I24" s="334"/>
      <c r="J24" s="251"/>
    </row>
    <row r="25" spans="2:10" ht="12.75">
      <c r="B25" s="12">
        <v>10</v>
      </c>
      <c r="D25" s="13" t="s">
        <v>39</v>
      </c>
      <c r="F25" s="89">
        <f>'2.Utility Income'!F14</f>
        <v>1613010</v>
      </c>
      <c r="G25" s="250"/>
      <c r="H25" s="264">
        <f>'2.Utility Income'!J14</f>
        <v>1490410</v>
      </c>
      <c r="I25" s="341"/>
      <c r="J25" s="251"/>
    </row>
    <row r="26" spans="2:10" ht="12.75">
      <c r="B26" s="12"/>
      <c r="F26" s="275">
        <f>SUM(F24:F25)</f>
        <v>24958934.299689494</v>
      </c>
      <c r="G26" s="248"/>
      <c r="H26" s="275">
        <f>SUM(H24:H25)</f>
        <v>24691476.232326265</v>
      </c>
      <c r="I26" s="259"/>
      <c r="J26" s="251"/>
    </row>
    <row r="27" spans="2:10" ht="12.75">
      <c r="B27" s="12">
        <v>11</v>
      </c>
      <c r="D27" s="37" t="s">
        <v>46</v>
      </c>
      <c r="F27" s="309"/>
      <c r="G27" s="248"/>
      <c r="H27" s="309"/>
      <c r="I27" s="338"/>
      <c r="J27" s="251"/>
    </row>
    <row r="28" spans="2:10" ht="12.75">
      <c r="B28" s="12"/>
      <c r="F28" s="344">
        <f>F26-F22</f>
        <v>-0.5390179343521595</v>
      </c>
      <c r="G28" s="231"/>
      <c r="H28" s="273">
        <f>H26-H22</f>
        <v>0.029748883098363876</v>
      </c>
      <c r="I28" s="339"/>
      <c r="J28" s="232"/>
    </row>
    <row r="29" spans="2:10" ht="39" thickBot="1">
      <c r="B29" s="12">
        <v>12</v>
      </c>
      <c r="D29" s="92" t="s">
        <v>198</v>
      </c>
      <c r="F29" s="258"/>
      <c r="G29" s="244" t="s">
        <v>2</v>
      </c>
      <c r="H29" s="258"/>
      <c r="I29" s="340"/>
      <c r="J29" s="245" t="s">
        <v>2</v>
      </c>
    </row>
    <row r="30" spans="6:9" ht="13.5" thickTop="1">
      <c r="F30" s="93"/>
      <c r="G30" s="93"/>
      <c r="H30" s="93"/>
      <c r="I30" s="93"/>
    </row>
    <row r="32" spans="2:9" ht="12.75">
      <c r="B32" s="263" t="s">
        <v>44</v>
      </c>
      <c r="C32" s="263"/>
      <c r="D32" s="263"/>
      <c r="E32" s="263"/>
      <c r="F32" s="263"/>
      <c r="G32" s="263"/>
      <c r="H32" s="263"/>
      <c r="I32" s="263"/>
    </row>
    <row r="33" spans="2:4" ht="12.75">
      <c r="B33" s="39" t="s">
        <v>2</v>
      </c>
      <c r="D33" s="13" t="s">
        <v>196</v>
      </c>
    </row>
    <row r="34" spans="2:9" ht="12.75">
      <c r="B34" s="253"/>
      <c r="D34" s="313"/>
      <c r="E34" s="313"/>
      <c r="F34" s="313"/>
      <c r="G34" s="313"/>
      <c r="H34" s="313"/>
      <c r="I34" s="313"/>
    </row>
    <row r="35" spans="2:9" ht="12.75">
      <c r="B35" s="253"/>
      <c r="D35" s="313"/>
      <c r="E35" s="313"/>
      <c r="F35" s="313"/>
      <c r="G35" s="313"/>
      <c r="H35" s="313"/>
      <c r="I35" s="313"/>
    </row>
    <row r="36" spans="2:9" ht="12.75">
      <c r="B36" s="253"/>
      <c r="D36" s="313"/>
      <c r="E36" s="313"/>
      <c r="F36" s="313"/>
      <c r="G36" s="313"/>
      <c r="H36" s="313"/>
      <c r="I36" s="313"/>
    </row>
    <row r="37" spans="2:9" ht="12.75">
      <c r="B37" s="253"/>
      <c r="D37" s="313"/>
      <c r="E37" s="313"/>
      <c r="F37" s="313"/>
      <c r="G37" s="313"/>
      <c r="H37" s="313"/>
      <c r="I37" s="313"/>
    </row>
    <row r="38" spans="2:9" ht="12.75">
      <c r="B38" s="253"/>
      <c r="D38" s="313"/>
      <c r="E38" s="313"/>
      <c r="F38" s="313"/>
      <c r="G38" s="313"/>
      <c r="H38" s="313"/>
      <c r="I38" s="313"/>
    </row>
    <row r="39" spans="2:9" ht="12.75">
      <c r="B39" s="253"/>
      <c r="D39" s="313"/>
      <c r="E39" s="313"/>
      <c r="F39" s="313"/>
      <c r="G39" s="313"/>
      <c r="H39" s="313"/>
      <c r="I39" s="313"/>
    </row>
  </sheetData>
  <sheetProtection password="82A3" sheet="1" objects="1" scenarios="1"/>
  <mergeCells count="31">
    <mergeCell ref="F28:F29"/>
    <mergeCell ref="F26:F27"/>
    <mergeCell ref="H14:I14"/>
    <mergeCell ref="H18:I18"/>
    <mergeCell ref="H22:I22"/>
    <mergeCell ref="H24:I24"/>
    <mergeCell ref="H15:I15"/>
    <mergeCell ref="H16:I16"/>
    <mergeCell ref="H19:I19"/>
    <mergeCell ref="H20:I20"/>
    <mergeCell ref="H17:I17"/>
    <mergeCell ref="D38:I38"/>
    <mergeCell ref="H10:I10"/>
    <mergeCell ref="H12:I12"/>
    <mergeCell ref="H26:I27"/>
    <mergeCell ref="H28:I29"/>
    <mergeCell ref="H25:I25"/>
    <mergeCell ref="B32:I32"/>
    <mergeCell ref="H11:I11"/>
    <mergeCell ref="H23:I23"/>
    <mergeCell ref="D39:I39"/>
    <mergeCell ref="D34:I34"/>
    <mergeCell ref="D35:I35"/>
    <mergeCell ref="D36:I36"/>
    <mergeCell ref="D37:I37"/>
    <mergeCell ref="F8:I8"/>
    <mergeCell ref="H13:I13"/>
    <mergeCell ref="C1:K1"/>
    <mergeCell ref="C2:K2"/>
    <mergeCell ref="C3:K3"/>
    <mergeCell ref="C4:H4"/>
  </mergeCells>
  <printOptions/>
  <pageMargins left="0.75" right="0.75" top="0.64" bottom="1" header="0.5" footer="0.5"/>
  <pageSetup fitToHeight="1" fitToWidth="1" horizontalDpi="600" verticalDpi="600" orientation="portrait"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9">
    <pageSetUpPr fitToPage="1"/>
  </sheetPr>
  <dimension ref="B1:Q23"/>
  <sheetViews>
    <sheetView showGridLines="0" tabSelected="1" zoomScalePageLayoutView="0" workbookViewId="0" topLeftCell="A1">
      <selection activeCell="M14" sqref="M14:N17"/>
    </sheetView>
  </sheetViews>
  <sheetFormatPr defaultColWidth="9.140625" defaultRowHeight="12.75"/>
  <cols>
    <col min="1" max="1" width="1.7109375" style="13" customWidth="1"/>
    <col min="2" max="2" width="5.8515625" style="13" customWidth="1"/>
    <col min="3" max="3" width="2.7109375" style="13" customWidth="1"/>
    <col min="4" max="4" width="14.7109375" style="13" customWidth="1"/>
    <col min="5" max="6" width="7.57421875" style="13" customWidth="1"/>
    <col min="7" max="9" width="9.7109375" style="13" customWidth="1"/>
    <col min="10" max="10" width="8.7109375" style="13" customWidth="1"/>
    <col min="11" max="11" width="2.140625" style="13" customWidth="1"/>
    <col min="12" max="12" width="2.00390625" style="13" customWidth="1"/>
    <col min="13" max="15" width="9.7109375" style="13" customWidth="1"/>
    <col min="16" max="16" width="8.7109375" style="13" customWidth="1"/>
    <col min="17" max="17" width="3.8515625" style="13" customWidth="1"/>
    <col min="18" max="16384" width="9.140625" style="13" customWidth="1"/>
  </cols>
  <sheetData>
    <row r="1" spans="3:11" s="2" customFormat="1" ht="20.25" customHeight="1">
      <c r="C1" s="290" t="s">
        <v>180</v>
      </c>
      <c r="D1" s="290"/>
      <c r="E1" s="290"/>
      <c r="F1" s="290"/>
      <c r="G1" s="290"/>
      <c r="H1" s="290"/>
      <c r="I1" s="290"/>
      <c r="J1" s="290"/>
      <c r="K1" s="290"/>
    </row>
    <row r="2" spans="3:14" s="2" customFormat="1" ht="18">
      <c r="C2" s="289" t="str">
        <f>"Name of LDC:    "&amp;IF(ISBLANK('Table of Contents'!D2),"",'Table of Contents'!D2)</f>
        <v>Name of LDC:    Cambridge and North Dumfries Hydro Inc.</v>
      </c>
      <c r="D2" s="289"/>
      <c r="E2" s="289"/>
      <c r="F2" s="289"/>
      <c r="G2" s="289"/>
      <c r="H2" s="289"/>
      <c r="I2" s="289"/>
      <c r="J2" s="289"/>
      <c r="K2" s="289"/>
      <c r="L2" s="289"/>
      <c r="M2" s="289"/>
      <c r="N2" s="289"/>
    </row>
    <row r="3" spans="3:11" s="2" customFormat="1" ht="18">
      <c r="C3" s="289" t="str">
        <f>"File Number:      "&amp;IF(ISBLANK('Table of Contents'!D4),"",'Table of Contents'!D4)</f>
        <v>File Number:      EB- 2009 - 0260</v>
      </c>
      <c r="D3" s="289"/>
      <c r="E3" s="289"/>
      <c r="F3" s="289"/>
      <c r="G3" s="289"/>
      <c r="H3" s="289"/>
      <c r="I3" s="289"/>
      <c r="J3" s="289"/>
      <c r="K3" s="289"/>
    </row>
    <row r="4" spans="3:11" s="2" customFormat="1" ht="18">
      <c r="C4" s="289" t="str">
        <f>"Rate Year:          "&amp;IF(ISBLANK('Table of Contents'!D6),"",'Table of Contents'!D6)</f>
        <v>Rate Year:          2010</v>
      </c>
      <c r="D4" s="289"/>
      <c r="E4" s="289"/>
      <c r="F4" s="289"/>
      <c r="G4" s="289"/>
      <c r="H4" s="289"/>
      <c r="I4" s="60"/>
      <c r="J4" s="60"/>
      <c r="K4" s="60"/>
    </row>
    <row r="5" spans="5:6" s="2" customFormat="1" ht="15.75">
      <c r="E5" s="5"/>
      <c r="F5" s="5"/>
    </row>
    <row r="6" s="2" customFormat="1" ht="12.75"/>
    <row r="7" ht="4.5" customHeight="1"/>
    <row r="8" spans="4:16" ht="12.75" customHeight="1">
      <c r="D8" s="61"/>
      <c r="E8" s="61"/>
      <c r="F8" s="62"/>
      <c r="G8" s="348" t="s">
        <v>192</v>
      </c>
      <c r="H8" s="349"/>
      <c r="I8" s="349"/>
      <c r="J8" s="349"/>
      <c r="K8" s="349"/>
      <c r="L8" s="349"/>
      <c r="M8" s="349"/>
      <c r="N8" s="349"/>
      <c r="O8" s="349"/>
      <c r="P8" s="350"/>
    </row>
    <row r="9" spans="4:16" ht="12.75" customHeight="1">
      <c r="D9" s="61"/>
      <c r="E9" s="61"/>
      <c r="F9" s="62"/>
      <c r="G9" s="351"/>
      <c r="H9" s="352"/>
      <c r="I9" s="352"/>
      <c r="J9" s="352"/>
      <c r="K9" s="352"/>
      <c r="L9" s="352"/>
      <c r="M9" s="352"/>
      <c r="N9" s="352"/>
      <c r="O9" s="352"/>
      <c r="P9" s="353"/>
    </row>
    <row r="10" spans="4:16" ht="18.75" customHeight="1">
      <c r="D10" s="63"/>
      <c r="E10" s="61"/>
      <c r="F10" s="62"/>
      <c r="G10" s="354"/>
      <c r="H10" s="355"/>
      <c r="I10" s="355"/>
      <c r="J10" s="355"/>
      <c r="K10" s="355"/>
      <c r="L10" s="355"/>
      <c r="M10" s="355"/>
      <c r="N10" s="355"/>
      <c r="O10" s="355"/>
      <c r="P10" s="356"/>
    </row>
    <row r="11" spans="4:16" ht="21" customHeight="1">
      <c r="D11" s="61"/>
      <c r="E11" s="61"/>
      <c r="F11" s="62"/>
      <c r="G11" s="365" t="s">
        <v>64</v>
      </c>
      <c r="H11" s="366"/>
      <c r="I11" s="366"/>
      <c r="J11" s="367"/>
      <c r="K11" s="64"/>
      <c r="L11" s="65"/>
      <c r="M11" s="368" t="s">
        <v>129</v>
      </c>
      <c r="N11" s="368"/>
      <c r="O11" s="368"/>
      <c r="P11" s="369"/>
    </row>
    <row r="12" spans="4:16" ht="12.75">
      <c r="D12" s="61"/>
      <c r="E12" s="61"/>
      <c r="F12" s="62"/>
      <c r="G12" s="383" t="s">
        <v>9</v>
      </c>
      <c r="H12" s="361" t="s">
        <v>65</v>
      </c>
      <c r="I12" s="378" t="s">
        <v>62</v>
      </c>
      <c r="J12" s="377"/>
      <c r="K12" s="68"/>
      <c r="L12" s="62"/>
      <c r="M12" s="363" t="s">
        <v>9</v>
      </c>
      <c r="N12" s="379" t="s">
        <v>65</v>
      </c>
      <c r="O12" s="376" t="s">
        <v>62</v>
      </c>
      <c r="P12" s="377"/>
    </row>
    <row r="13" spans="4:16" ht="12.75">
      <c r="D13" s="61"/>
      <c r="E13" s="61"/>
      <c r="F13" s="62"/>
      <c r="G13" s="384"/>
      <c r="H13" s="362"/>
      <c r="I13" s="69" t="s">
        <v>57</v>
      </c>
      <c r="J13" s="66" t="s">
        <v>58</v>
      </c>
      <c r="K13" s="68"/>
      <c r="L13" s="62"/>
      <c r="M13" s="364"/>
      <c r="N13" s="380"/>
      <c r="O13" s="69" t="s">
        <v>57</v>
      </c>
      <c r="P13" s="66" t="s">
        <v>58</v>
      </c>
    </row>
    <row r="14" spans="2:17" ht="12.75">
      <c r="B14" s="61"/>
      <c r="C14" s="61"/>
      <c r="D14" s="386" t="s">
        <v>63</v>
      </c>
      <c r="E14" s="388" t="s">
        <v>188</v>
      </c>
      <c r="F14" s="361"/>
      <c r="G14" s="359">
        <v>23.93</v>
      </c>
      <c r="H14" s="359">
        <v>23.123254632188015</v>
      </c>
      <c r="I14" s="357">
        <f>H14-G14</f>
        <v>-0.8067453678119847</v>
      </c>
      <c r="J14" s="372">
        <f>IF(ISBLANK(G14),"",I14/G14)</f>
        <v>-0.033712719089510436</v>
      </c>
      <c r="K14" s="370"/>
      <c r="L14" s="371"/>
      <c r="M14" s="359">
        <v>114.06412558883999</v>
      </c>
      <c r="N14" s="359">
        <v>112.7721927131392</v>
      </c>
      <c r="O14" s="374">
        <f>N14-M14</f>
        <v>-1.2919328757007804</v>
      </c>
      <c r="P14" s="372">
        <f>IF(ISBLANK(M14),"",O14/M14)</f>
        <v>-0.011326373380161018</v>
      </c>
      <c r="Q14" s="385"/>
    </row>
    <row r="15" spans="2:17" ht="12.75">
      <c r="B15" s="61"/>
      <c r="C15" s="61"/>
      <c r="D15" s="387"/>
      <c r="E15" s="389"/>
      <c r="F15" s="362"/>
      <c r="G15" s="360"/>
      <c r="H15" s="360"/>
      <c r="I15" s="358"/>
      <c r="J15" s="373"/>
      <c r="K15" s="370"/>
      <c r="L15" s="371"/>
      <c r="M15" s="360"/>
      <c r="N15" s="360"/>
      <c r="O15" s="375"/>
      <c r="P15" s="373"/>
      <c r="Q15" s="385"/>
    </row>
    <row r="16" spans="2:17" ht="12.75">
      <c r="B16" s="61"/>
      <c r="C16" s="61"/>
      <c r="D16" s="386" t="s">
        <v>61</v>
      </c>
      <c r="E16" s="388" t="s">
        <v>189</v>
      </c>
      <c r="F16" s="361"/>
      <c r="G16" s="359">
        <v>39.47</v>
      </c>
      <c r="H16" s="359">
        <v>32.40283218729522</v>
      </c>
      <c r="I16" s="357">
        <f>H16-G16</f>
        <v>-7.067167812704781</v>
      </c>
      <c r="J16" s="372">
        <f>IF(ISBLANK(G16),"",I16/G16)</f>
        <v>-0.1790516294072658</v>
      </c>
      <c r="K16" s="370"/>
      <c r="L16" s="371"/>
      <c r="M16" s="359">
        <v>222.05925716141996</v>
      </c>
      <c r="N16" s="359">
        <v>213.81469421921827</v>
      </c>
      <c r="O16" s="374">
        <f>N16-M16</f>
        <v>-8.244562942201696</v>
      </c>
      <c r="P16" s="372">
        <f>IF(ISBLANK(M16),"",O16/M16)</f>
        <v>-0.037127760614854864</v>
      </c>
      <c r="Q16" s="385"/>
    </row>
    <row r="17" spans="2:17" ht="12.75">
      <c r="B17" s="61"/>
      <c r="C17" s="61"/>
      <c r="D17" s="387"/>
      <c r="E17" s="389"/>
      <c r="F17" s="362"/>
      <c r="G17" s="360"/>
      <c r="H17" s="360"/>
      <c r="I17" s="358"/>
      <c r="J17" s="373"/>
      <c r="K17" s="381"/>
      <c r="L17" s="382"/>
      <c r="M17" s="360"/>
      <c r="N17" s="360"/>
      <c r="O17" s="375"/>
      <c r="P17" s="373"/>
      <c r="Q17" s="385"/>
    </row>
    <row r="19" spans="2:16" ht="12.75">
      <c r="B19" s="277" t="s">
        <v>52</v>
      </c>
      <c r="C19" s="277"/>
      <c r="D19" s="277"/>
      <c r="E19" s="34"/>
      <c r="F19" s="34"/>
      <c r="G19" s="34"/>
      <c r="H19" s="34"/>
      <c r="I19" s="34"/>
      <c r="J19" s="34"/>
      <c r="K19" s="34"/>
      <c r="L19" s="34"/>
      <c r="M19" s="34"/>
      <c r="N19" s="34"/>
      <c r="O19" s="34"/>
      <c r="P19" s="34"/>
    </row>
    <row r="20" spans="2:16" ht="12.75">
      <c r="B20" s="255"/>
      <c r="D20" s="267"/>
      <c r="E20" s="267"/>
      <c r="F20" s="267"/>
      <c r="G20" s="267"/>
      <c r="H20" s="267"/>
      <c r="I20" s="267"/>
      <c r="J20" s="267"/>
      <c r="K20" s="267"/>
      <c r="L20" s="267"/>
      <c r="M20" s="267"/>
      <c r="N20" s="267"/>
      <c r="O20" s="267"/>
      <c r="P20" s="267"/>
    </row>
    <row r="21" spans="2:16" ht="12.75">
      <c r="B21" s="255"/>
      <c r="D21" s="267"/>
      <c r="E21" s="267"/>
      <c r="F21" s="267"/>
      <c r="G21" s="267"/>
      <c r="H21" s="267"/>
      <c r="I21" s="267"/>
      <c r="J21" s="267"/>
      <c r="K21" s="267"/>
      <c r="L21" s="267"/>
      <c r="M21" s="267"/>
      <c r="N21" s="267"/>
      <c r="O21" s="267"/>
      <c r="P21" s="267"/>
    </row>
    <row r="22" spans="2:16" ht="12.75">
      <c r="B22" s="255"/>
      <c r="D22" s="267"/>
      <c r="E22" s="267"/>
      <c r="F22" s="267"/>
      <c r="G22" s="267"/>
      <c r="H22" s="267"/>
      <c r="I22" s="267"/>
      <c r="J22" s="267"/>
      <c r="K22" s="267"/>
      <c r="L22" s="267"/>
      <c r="M22" s="267"/>
      <c r="N22" s="267"/>
      <c r="O22" s="267"/>
      <c r="P22" s="267"/>
    </row>
    <row r="23" spans="2:16" ht="12.75">
      <c r="B23" s="255"/>
      <c r="D23" s="267"/>
      <c r="E23" s="267"/>
      <c r="F23" s="267"/>
      <c r="G23" s="267"/>
      <c r="H23" s="267"/>
      <c r="I23" s="267"/>
      <c r="J23" s="267"/>
      <c r="K23" s="267"/>
      <c r="L23" s="267"/>
      <c r="M23" s="267"/>
      <c r="N23" s="267"/>
      <c r="O23" s="267"/>
      <c r="P23" s="267"/>
    </row>
  </sheetData>
  <sheetProtection password="82A3" sheet="1" objects="1" scenarios="1"/>
  <mergeCells count="42">
    <mergeCell ref="D14:D15"/>
    <mergeCell ref="D16:D17"/>
    <mergeCell ref="E14:F15"/>
    <mergeCell ref="E16:F17"/>
    <mergeCell ref="Q14:Q15"/>
    <mergeCell ref="Q16:Q17"/>
    <mergeCell ref="P14:P15"/>
    <mergeCell ref="N14:N15"/>
    <mergeCell ref="O16:O17"/>
    <mergeCell ref="N16:N17"/>
    <mergeCell ref="M16:M17"/>
    <mergeCell ref="O12:P12"/>
    <mergeCell ref="P16:P17"/>
    <mergeCell ref="G14:G15"/>
    <mergeCell ref="I12:J12"/>
    <mergeCell ref="N12:N13"/>
    <mergeCell ref="K16:L17"/>
    <mergeCell ref="G12:G13"/>
    <mergeCell ref="J16:J17"/>
    <mergeCell ref="M14:M15"/>
    <mergeCell ref="D23:P23"/>
    <mergeCell ref="D20:P20"/>
    <mergeCell ref="D21:P21"/>
    <mergeCell ref="B19:D19"/>
    <mergeCell ref="D22:P22"/>
    <mergeCell ref="M12:M13"/>
    <mergeCell ref="G11:J11"/>
    <mergeCell ref="M11:P11"/>
    <mergeCell ref="K14:L15"/>
    <mergeCell ref="H14:H15"/>
    <mergeCell ref="I14:I15"/>
    <mergeCell ref="J14:J15"/>
    <mergeCell ref="O14:O15"/>
    <mergeCell ref="I16:I17"/>
    <mergeCell ref="G16:G17"/>
    <mergeCell ref="H16:H17"/>
    <mergeCell ref="H12:H13"/>
    <mergeCell ref="C1:K1"/>
    <mergeCell ref="C3:K3"/>
    <mergeCell ref="C4:H4"/>
    <mergeCell ref="G8:P10"/>
    <mergeCell ref="C2:N2"/>
  </mergeCells>
  <printOptions/>
  <pageMargins left="0.75" right="0.75" top="1" bottom="1" header="0.5" footer="0.5"/>
  <pageSetup fitToHeight="1" fitToWidth="1" horizontalDpi="600" verticalDpi="600" orientation="portrait" scale="73" r:id="rId3"/>
  <headerFooter alignWithMargins="0">
    <oddFooter>&amp;C9</oddFooter>
  </headerFooter>
  <legacyDrawing r:id="rId2"/>
  <oleObjects>
    <oleObject progId="Unknown" shapeId="90298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Ravi Baichan</cp:lastModifiedBy>
  <cp:lastPrinted>2010-04-28T15:17:28Z</cp:lastPrinted>
  <dcterms:created xsi:type="dcterms:W3CDTF">2008-10-20T17:39:17Z</dcterms:created>
  <dcterms:modified xsi:type="dcterms:W3CDTF">2010-05-05T14:04:39Z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