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1340" windowHeight="5925" activeTab="0"/>
  </bookViews>
  <sheets>
    <sheet name="1. LDC Information" sheetId="1" r:id="rId1"/>
    <sheet name="2. Smart Meter Data" sheetId="2" r:id="rId2"/>
    <sheet name="3.  LDC Assumptions and Data" sheetId="3" r:id="rId3"/>
    <sheet name="4. Smart Meter Rev Req" sheetId="4" r:id="rId4"/>
    <sheet name="5. PILs" sheetId="5" r:id="rId5"/>
    <sheet name="6. Avg Nt Fix Ass &amp;UCC" sheetId="6" r:id="rId6"/>
    <sheet name="7. Funding Adder Collected" sheetId="7" r:id="rId7"/>
  </sheets>
  <externalReferences>
    <externalReference r:id="rId10"/>
    <externalReference r:id="rId11"/>
    <externalReference r:id="rId12"/>
  </externalReferences>
  <definedNames>
    <definedName name="CDM_2007">#REF!</definedName>
    <definedName name="EDR_06_OthInfo">'[1]4. 2006 Smart Meter Information'!#REF!</definedName>
    <definedName name="EDR06Tariffs">'[1]3. 2006 Tariff Sheet'!#REF!</definedName>
    <definedName name="impactdata">'[2]8-7 OTHER CHGS, COMMOD (Input)'!$B$15:$AS$118</definedName>
    <definedName name="Model_Organization">#REF!</definedName>
    <definedName name="OtherRateCharges">#REF!</definedName>
    <definedName name="PriceCapParams">#REF!</definedName>
    <definedName name="_xlnm.Print_Area" localSheetId="0">'1. LDC Information'!$A$1:$G$24</definedName>
    <definedName name="_xlnm.Print_Area" localSheetId="1">'2. Smart Meter Data'!$A$1:$J$148</definedName>
    <definedName name="_xlnm.Print_Titles" localSheetId="1">'2. Smart Meter Data'!$1:$1</definedName>
    <definedName name="_xlnm.Print_Titles" localSheetId="5">'6. Avg Nt Fix Ass &amp;UCC'!$1:$2</definedName>
    <definedName name="Rate_Riders">#REF!</definedName>
    <definedName name="RPP_Data">#REF!</definedName>
    <definedName name="terr_name">'[2]1-1 GENERAL (Input)'!$C$56:$D$59</definedName>
    <definedName name="UtilityInfo">#REF!</definedName>
    <definedName name="Z_Factor_Analysis">#REF!</definedName>
  </definedNames>
  <calcPr fullCalcOnLoad="1"/>
</workbook>
</file>

<file path=xl/sharedStrings.xml><?xml version="1.0" encoding="utf-8"?>
<sst xmlns="http://schemas.openxmlformats.org/spreadsheetml/2006/main" count="395" uniqueCount="271">
  <si>
    <t>Name of LDC:</t>
  </si>
  <si>
    <t>Licence Number:</t>
  </si>
  <si>
    <t>Date of Submission:</t>
  </si>
  <si>
    <t>Contact Information</t>
  </si>
  <si>
    <t>Name:</t>
  </si>
  <si>
    <t>Title:</t>
  </si>
  <si>
    <t>Phone Number:</t>
  </si>
  <si>
    <t>E-Mail Address:</t>
  </si>
  <si>
    <t>Smart Meter</t>
  </si>
  <si>
    <t>Comp. Hard.</t>
  </si>
  <si>
    <t>Comp. Soft.</t>
  </si>
  <si>
    <t>Tools &amp; Equipment</t>
  </si>
  <si>
    <t>Sheet 2.  Smart Meter Capital Cost and Operational Expense Data</t>
  </si>
  <si>
    <t>Other Equipment</t>
  </si>
  <si>
    <t xml:space="preserve">Smart Meter Unit Installation Plan: </t>
  </si>
  <si>
    <t>assume calendar year installation</t>
  </si>
  <si>
    <t>Total</t>
  </si>
  <si>
    <t>Planned number of Residential smart meters to be installed</t>
  </si>
  <si>
    <t>Planned number of General Service Less Than 50 kW smart meters</t>
  </si>
  <si>
    <t>Planned number of General Service Greater Than 50 kW smart meters</t>
  </si>
  <si>
    <t>Planned Meter Installation (Residential and Less Than 50 kW only)</t>
  </si>
  <si>
    <t xml:space="preserve">Other Unit Installation Plan: </t>
  </si>
  <si>
    <t>Planned number of Collectors to be installed</t>
  </si>
  <si>
    <t>Planned number of Repeaters to be installed</t>
  </si>
  <si>
    <t>Other : Please specify</t>
  </si>
  <si>
    <t>Capital Costs</t>
  </si>
  <si>
    <t>1.1 ADVANCED METERING COMMUNICATION DEVICE (AMCD)</t>
  </si>
  <si>
    <t>Asset Type</t>
  </si>
  <si>
    <t xml:space="preserve">1.1.1 Smart Meter  </t>
  </si>
  <si>
    <t>may include new meters and modules, etc.</t>
  </si>
  <si>
    <t xml:space="preserve">1.1.2 Installation Cost </t>
  </si>
  <si>
    <t>may include socket kits plus shipping, labour, benefits, vehicle, etc.</t>
  </si>
  <si>
    <t>1.1.3a Workforce Automation Hardware</t>
  </si>
  <si>
    <t>may include fieldworker handhelds, barcode hardware, etc.</t>
  </si>
  <si>
    <t>1.1.3b Workforce Automation Software</t>
  </si>
  <si>
    <t>Total Advanced Metering Communication Device (AMCD)</t>
  </si>
  <si>
    <t>1.2 ADVANCED METERING REGIONAL COLLECTOR (AMRC) (includes LAN)</t>
  </si>
  <si>
    <t>1.2.1 Collectors</t>
  </si>
  <si>
    <t>1.2.2 Repeaters</t>
  </si>
  <si>
    <t>may include radio licence, etc.</t>
  </si>
  <si>
    <t>1.2.3 Installation</t>
  </si>
  <si>
    <t>may include meter seals and rings, collector computer hardware, etc.</t>
  </si>
  <si>
    <t>Total Advanced Metering Regional Collector (AMRC) (includes LAN)</t>
  </si>
  <si>
    <t>1.3 ADVANCED METERING CONTROL COMPUTER (AMCC)</t>
  </si>
  <si>
    <t>1.3.1 Computer Hardware</t>
  </si>
  <si>
    <t>1.3.2 Computer Software</t>
  </si>
  <si>
    <t>1.3.3 Computer Software Licence &amp; Installation (includes hardware &amp; software)</t>
  </si>
  <si>
    <t>may include AS/400 disc space, backup &amp; recovery computer, UPS, etc</t>
  </si>
  <si>
    <t>Total Advanced Metering Control Computer (AMCC)</t>
  </si>
  <si>
    <t>1.4 WIDE AREA NETWORK (WAN)</t>
  </si>
  <si>
    <t>1.4.1 Activation Fees</t>
  </si>
  <si>
    <t>Total Wide Area Network (WAN)</t>
  </si>
  <si>
    <t>1.5 OTHER AMI CAPITAL COSTS RELATED TO MINIMUM FUNCTIONALITY</t>
  </si>
  <si>
    <t>1.5.1 Customer equipment (including repair of damaged equipment)</t>
  </si>
  <si>
    <t>1.5.2 AMI Interface to CIS</t>
  </si>
  <si>
    <t>1.5.3 Professional Fees</t>
  </si>
  <si>
    <t>1.5.4 Integration</t>
  </si>
  <si>
    <t>1.5.5 Program Management</t>
  </si>
  <si>
    <t>1.5.6 Other AMI Capital</t>
  </si>
  <si>
    <t>Total Other AMI Capital Costs Related To Minimum Functionality</t>
  </si>
  <si>
    <t>Total Capital Costs</t>
  </si>
  <si>
    <t>O M &amp; A</t>
  </si>
  <si>
    <t>2.1 ADVANCED METERING COMMUNICATION DEVICE (AMCD)</t>
  </si>
  <si>
    <t>2.1.1 Maintenance</t>
  </si>
  <si>
    <t>may include meter reverification costs, etc.</t>
  </si>
  <si>
    <t>Total Incremental AMI Operation Expenses</t>
  </si>
  <si>
    <t>2.2 ADVANCED METERING REGIONAL COLLECTOR (AMRC) (includes LAN)</t>
  </si>
  <si>
    <t>2.2.1 Maintenance</t>
  </si>
  <si>
    <t>2.3 ADVANCED METERING CONTROL COMPUTER (AMCC)</t>
  </si>
  <si>
    <t>2.3.1 Hardware Maintenance</t>
  </si>
  <si>
    <t>may include server support, etc</t>
  </si>
  <si>
    <t>2.3.2 Software Maintenance</t>
  </si>
  <si>
    <t>may include maintenance support, etc.</t>
  </si>
  <si>
    <t>2.4 WIDE AREA NETWORK (WAN)</t>
  </si>
  <si>
    <t>2.4.1 WIDE AREA NETWORK (WAN)</t>
  </si>
  <si>
    <t>may include serial to Ethernet hardware, etc.</t>
  </si>
  <si>
    <t>Total Incremental Other Operation Expenses</t>
  </si>
  <si>
    <t>2.5 OTHER AMI OM&amp;A COSTS RELATED TO MINIMUM FUNCTIONALITY</t>
  </si>
  <si>
    <t>2.5.1 Business Process Redesign</t>
  </si>
  <si>
    <t>2.5.2 Customer Communication</t>
  </si>
  <si>
    <t>may include project communication. etc.</t>
  </si>
  <si>
    <t>2.5.3 Program Management</t>
  </si>
  <si>
    <t>2.5.4 Change Management</t>
  </si>
  <si>
    <t>may include training, etc.</t>
  </si>
  <si>
    <t>2.5.5 Administration Cost</t>
  </si>
  <si>
    <t>2.5.6 Other AMI Expenses</t>
  </si>
  <si>
    <t>Total 2.5 Other AMI OM&amp;A Costs Related To Minimum Functionality</t>
  </si>
  <si>
    <t>Total O M &amp; A Costs</t>
  </si>
  <si>
    <t>Sheet 3.  LDC Assumptions and Data</t>
  </si>
  <si>
    <t>Assumptions:</t>
  </si>
  <si>
    <t>1. Planned meter installations occur evenly through the year.</t>
  </si>
  <si>
    <t>2. Year assumed January to December</t>
  </si>
  <si>
    <t>3. Amortization is straight line and has half year rule applied in first year</t>
  </si>
  <si>
    <t>2006 EDR Data Information</t>
  </si>
  <si>
    <t>Weighted Average Cost of Capital</t>
  </si>
  <si>
    <t>Working Capital Allowance %</t>
  </si>
  <si>
    <t>2006 EDR Tax Rate</t>
  </si>
  <si>
    <r>
      <t>Corporate Income Tax Rate</t>
    </r>
    <r>
      <rPr>
        <sz val="10"/>
        <rFont val="Arial"/>
        <family val="0"/>
      </rPr>
      <t xml:space="preserve"> </t>
    </r>
  </si>
  <si>
    <t>(from 2006 PILs Sheet "Test Year PILs,Tax Provision" Cell D 14)</t>
  </si>
  <si>
    <t>Computer Hardware</t>
  </si>
  <si>
    <t>Computer Software</t>
  </si>
  <si>
    <t>Operating Expense Data:</t>
  </si>
  <si>
    <t>2.1 Advanced Metering Communication Device (AMCD)</t>
  </si>
  <si>
    <t>2.2 Advanced Metering Regional Collector (AMRC) (includes LAN)</t>
  </si>
  <si>
    <t>2.3 Advanced Metering Control Computer (AMCC)</t>
  </si>
  <si>
    <t>2.4 Wide Area Network (WAN)</t>
  </si>
  <si>
    <t>2.5 Other AMI OM&amp;A Costs Related To Minimum Functionality</t>
  </si>
  <si>
    <t>Per Meter Cost Split:</t>
  </si>
  <si>
    <t>Per Meter</t>
  </si>
  <si>
    <t>Installed</t>
  </si>
  <si>
    <t>Investment</t>
  </si>
  <si>
    <t>% of Invest</t>
  </si>
  <si>
    <t>Smart meter including installation</t>
  </si>
  <si>
    <t>Computer Hardware Costs</t>
  </si>
  <si>
    <t>Computer Software Costs</t>
  </si>
  <si>
    <t>Smart meter incremental operating expenses</t>
  </si>
  <si>
    <t>Total Smart Meter Capital Costs per meter</t>
  </si>
  <si>
    <t>Smart Meters</t>
  </si>
  <si>
    <t>Operation Expense</t>
  </si>
  <si>
    <t>Return on Rate Base</t>
  </si>
  <si>
    <t>Operating Expenses</t>
  </si>
  <si>
    <t>Incremental Operating Expenses</t>
  </si>
  <si>
    <t>Amortization Expenses</t>
  </si>
  <si>
    <t>Revenue Requirement Before PILs</t>
  </si>
  <si>
    <t>Revenue Requirement for Smart Meters</t>
  </si>
  <si>
    <t xml:space="preserve">Opening </t>
  </si>
  <si>
    <t>Int. Rate</t>
  </si>
  <si>
    <t>Interest</t>
  </si>
  <si>
    <t>Closing</t>
  </si>
  <si>
    <t>Average Asset Values</t>
  </si>
  <si>
    <t>Net Fixed Assets Smart Meters</t>
  </si>
  <si>
    <t>Net Fixed Assets Computer Hardware</t>
  </si>
  <si>
    <t>Net Fixed Assets Computer Software</t>
  </si>
  <si>
    <t>Net Fixed Assets Tools &amp; Equipment</t>
  </si>
  <si>
    <t>Net Fixed Assets Other Equipment</t>
  </si>
  <si>
    <t>Total Net Fixed Assets</t>
  </si>
  <si>
    <t>Working Capital</t>
  </si>
  <si>
    <t>Smart Meters included in Rate Base</t>
  </si>
  <si>
    <t>Amortization Expenses - Smart Meters</t>
  </si>
  <si>
    <t>Amortization Expenses - Computer Hardware</t>
  </si>
  <si>
    <t>Amortization Expenses - Computer Software</t>
  </si>
  <si>
    <t>Amortization Expenses -  Tools &amp; Equipment</t>
  </si>
  <si>
    <t>Amortization Expenses - Other Equipment</t>
  </si>
  <si>
    <t>Total Amortization Expenses</t>
  </si>
  <si>
    <t>Calculation of Taxable Income</t>
  </si>
  <si>
    <t>Depreciation Expenses</t>
  </si>
  <si>
    <t>Interest Expense</t>
  </si>
  <si>
    <t>Taxable Income For PILs</t>
  </si>
  <si>
    <r>
      <t>Grossed up PILs</t>
    </r>
    <r>
      <rPr>
        <i/>
        <sz val="8"/>
        <rFont val="Arial"/>
        <family val="2"/>
      </rPr>
      <t xml:space="preserve"> (5. PILs)</t>
    </r>
  </si>
  <si>
    <t>Sheet 5. PILs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</si>
  <si>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</si>
  <si>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</si>
  <si>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</si>
  <si>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</si>
  <si>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</si>
  <si>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</si>
  <si>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Rate Base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</si>
  <si>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</si>
  <si>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</si>
  <si>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</si>
  <si>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</si>
  <si>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</si>
  <si>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</si>
  <si>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</si>
  <si>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</si>
  <si>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</si>
  <si>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</si>
  <si>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Smart Meter Average Net Fixed Assets</t>
  </si>
  <si>
    <t>Net Fixed Assets - Smart Meters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</si>
  <si>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</si>
  <si>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</si>
  <si>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</si>
  <si>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</si>
  <si>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</si>
  <si>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</si>
  <si>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</si>
  <si>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Net Fixed Assets - Computer Hardware</t>
  </si>
  <si>
    <t>Net Fixed Assets - Computer Software</t>
  </si>
  <si>
    <t>Net Fixed Assets - Tools &amp; Equipment</t>
  </si>
  <si>
    <t>Net Fixed Assets - Other Equipment</t>
  </si>
  <si>
    <t>For PILs Calculation</t>
  </si>
  <si>
    <t>UCC - Smart Meters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</si>
  <si>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</si>
  <si>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</si>
  <si>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</si>
  <si>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</si>
  <si>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</si>
  <si>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</si>
  <si>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</si>
  <si>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UCC - Computer Equipment</t>
  </si>
  <si>
    <t>Capital Additions Computer Hardware</t>
  </si>
  <si>
    <t>Capital Additions Computer Software</t>
  </si>
  <si>
    <t>UCC - General Equipment</t>
  </si>
  <si>
    <t>Capital Additions Tools &amp; Equipment</t>
  </si>
  <si>
    <t>Capital Additions Other Equipment</t>
  </si>
  <si>
    <r>
      <t>Sheet 1</t>
    </r>
    <r>
      <rPr>
        <b/>
        <sz val="20"/>
        <rFont val="Cooper Black"/>
        <family val="1"/>
      </rPr>
      <t xml:space="preserve"> Utility Information Sheet</t>
    </r>
  </si>
  <si>
    <r>
      <t>Capital Data:</t>
    </r>
    <r>
      <rPr>
        <i/>
        <sz val="8"/>
        <rFont val="Arial"/>
        <family val="2"/>
      </rPr>
      <t xml:space="preserve"> </t>
    </r>
  </si>
  <si>
    <r>
      <t>Deemed Debt</t>
    </r>
    <r>
      <rPr>
        <i/>
        <sz val="8"/>
        <rFont val="Arial"/>
        <family val="2"/>
      </rPr>
      <t xml:space="preserve"> (3.  LDC Assumptions and Data)</t>
    </r>
  </si>
  <si>
    <r>
      <t xml:space="preserve">Deemed Equity </t>
    </r>
    <r>
      <rPr>
        <i/>
        <sz val="8"/>
        <rFont val="Arial"/>
        <family val="2"/>
      </rPr>
      <t>(3.  LDC Assumptions and Data)</t>
    </r>
  </si>
  <si>
    <r>
      <t>Weighted Debt Rate</t>
    </r>
    <r>
      <rPr>
        <i/>
        <sz val="8"/>
        <rFont val="Arial"/>
        <family val="2"/>
      </rPr>
      <t xml:space="preserve"> (3.  LDC Assumptions and Data)</t>
    </r>
  </si>
  <si>
    <r>
      <t>Proposed ROE</t>
    </r>
    <r>
      <rPr>
        <i/>
        <sz val="8"/>
        <rFont val="Arial"/>
        <family val="2"/>
      </rPr>
      <t xml:space="preserve"> (3.  LDC Assumptions and Data)</t>
    </r>
  </si>
  <si>
    <r>
      <t xml:space="preserve">Incremental Operating Expenses </t>
    </r>
    <r>
      <rPr>
        <i/>
        <sz val="8"/>
        <rFont val="Arial"/>
        <family val="2"/>
      </rPr>
      <t>(3.  LDC Assumptions and Data)</t>
    </r>
  </si>
  <si>
    <r>
      <t>Grossed up PILs</t>
    </r>
    <r>
      <rPr>
        <b/>
        <i/>
        <sz val="8"/>
        <rFont val="Arial"/>
        <family val="2"/>
      </rPr>
      <t xml:space="preserve"> (5. PILs)</t>
    </r>
  </si>
  <si>
    <r>
      <t>Amortization</t>
    </r>
    <r>
      <rPr>
        <i/>
        <sz val="8"/>
        <rFont val="Arial"/>
        <family val="2"/>
      </rPr>
      <t xml:space="preserve"> </t>
    </r>
  </si>
  <si>
    <r>
      <t xml:space="preserve">Tax Rate </t>
    </r>
    <r>
      <rPr>
        <i/>
        <sz val="8"/>
        <rFont val="Arial"/>
        <family val="2"/>
      </rPr>
      <t>(3.  LDC Assumptions and Data)</t>
    </r>
  </si>
  <si>
    <r>
      <t xml:space="preserve">Capital Investment </t>
    </r>
    <r>
      <rPr>
        <i/>
        <sz val="8"/>
        <rFont val="Arial"/>
        <family val="2"/>
      </rPr>
      <t>(3.  LDC Assumptions and Data)</t>
    </r>
  </si>
  <si>
    <r>
      <t>Capital Investment</t>
    </r>
    <r>
      <rPr>
        <i/>
        <sz val="8"/>
        <rFont val="Arial"/>
        <family val="2"/>
      </rPr>
      <t xml:space="preserve"> (3.  LDC Assumptions and Data)</t>
    </r>
  </si>
  <si>
    <t>Forecasted</t>
  </si>
  <si>
    <t>Later</t>
  </si>
  <si>
    <t>Planned / Actual Meter Installations</t>
  </si>
  <si>
    <t>Percentage of Completion</t>
  </si>
  <si>
    <t>Other Equip.</t>
  </si>
  <si>
    <t>Tools &amp; Equip</t>
  </si>
  <si>
    <t>Depreciation Rates</t>
  </si>
  <si>
    <t>Smart Meter (years)</t>
  </si>
  <si>
    <t>Computer Hardware  (years)</t>
  </si>
  <si>
    <t>Computer Software  (years)</t>
  </si>
  <si>
    <t>Tools &amp; Equipment  (years)</t>
  </si>
  <si>
    <t>Other Equipment  (years)</t>
  </si>
  <si>
    <t>CCA Rates</t>
  </si>
  <si>
    <t>Sheet 6. Avg Net Fixed Assets &amp;UCC</t>
  </si>
  <si>
    <t>Computer Equipment</t>
  </si>
  <si>
    <t>CCA Class</t>
  </si>
  <si>
    <t>General Equipment</t>
  </si>
  <si>
    <t>CCA Rate Class</t>
  </si>
  <si>
    <t xml:space="preserve">CCA Rate </t>
  </si>
  <si>
    <t>CCA - Smart Meters</t>
  </si>
  <si>
    <t>CCA -  Other Equipment</t>
  </si>
  <si>
    <t>CCA -  Computers</t>
  </si>
  <si>
    <t>Smart Meter Revenue Requirement Calculation</t>
  </si>
  <si>
    <t>Sheet 4. Smart Meter Rev Req Calc</t>
  </si>
  <si>
    <t>Fund Adder</t>
  </si>
  <si>
    <t>Smart Meter Funding Adder</t>
  </si>
  <si>
    <t xml:space="preserve"> Approved Deferral and Variance Accounts </t>
  </si>
  <si>
    <t>Prescribed Interest Rate (per the Bankers' Acceptances-3 months Plus 0.25 Spread)</t>
  </si>
  <si>
    <t xml:space="preserve"> CWIP Account</t>
  </si>
  <si>
    <t>Prescribed Interest Rate (per the DEX Mid Term Corporate Bond Index Yield 2)</t>
  </si>
  <si>
    <t xml:space="preserve"> </t>
  </si>
  <si>
    <t xml:space="preserve">Q4 2008 </t>
  </si>
  <si>
    <t xml:space="preserve">Q3 2008 </t>
  </si>
  <si>
    <t xml:space="preserve">Q2 2008 </t>
  </si>
  <si>
    <t xml:space="preserve">Q1 2008 </t>
  </si>
  <si>
    <t xml:space="preserve">Q4 2007 </t>
  </si>
  <si>
    <t xml:space="preserve">Q3 2007 </t>
  </si>
  <si>
    <t xml:space="preserve">Q2 2007 </t>
  </si>
  <si>
    <t xml:space="preserve">Q1 2007 </t>
  </si>
  <si>
    <t xml:space="preserve">Q4 2006 </t>
  </si>
  <si>
    <t xml:space="preserve">Q3 2006 </t>
  </si>
  <si>
    <t xml:space="preserve">Q2 2006 </t>
  </si>
  <si>
    <t>N</t>
  </si>
  <si>
    <t>Actual</t>
  </si>
  <si>
    <t>Atikokan Hydro Inc.</t>
  </si>
  <si>
    <t>ED-2003-0001</t>
  </si>
  <si>
    <t>Wilf Thorburn</t>
  </si>
  <si>
    <t>CEO/Secretary/Treasurer</t>
  </si>
  <si>
    <t>807-597-6600</t>
  </si>
  <si>
    <t>wilf.thorburn@athydro.com</t>
  </si>
  <si>
    <t>Q1 2009</t>
  </si>
  <si>
    <t>Q2 2009</t>
  </si>
  <si>
    <t>Q3 2009</t>
  </si>
  <si>
    <t>Q4 2009</t>
  </si>
  <si>
    <t>Rev collected</t>
  </si>
  <si>
    <t>Rev to be collected</t>
  </si>
  <si>
    <t>Number of Meters</t>
  </si>
  <si>
    <t>Months of Recovery</t>
  </si>
  <si>
    <r>
      <t>Deemed Debt</t>
    </r>
    <r>
      <rPr>
        <sz val="10"/>
        <rFont val="Arial"/>
        <family val="0"/>
      </rPr>
      <t xml:space="preserve"> </t>
    </r>
  </si>
  <si>
    <r>
      <t>Deemed Equity</t>
    </r>
    <r>
      <rPr>
        <sz val="10"/>
        <rFont val="Arial"/>
        <family val="0"/>
      </rPr>
      <t xml:space="preserve"> </t>
    </r>
  </si>
  <si>
    <r>
      <t>Weighted Debt Rate</t>
    </r>
    <r>
      <rPr>
        <sz val="10"/>
        <rFont val="Arial"/>
        <family val="0"/>
      </rPr>
      <t xml:space="preserve"> </t>
    </r>
  </si>
  <si>
    <r>
      <t>Proposed ROE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 xml:space="preserve"> </t>
    </r>
  </si>
  <si>
    <t xml:space="preserve">model is calculating interest on principal + interest - </t>
  </si>
  <si>
    <t>s/b on principal only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</si>
</sst>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0.0%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0.000%"/>
    <numFmt numFmtId="179" formatCode="_-&quot;$&quot;* #,##0.000_-;\-&quot;$&quot;* #,##0.000_-;_-&quot;$&quot;* &quot;-&quot;??_-;_-@_-"/>
    <numFmt numFmtId="180" formatCode="_-&quot;$&quot;* #,##0.0000_-;\-&quot;$&quot;* #,##0.0000_-;_-&quot;$&quot;* &quot;-&quot;??_-;_-@_-"/>
    <numFmt numFmtId="181" formatCode="0.0000000000000000%"/>
    <numFmt numFmtId="182" formatCode="_-* #,##0.0000_-;\-* #,##0.0000_-;_-* &quot;-&quot;????_-;_-@_-"/>
    <numFmt numFmtId="183" formatCode="_-&quot;$&quot;* #,##0.00000_-;\-&quot;$&quot;* #,##0.00000_-;_-&quot;$&quot;* &quot;-&quot;??_-;_-@_-"/>
    <numFmt numFmtId="184" formatCode="_-&quot;$&quot;* #,##0.000000_-;\-&quot;$&quot;* #,##0.000000_-;_-&quot;$&quot;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.00"/>
    <numFmt numFmtId="190" formatCode="0.0000"/>
    <numFmt numFmtId="191" formatCode="&quot;$&quot;#,##0.0000"/>
    <numFmt numFmtId="192" formatCode="[&lt;=9999999]###\-####;###\-###\-####"/>
    <numFmt numFmtId="193" formatCode="[$-409]h:mm:ss\ AM/PM"/>
    <numFmt numFmtId="194" formatCode="[$-1009]mmmm\ d\,\ yyyy"/>
    <numFmt numFmtId="195" formatCode="[$-F800]dddd\,\ mmmm\ dd\,\ yyyy"/>
    <numFmt numFmtId="196" formatCode="0.000"/>
    <numFmt numFmtId="197" formatCode="&quot;$&quot;#,##0.000;[Red]\-&quot;$&quot;#,##0.000"/>
    <numFmt numFmtId="198" formatCode="&quot;$&quot;#,##0.0000;[Red]\-&quot;$&quot;#,##0.0000"/>
    <numFmt numFmtId="199" formatCode="0.0"/>
    <numFmt numFmtId="200" formatCode="#,##0.0000_);\(#,##0.0000\)"/>
    <numFmt numFmtId="201" formatCode="#,##0.0000"/>
    <numFmt numFmtId="202" formatCode="#,##0.00_ ;\-#,##0.00\ "/>
    <numFmt numFmtId="203" formatCode="_-&quot;$&quot;* #,##0.0000_-;\-&quot;$&quot;* #,##0.0000_-;_-&quot;$&quot;* &quot;-&quot;????_-;_-@_-"/>
    <numFmt numFmtId="204" formatCode="&quot;$&quot;#,##0.0000;\-&quot;$&quot;#,##0.0000"/>
    <numFmt numFmtId="205" formatCode="#,##0.00000_);\(#,##0.00000\)"/>
    <numFmt numFmtId="206" formatCode="#,##0.000000_);\(#,##0.000000\)"/>
    <numFmt numFmtId="207" formatCode="#,##0.0000000_);\(#,##0.0000000\)"/>
    <numFmt numFmtId="208" formatCode="#,##0.000"/>
    <numFmt numFmtId="209" formatCode="#,##0.0"/>
    <numFmt numFmtId="210" formatCode="[$-409]dddd\,\ mmmm\ dd\,\ yyyy"/>
    <numFmt numFmtId="211" formatCode="&quot;$&quot;#,##0.000"/>
    <numFmt numFmtId="212" formatCode="[$-409]mmmm\ d\,\ yyyy;@"/>
    <numFmt numFmtId="213" formatCode="#,##0.00;\(#,##0.00\)"/>
    <numFmt numFmtId="214" formatCode="#,##0.00_ ;\(#,##0.00\)"/>
    <numFmt numFmtId="215" formatCode="00000"/>
    <numFmt numFmtId="216" formatCode="#,##0.0000_ ;\(#,##0.0000\)"/>
    <numFmt numFmtId="217" formatCode="#,##0.0000;\(#,##0.0000\)"/>
    <numFmt numFmtId="218" formatCode="_-* #,##0.000_-;\-* #,##0.000_-;_-* &quot;-&quot;??_-;_-@_-"/>
  </numFmts>
  <fonts count="45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20"/>
      <name val="Cooper Black"/>
      <family val="1"/>
    </font>
    <font>
      <b/>
      <sz val="20"/>
      <color indexed="10"/>
      <name val="Cooper Black"/>
      <family val="1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color indexed="9"/>
      <name val="Arial"/>
      <family val="0"/>
    </font>
    <font>
      <sz val="12"/>
      <color indexed="18"/>
      <name val="Cooper Black"/>
      <family val="1"/>
    </font>
    <font>
      <sz val="11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u val="single"/>
      <sz val="12"/>
      <name val="Cooper Black"/>
      <family val="1"/>
    </font>
    <font>
      <sz val="8"/>
      <color indexed="18"/>
      <name val="Cooper Black"/>
      <family val="1"/>
    </font>
    <font>
      <b/>
      <sz val="16"/>
      <color indexed="10"/>
      <name val="Cooper Black"/>
      <family val="1"/>
    </font>
    <font>
      <b/>
      <sz val="14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24"/>
      <color indexed="10"/>
      <name val="Cooper Black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22"/>
      </right>
      <top style="medium">
        <color indexed="8"/>
      </top>
      <bottom style="medium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8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4" borderId="0" xfId="0" applyFont="1" applyFill="1" applyAlignment="1">
      <alignment/>
    </xf>
    <xf numFmtId="0" fontId="6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>
      <alignment/>
    </xf>
    <xf numFmtId="0" fontId="4" fillId="20" borderId="0" xfId="0" applyFont="1" applyFill="1" applyBorder="1" applyAlignment="1" applyProtection="1">
      <alignment/>
      <protection/>
    </xf>
    <xf numFmtId="0" fontId="10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11" fillId="24" borderId="0" xfId="0" applyFont="1" applyFill="1" applyAlignment="1" applyProtection="1">
      <alignment horizontal="right" indent="1"/>
      <protection/>
    </xf>
    <xf numFmtId="0" fontId="13" fillId="24" borderId="0" xfId="0" applyFont="1" applyFill="1" applyAlignment="1" applyProtection="1">
      <alignment horizontal="left" indent="4"/>
      <protection/>
    </xf>
    <xf numFmtId="0" fontId="12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Alignment="1" applyProtection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15" fillId="24" borderId="0" xfId="0" applyFont="1" applyFill="1" applyBorder="1" applyAlignment="1" applyProtection="1">
      <alignment/>
      <protection/>
    </xf>
    <xf numFmtId="212" fontId="12" fillId="25" borderId="10" xfId="0" applyNumberFormat="1" applyFont="1" applyFill="1" applyBorder="1" applyAlignment="1" applyProtection="1">
      <alignment horizontal="left"/>
      <protection locked="0"/>
    </xf>
    <xf numFmtId="0" fontId="12" fillId="26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 horizontal="right" indent="1"/>
      <protection/>
    </xf>
    <xf numFmtId="0" fontId="12" fillId="24" borderId="0" xfId="0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7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/>
    </xf>
    <xf numFmtId="0" fontId="3" fillId="24" borderId="0" xfId="0" applyFont="1" applyFill="1" applyAlignment="1">
      <alignment/>
    </xf>
    <xf numFmtId="0" fontId="18" fillId="24" borderId="0" xfId="0" applyFont="1" applyFill="1" applyAlignment="1" applyProtection="1">
      <alignment/>
      <protection/>
    </xf>
    <xf numFmtId="0" fontId="4" fillId="20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/>
      <protection/>
    </xf>
    <xf numFmtId="0" fontId="20" fillId="24" borderId="0" xfId="0" applyFont="1" applyFill="1" applyAlignment="1" applyProtection="1">
      <alignment horizontal="left" vertical="top" indent="2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left" indent="1"/>
      <protection/>
    </xf>
    <xf numFmtId="176" fontId="0" fillId="4" borderId="0" xfId="42" applyNumberFormat="1" applyFill="1" applyAlignment="1" applyProtection="1">
      <alignment/>
      <protection locked="0"/>
    </xf>
    <xf numFmtId="176" fontId="0" fillId="24" borderId="0" xfId="0" applyNumberFormat="1" applyFill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176" fontId="0" fillId="24" borderId="11" xfId="42" applyNumberFormat="1" applyFill="1" applyBorder="1" applyAlignment="1" applyProtection="1">
      <alignment/>
      <protection/>
    </xf>
    <xf numFmtId="176" fontId="0" fillId="24" borderId="12" xfId="42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21" fillId="24" borderId="0" xfId="0" applyFont="1" applyFill="1" applyAlignment="1" applyProtection="1">
      <alignment/>
      <protection/>
    </xf>
    <xf numFmtId="0" fontId="19" fillId="24" borderId="0" xfId="0" applyFont="1" applyFill="1" applyAlignment="1" applyProtection="1">
      <alignment horizontal="left" indent="2"/>
      <protection/>
    </xf>
    <xf numFmtId="0" fontId="0" fillId="24" borderId="0" xfId="0" applyFill="1" applyAlignment="1" applyProtection="1">
      <alignment horizontal="left" indent="2"/>
      <protection/>
    </xf>
    <xf numFmtId="0" fontId="7" fillId="24" borderId="0" xfId="0" applyFont="1" applyFill="1" applyAlignment="1" applyProtection="1">
      <alignment horizontal="left" indent="2"/>
      <protection/>
    </xf>
    <xf numFmtId="173" fontId="9" fillId="4" borderId="13" xfId="44" applyNumberFormat="1" applyFont="1" applyFill="1" applyBorder="1" applyAlignment="1" applyProtection="1">
      <alignment/>
      <protection locked="0"/>
    </xf>
    <xf numFmtId="173" fontId="0" fillId="24" borderId="0" xfId="0" applyNumberFormat="1" applyFill="1" applyAlignment="1" applyProtection="1">
      <alignment/>
      <protection/>
    </xf>
    <xf numFmtId="0" fontId="20" fillId="24" borderId="0" xfId="0" applyFont="1" applyFill="1" applyAlignment="1" applyProtection="1">
      <alignment horizontal="left" wrapText="1" indent="2"/>
      <protection/>
    </xf>
    <xf numFmtId="173" fontId="7" fillId="24" borderId="12" xfId="44" applyNumberFormat="1" applyFont="1" applyFill="1" applyBorder="1" applyAlignment="1" applyProtection="1">
      <alignment/>
      <protection/>
    </xf>
    <xf numFmtId="173" fontId="0" fillId="24" borderId="0" xfId="44" applyNumberFormat="1" applyFill="1" applyAlignment="1" applyProtection="1">
      <alignment/>
      <protection/>
    </xf>
    <xf numFmtId="173" fontId="7" fillId="24" borderId="0" xfId="44" applyNumberFormat="1" applyFont="1" applyFill="1" applyBorder="1" applyAlignment="1" applyProtection="1">
      <alignment/>
      <protection/>
    </xf>
    <xf numFmtId="0" fontId="0" fillId="24" borderId="0" xfId="0" applyFill="1" applyAlignment="1">
      <alignment horizontal="left" indent="2"/>
    </xf>
    <xf numFmtId="0" fontId="14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0" fontId="7" fillId="24" borderId="0" xfId="0" applyFont="1" applyFill="1" applyAlignment="1" applyProtection="1">
      <alignment horizontal="left" indent="1"/>
      <protection/>
    </xf>
    <xf numFmtId="0" fontId="7" fillId="24" borderId="0" xfId="0" applyFont="1" applyFill="1" applyAlignment="1" applyProtection="1">
      <alignment horizontal="left"/>
      <protection/>
    </xf>
    <xf numFmtId="10" fontId="0" fillId="24" borderId="0" xfId="61" applyNumberFormat="1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 indent="1"/>
      <protection/>
    </xf>
    <xf numFmtId="44" fontId="0" fillId="24" borderId="0" xfId="44" applyFill="1" applyAlignment="1" applyProtection="1">
      <alignment/>
      <protection/>
    </xf>
    <xf numFmtId="0" fontId="3" fillId="0" borderId="0" xfId="57">
      <alignment/>
      <protection/>
    </xf>
    <xf numFmtId="0" fontId="3" fillId="0" borderId="0" xfId="57" applyAlignment="1">
      <alignment horizontal="center"/>
      <protection/>
    </xf>
    <xf numFmtId="10" fontId="3" fillId="0" borderId="0" xfId="57" applyNumberFormat="1">
      <alignment/>
      <protection/>
    </xf>
    <xf numFmtId="10" fontId="3" fillId="0" borderId="0" xfId="61" applyNumberFormat="1" applyFont="1" applyAlignment="1">
      <alignment/>
    </xf>
    <xf numFmtId="0" fontId="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44" fontId="8" fillId="24" borderId="14" xfId="44" applyFont="1" applyFill="1" applyBorder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44" fontId="8" fillId="24" borderId="17" xfId="44" applyFont="1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173" fontId="0" fillId="24" borderId="0" xfId="0" applyNumberFormat="1" applyFill="1" applyBorder="1" applyAlignment="1" applyProtection="1">
      <alignment/>
      <protection/>
    </xf>
    <xf numFmtId="44" fontId="0" fillId="24" borderId="0" xfId="44" applyFill="1" applyBorder="1" applyAlignment="1" applyProtection="1">
      <alignment/>
      <protection/>
    </xf>
    <xf numFmtId="44" fontId="0" fillId="24" borderId="19" xfId="44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44" fontId="0" fillId="24" borderId="17" xfId="44" applyFill="1" applyBorder="1" applyAlignment="1" applyProtection="1">
      <alignment/>
      <protection/>
    </xf>
    <xf numFmtId="44" fontId="0" fillId="24" borderId="18" xfId="44" applyFill="1" applyBorder="1" applyAlignment="1" applyProtection="1">
      <alignment/>
      <protection/>
    </xf>
    <xf numFmtId="44" fontId="0" fillId="24" borderId="11" xfId="44" applyFill="1" applyBorder="1" applyAlignment="1" applyProtection="1">
      <alignment/>
      <protection/>
    </xf>
    <xf numFmtId="174" fontId="8" fillId="24" borderId="17" xfId="61" applyNumberFormat="1" applyFont="1" applyFill="1" applyBorder="1" applyAlignment="1" applyProtection="1">
      <alignment horizontal="center"/>
      <protection/>
    </xf>
    <xf numFmtId="9" fontId="0" fillId="24" borderId="17" xfId="0" applyNumberFormat="1" applyFill="1" applyBorder="1" applyAlignment="1" applyProtection="1">
      <alignment/>
      <protection/>
    </xf>
    <xf numFmtId="173" fontId="0" fillId="24" borderId="18" xfId="0" applyNumberFormat="1" applyFill="1" applyBorder="1" applyAlignment="1" applyProtection="1">
      <alignment/>
      <protection/>
    </xf>
    <xf numFmtId="44" fontId="8" fillId="24" borderId="18" xfId="44" applyFont="1" applyFill="1" applyBorder="1" applyAlignment="1" applyProtection="1">
      <alignment/>
      <protection/>
    </xf>
    <xf numFmtId="44" fontId="8" fillId="24" borderId="0" xfId="44" applyFont="1" applyFill="1" applyBorder="1" applyAlignment="1" applyProtection="1">
      <alignment/>
      <protection/>
    </xf>
    <xf numFmtId="44" fontId="9" fillId="24" borderId="18" xfId="44" applyFont="1" applyFill="1" applyBorder="1" applyAlignment="1" applyProtection="1">
      <alignment/>
      <protection/>
    </xf>
    <xf numFmtId="173" fontId="0" fillId="24" borderId="18" xfId="44" applyNumberFormat="1" applyFill="1" applyBorder="1" applyAlignment="1" applyProtection="1">
      <alignment/>
      <protection/>
    </xf>
    <xf numFmtId="44" fontId="0" fillId="24" borderId="20" xfId="44" applyFill="1" applyBorder="1" applyAlignment="1" applyProtection="1">
      <alignment/>
      <protection/>
    </xf>
    <xf numFmtId="44" fontId="9" fillId="24" borderId="20" xfId="44" applyFont="1" applyFill="1" applyBorder="1" applyAlignment="1" applyProtection="1">
      <alignment/>
      <protection/>
    </xf>
    <xf numFmtId="44" fontId="0" fillId="24" borderId="18" xfId="44" applyFont="1" applyFill="1" applyBorder="1" applyAlignment="1" applyProtection="1">
      <alignment/>
      <protection/>
    </xf>
    <xf numFmtId="44" fontId="7" fillId="24" borderId="21" xfId="44" applyFont="1" applyFill="1" applyBorder="1" applyAlignment="1" applyProtection="1">
      <alignment/>
      <protection/>
    </xf>
    <xf numFmtId="0" fontId="0" fillId="24" borderId="22" xfId="0" applyFill="1" applyBorder="1" applyAlignment="1" applyProtection="1">
      <alignment/>
      <protection/>
    </xf>
    <xf numFmtId="44" fontId="0" fillId="24" borderId="22" xfId="44" applyFill="1" applyBorder="1" applyAlignment="1" applyProtection="1">
      <alignment/>
      <protection/>
    </xf>
    <xf numFmtId="44" fontId="0" fillId="24" borderId="23" xfId="44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44" fontId="8" fillId="24" borderId="0" xfId="44" applyFont="1" applyFill="1" applyAlignment="1" applyProtection="1">
      <alignment/>
      <protection/>
    </xf>
    <xf numFmtId="44" fontId="8" fillId="24" borderId="24" xfId="44" applyFont="1" applyFill="1" applyBorder="1" applyAlignment="1" applyProtection="1">
      <alignment/>
      <protection/>
    </xf>
    <xf numFmtId="178" fontId="0" fillId="24" borderId="0" xfId="61" applyNumberFormat="1" applyFill="1" applyAlignment="1" applyProtection="1">
      <alignment/>
      <protection/>
    </xf>
    <xf numFmtId="0" fontId="14" fillId="24" borderId="0" xfId="0" applyFont="1" applyFill="1" applyAlignment="1" applyProtection="1">
      <alignment horizontal="left"/>
      <protection/>
    </xf>
    <xf numFmtId="10" fontId="0" fillId="24" borderId="0" xfId="0" applyNumberFormat="1" applyFill="1" applyAlignment="1" applyProtection="1">
      <alignment horizontal="center"/>
      <protection/>
    </xf>
    <xf numFmtId="0" fontId="0" fillId="24" borderId="0" xfId="0" applyFill="1" applyAlignment="1" applyProtection="1">
      <alignment horizontal="center" wrapText="1"/>
      <protection/>
    </xf>
    <xf numFmtId="44" fontId="24" fillId="24" borderId="11" xfId="44" applyFont="1" applyFill="1" applyBorder="1" applyAlignment="1" applyProtection="1">
      <alignment/>
      <protection/>
    </xf>
    <xf numFmtId="174" fontId="0" fillId="24" borderId="0" xfId="61" applyNumberFormat="1" applyFill="1" applyAlignment="1" applyProtection="1">
      <alignment/>
      <protection/>
    </xf>
    <xf numFmtId="44" fontId="9" fillId="24" borderId="11" xfId="44" applyFont="1" applyFill="1" applyBorder="1" applyAlignment="1" applyProtection="1">
      <alignment/>
      <protection/>
    </xf>
    <xf numFmtId="44" fontId="0" fillId="24" borderId="12" xfId="44" applyFill="1" applyBorder="1" applyAlignment="1" applyProtection="1">
      <alignment/>
      <protection/>
    </xf>
    <xf numFmtId="44" fontId="9" fillId="24" borderId="12" xfId="44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0" fillId="24" borderId="0" xfId="0" applyFont="1" applyFill="1" applyBorder="1" applyAlignment="1" applyProtection="1">
      <alignment horizontal="center" vertical="top"/>
      <protection/>
    </xf>
    <xf numFmtId="0" fontId="0" fillId="27" borderId="0" xfId="0" applyFill="1" applyAlignment="1" applyProtection="1">
      <alignment horizontal="center"/>
      <protection/>
    </xf>
    <xf numFmtId="0" fontId="0" fillId="24" borderId="0" xfId="0" applyFont="1" applyFill="1" applyAlignment="1" applyProtection="1">
      <alignment horizontal="center"/>
      <protection/>
    </xf>
    <xf numFmtId="0" fontId="26" fillId="24" borderId="0" xfId="0" applyFont="1" applyFill="1" applyAlignment="1">
      <alignment/>
    </xf>
    <xf numFmtId="176" fontId="0" fillId="24" borderId="0" xfId="42" applyNumberFormat="1" applyFill="1" applyBorder="1" applyAlignment="1" applyProtection="1">
      <alignment/>
      <protection/>
    </xf>
    <xf numFmtId="9" fontId="0" fillId="24" borderId="0" xfId="61" applyFill="1" applyBorder="1" applyAlignment="1" applyProtection="1">
      <alignment/>
      <protection/>
    </xf>
    <xf numFmtId="0" fontId="14" fillId="27" borderId="0" xfId="0" applyFont="1" applyFill="1" applyAlignment="1" applyProtection="1">
      <alignment horizontal="left" indent="2"/>
      <protection/>
    </xf>
    <xf numFmtId="0" fontId="20" fillId="24" borderId="11" xfId="0" applyFont="1" applyFill="1" applyBorder="1" applyAlignment="1" applyProtection="1">
      <alignment vertical="top"/>
      <protection/>
    </xf>
    <xf numFmtId="0" fontId="20" fillId="24" borderId="25" xfId="0" applyFont="1" applyFill="1" applyBorder="1" applyAlignment="1" applyProtection="1">
      <alignment vertical="top"/>
      <protection/>
    </xf>
    <xf numFmtId="173" fontId="0" fillId="4" borderId="0" xfId="44" applyNumberFormat="1" applyFont="1" applyFill="1" applyAlignment="1" applyProtection="1">
      <alignment/>
      <protection/>
    </xf>
    <xf numFmtId="9" fontId="0" fillId="4" borderId="0" xfId="61" applyFont="1" applyFill="1" applyAlignment="1" applyProtection="1">
      <alignment horizontal="center"/>
      <protection locked="0"/>
    </xf>
    <xf numFmtId="9" fontId="0" fillId="28" borderId="0" xfId="61" applyFont="1" applyFill="1" applyAlignment="1" applyProtection="1">
      <alignment horizontal="center"/>
      <protection/>
    </xf>
    <xf numFmtId="10" fontId="0" fillId="4" borderId="0" xfId="61" applyNumberFormat="1" applyFont="1" applyFill="1" applyAlignment="1" applyProtection="1">
      <alignment horizontal="center"/>
      <protection locked="0"/>
    </xf>
    <xf numFmtId="176" fontId="0" fillId="4" borderId="0" xfId="42" applyNumberFormat="1" applyFill="1" applyAlignment="1" applyProtection="1">
      <alignment horizontal="center"/>
      <protection locked="0"/>
    </xf>
    <xf numFmtId="43" fontId="20" fillId="24" borderId="15" xfId="42" applyFont="1" applyFill="1" applyBorder="1" applyAlignment="1" applyProtection="1">
      <alignment/>
      <protection/>
    </xf>
    <xf numFmtId="43" fontId="0" fillId="24" borderId="0" xfId="42" applyFont="1" applyFill="1" applyAlignment="1" applyProtection="1">
      <alignment/>
      <protection/>
    </xf>
    <xf numFmtId="10" fontId="0" fillId="28" borderId="0" xfId="61" applyNumberFormat="1" applyFont="1" applyFill="1" applyAlignment="1" applyProtection="1">
      <alignment horizontal="center"/>
      <protection/>
    </xf>
    <xf numFmtId="173" fontId="0" fillId="28" borderId="0" xfId="44" applyNumberFormat="1" applyFont="1" applyFill="1" applyAlignment="1" applyProtection="1">
      <alignment/>
      <protection/>
    </xf>
    <xf numFmtId="173" fontId="0" fillId="28" borderId="0" xfId="0" applyNumberFormat="1" applyFill="1" applyAlignment="1" applyProtection="1">
      <alignment/>
      <protection/>
    </xf>
    <xf numFmtId="173" fontId="0" fillId="28" borderId="12" xfId="0" applyNumberFormat="1" applyFill="1" applyBorder="1" applyAlignment="1" applyProtection="1">
      <alignment/>
      <protection/>
    </xf>
    <xf numFmtId="173" fontId="0" fillId="28" borderId="0" xfId="44" applyNumberFormat="1" applyFill="1" applyAlignment="1" applyProtection="1">
      <alignment/>
      <protection/>
    </xf>
    <xf numFmtId="173" fontId="0" fillId="28" borderId="12" xfId="44" applyNumberFormat="1" applyFont="1" applyFill="1" applyBorder="1" applyAlignment="1" applyProtection="1">
      <alignment/>
      <protection/>
    </xf>
    <xf numFmtId="173" fontId="0" fillId="28" borderId="12" xfId="44" applyNumberFormat="1" applyFill="1" applyBorder="1" applyAlignment="1" applyProtection="1">
      <alignment/>
      <protection/>
    </xf>
    <xf numFmtId="44" fontId="0" fillId="28" borderId="0" xfId="44" applyFill="1" applyAlignment="1" applyProtection="1">
      <alignment/>
      <protection/>
    </xf>
    <xf numFmtId="176" fontId="0" fillId="28" borderId="0" xfId="42" applyNumberFormat="1" applyFill="1" applyAlignment="1" applyProtection="1">
      <alignment/>
      <protection/>
    </xf>
    <xf numFmtId="9" fontId="0" fillId="28" borderId="0" xfId="61" applyFill="1" applyAlignment="1" applyProtection="1">
      <alignment/>
      <protection/>
    </xf>
    <xf numFmtId="44" fontId="0" fillId="28" borderId="11" xfId="0" applyNumberFormat="1" applyFill="1" applyBorder="1" applyAlignment="1" applyProtection="1">
      <alignment/>
      <protection/>
    </xf>
    <xf numFmtId="0" fontId="0" fillId="28" borderId="0" xfId="0" applyFill="1" applyAlignment="1" applyProtection="1">
      <alignment/>
      <protection/>
    </xf>
    <xf numFmtId="173" fontId="0" fillId="28" borderId="11" xfId="0" applyNumberFormat="1" applyFill="1" applyBorder="1" applyAlignment="1" applyProtection="1">
      <alignment/>
      <protection/>
    </xf>
    <xf numFmtId="9" fontId="0" fillId="28" borderId="11" xfId="0" applyNumberForma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center" wrapText="1"/>
      <protection/>
    </xf>
    <xf numFmtId="0" fontId="14" fillId="0" borderId="0" xfId="0" applyFont="1" applyFill="1" applyAlignment="1" applyProtection="1">
      <alignment/>
      <protection/>
    </xf>
    <xf numFmtId="0" fontId="0" fillId="24" borderId="0" xfId="0" applyFill="1" applyAlignment="1">
      <alignment horizontal="center"/>
    </xf>
    <xf numFmtId="0" fontId="0" fillId="4" borderId="0" xfId="0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24" borderId="0" xfId="44" applyNumberFormat="1" applyFill="1" applyBorder="1" applyAlignment="1" applyProtection="1">
      <alignment horizontal="center"/>
      <protection/>
    </xf>
    <xf numFmtId="9" fontId="0" fillId="24" borderId="0" xfId="61" applyFill="1" applyBorder="1" applyAlignment="1" applyProtection="1">
      <alignment horizontal="center"/>
      <protection/>
    </xf>
    <xf numFmtId="10" fontId="8" fillId="24" borderId="0" xfId="0" applyNumberFormat="1" applyFont="1" applyFill="1" applyAlignment="1" applyProtection="1">
      <alignment horizontal="center"/>
      <protection/>
    </xf>
    <xf numFmtId="44" fontId="0" fillId="24" borderId="26" xfId="44" applyFill="1" applyBorder="1" applyAlignment="1" applyProtection="1">
      <alignment/>
      <protection/>
    </xf>
    <xf numFmtId="0" fontId="3" fillId="0" borderId="0" xfId="57" applyFont="1">
      <alignment/>
      <protection/>
    </xf>
    <xf numFmtId="173" fontId="3" fillId="4" borderId="0" xfId="44" applyNumberFormat="1" applyFont="1" applyFill="1" applyAlignment="1">
      <alignment/>
    </xf>
    <xf numFmtId="173" fontId="3" fillId="28" borderId="0" xfId="44" applyNumberFormat="1" applyFont="1" applyFill="1" applyAlignment="1">
      <alignment/>
    </xf>
    <xf numFmtId="173" fontId="3" fillId="28" borderId="0" xfId="57" applyNumberFormat="1" applyFill="1">
      <alignment/>
      <protection/>
    </xf>
    <xf numFmtId="17" fontId="3" fillId="0" borderId="0" xfId="57" applyNumberFormat="1" applyAlignment="1">
      <alignment horizontal="center"/>
      <protection/>
    </xf>
    <xf numFmtId="0" fontId="14" fillId="28" borderId="0" xfId="57" applyFont="1" applyFill="1">
      <alignment/>
      <protection/>
    </xf>
    <xf numFmtId="0" fontId="14" fillId="28" borderId="0" xfId="57" applyFont="1" applyFill="1" applyAlignment="1">
      <alignment horizontal="center" wrapText="1"/>
      <protection/>
    </xf>
    <xf numFmtId="0" fontId="14" fillId="28" borderId="0" xfId="57" applyFont="1" applyFill="1" applyAlignment="1">
      <alignment horizontal="center"/>
      <protection/>
    </xf>
    <xf numFmtId="178" fontId="0" fillId="0" borderId="0" xfId="58" applyNumberFormat="1">
      <alignment/>
      <protection/>
    </xf>
    <xf numFmtId="43" fontId="0" fillId="24" borderId="0" xfId="0" applyNumberFormat="1" applyFill="1" applyAlignment="1" applyProtection="1">
      <alignment/>
      <protection/>
    </xf>
    <xf numFmtId="0" fontId="4" fillId="24" borderId="0" xfId="0" applyFont="1" applyFill="1" applyAlignment="1" applyProtection="1">
      <alignment horizontal="left" wrapText="1" indent="2"/>
      <protection/>
    </xf>
    <xf numFmtId="176" fontId="0" fillId="24" borderId="0" xfId="42" applyNumberFormat="1" applyFont="1" applyFill="1" applyAlignment="1">
      <alignment/>
    </xf>
    <xf numFmtId="43" fontId="0" fillId="24" borderId="0" xfId="42" applyFont="1" applyFill="1" applyAlignment="1">
      <alignment/>
    </xf>
    <xf numFmtId="173" fontId="3" fillId="0" borderId="0" xfId="57" applyNumberFormat="1">
      <alignment/>
      <protection/>
    </xf>
    <xf numFmtId="44" fontId="0" fillId="24" borderId="0" xfId="0" applyNumberFormat="1" applyFill="1" applyAlignment="1">
      <alignment/>
    </xf>
    <xf numFmtId="44" fontId="0" fillId="24" borderId="0" xfId="44" applyFont="1" applyFill="1" applyAlignment="1">
      <alignment/>
    </xf>
    <xf numFmtId="44" fontId="0" fillId="24" borderId="17" xfId="44" applyFont="1" applyFill="1" applyBorder="1" applyAlignment="1" applyProtection="1">
      <alignment/>
      <protection/>
    </xf>
    <xf numFmtId="10" fontId="0" fillId="4" borderId="0" xfId="61" applyNumberFormat="1" applyFont="1" applyFill="1" applyAlignment="1" applyProtection="1">
      <alignment horizontal="center"/>
      <protection locked="0"/>
    </xf>
    <xf numFmtId="43" fontId="4" fillId="24" borderId="0" xfId="42" applyFont="1" applyFill="1" applyAlignment="1">
      <alignment/>
    </xf>
    <xf numFmtId="43" fontId="0" fillId="0" borderId="0" xfId="42" applyFont="1" applyAlignment="1">
      <alignment/>
    </xf>
    <xf numFmtId="176" fontId="0" fillId="24" borderId="0" xfId="42" applyNumberFormat="1" applyFont="1" applyFill="1" applyAlignment="1" applyProtection="1">
      <alignment/>
      <protection/>
    </xf>
    <xf numFmtId="173" fontId="0" fillId="28" borderId="0" xfId="44" applyNumberFormat="1" applyFont="1" applyFill="1" applyAlignment="1" applyProtection="1">
      <alignment/>
      <protection/>
    </xf>
    <xf numFmtId="0" fontId="0" fillId="24" borderId="0" xfId="0" applyFill="1" applyAlignment="1">
      <alignment horizontal="justify"/>
    </xf>
    <xf numFmtId="0" fontId="43" fillId="24" borderId="0" xfId="0" applyFont="1" applyFill="1" applyAlignment="1" applyProtection="1">
      <alignment horizontal="justify"/>
      <protection locked="0"/>
    </xf>
    <xf numFmtId="0" fontId="7" fillId="0" borderId="0" xfId="0" applyFont="1" applyFill="1" applyAlignment="1" applyProtection="1">
      <alignment horizontal="left" indent="2"/>
      <protection/>
    </xf>
    <xf numFmtId="173" fontId="9" fillId="4" borderId="13" xfId="44" applyNumberFormat="1" applyFont="1" applyFill="1" applyBorder="1" applyAlignment="1" applyProtection="1">
      <alignment/>
      <protection locked="0"/>
    </xf>
    <xf numFmtId="173" fontId="0" fillId="24" borderId="0" xfId="0" applyNumberFormat="1" applyFont="1" applyFill="1" applyAlignment="1" applyProtection="1">
      <alignment/>
      <protection/>
    </xf>
    <xf numFmtId="173" fontId="0" fillId="4" borderId="0" xfId="44" applyNumberFormat="1" applyFont="1" applyFill="1" applyAlignment="1" applyProtection="1">
      <alignment/>
      <protection/>
    </xf>
    <xf numFmtId="0" fontId="44" fillId="24" borderId="0" xfId="0" applyFont="1" applyFill="1" applyAlignment="1">
      <alignment/>
    </xf>
    <xf numFmtId="173" fontId="0" fillId="24" borderId="0" xfId="44" applyNumberFormat="1" applyFont="1" applyFill="1" applyAlignment="1" applyProtection="1">
      <alignment/>
      <protection/>
    </xf>
    <xf numFmtId="173" fontId="0" fillId="24" borderId="12" xfId="44" applyNumberFormat="1" applyFont="1" applyFill="1" applyBorder="1" applyAlignment="1" applyProtection="1">
      <alignment/>
      <protection/>
    </xf>
    <xf numFmtId="173" fontId="0" fillId="24" borderId="0" xfId="44" applyNumberFormat="1" applyFont="1" applyFill="1" applyBorder="1" applyAlignment="1" applyProtection="1">
      <alignment/>
      <protection/>
    </xf>
    <xf numFmtId="173" fontId="0" fillId="24" borderId="27" xfId="44" applyNumberFormat="1" applyFont="1" applyFill="1" applyBorder="1" applyAlignment="1" applyProtection="1">
      <alignment/>
      <protection/>
    </xf>
    <xf numFmtId="43" fontId="0" fillId="24" borderId="0" xfId="42" applyFont="1" applyFill="1" applyBorder="1" applyAlignment="1" applyProtection="1">
      <alignment/>
      <protection/>
    </xf>
    <xf numFmtId="176" fontId="0" fillId="24" borderId="0" xfId="42" applyNumberFormat="1" applyFont="1" applyFill="1" applyAlignment="1" applyProtection="1">
      <alignment/>
      <protection/>
    </xf>
    <xf numFmtId="176" fontId="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173" fontId="0" fillId="24" borderId="27" xfId="0" applyNumberFormat="1" applyFont="1" applyFill="1" applyBorder="1" applyAlignment="1">
      <alignment/>
    </xf>
    <xf numFmtId="176" fontId="0" fillId="24" borderId="0" xfId="42" applyNumberFormat="1" applyFont="1" applyFill="1" applyAlignment="1">
      <alignment/>
    </xf>
    <xf numFmtId="173" fontId="0" fillId="24" borderId="0" xfId="0" applyNumberFormat="1" applyFont="1" applyFill="1" applyAlignment="1">
      <alignment/>
    </xf>
    <xf numFmtId="173" fontId="24" fillId="4" borderId="13" xfId="44" applyNumberFormat="1" applyFont="1" applyFill="1" applyBorder="1" applyAlignment="1" applyProtection="1">
      <alignment/>
      <protection locked="0"/>
    </xf>
    <xf numFmtId="2" fontId="14" fillId="28" borderId="0" xfId="57" applyNumberFormat="1" applyFont="1" applyFill="1" applyAlignment="1">
      <alignment horizontal="center"/>
      <protection/>
    </xf>
    <xf numFmtId="44" fontId="0" fillId="24" borderId="0" xfId="44" applyFill="1" applyAlignment="1">
      <alignment/>
    </xf>
    <xf numFmtId="0" fontId="0" fillId="24" borderId="0" xfId="0" applyFill="1" applyAlignment="1">
      <alignment horizontal="right"/>
    </xf>
    <xf numFmtId="44" fontId="0" fillId="24" borderId="0" xfId="44" applyFont="1" applyFill="1" applyAlignment="1" applyProtection="1">
      <alignment/>
      <protection/>
    </xf>
    <xf numFmtId="44" fontId="0" fillId="24" borderId="11" xfId="44" applyFont="1" applyFill="1" applyBorder="1" applyAlignment="1" applyProtection="1">
      <alignment/>
      <protection/>
    </xf>
    <xf numFmtId="44" fontId="0" fillId="24" borderId="12" xfId="44" applyFont="1" applyFill="1" applyBorder="1" applyAlignment="1" applyProtection="1">
      <alignment/>
      <protection/>
    </xf>
    <xf numFmtId="0" fontId="2" fillId="25" borderId="28" xfId="53" applyFill="1" applyBorder="1" applyAlignment="1" applyProtection="1">
      <alignment horizontal="left"/>
      <protection locked="0"/>
    </xf>
    <xf numFmtId="0" fontId="0" fillId="25" borderId="29" xfId="0" applyFont="1" applyFill="1" applyBorder="1" applyAlignment="1" applyProtection="1">
      <alignment horizontal="left"/>
      <protection locked="0"/>
    </xf>
    <xf numFmtId="0" fontId="16" fillId="24" borderId="0" xfId="0" applyFont="1" applyFill="1" applyBorder="1" applyAlignment="1" applyProtection="1">
      <alignment horizontal="right" indent="1"/>
      <protection/>
    </xf>
    <xf numFmtId="0" fontId="12" fillId="25" borderId="28" xfId="0" applyFont="1" applyFill="1" applyBorder="1" applyAlignment="1" applyProtection="1">
      <alignment horizontal="left"/>
      <protection locked="0"/>
    </xf>
    <xf numFmtId="0" fontId="12" fillId="25" borderId="29" xfId="0" applyFont="1" applyFill="1" applyBorder="1" applyAlignment="1" applyProtection="1">
      <alignment horizontal="left"/>
      <protection locked="0"/>
    </xf>
    <xf numFmtId="0" fontId="20" fillId="24" borderId="25" xfId="0" applyFont="1" applyFill="1" applyBorder="1" applyAlignment="1" applyProtection="1">
      <alignment horizontal="center" vertical="top"/>
      <protection/>
    </xf>
    <xf numFmtId="0" fontId="25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/>
      <protection/>
    </xf>
    <xf numFmtId="0" fontId="18" fillId="24" borderId="0" xfId="0" applyFont="1" applyFill="1" applyAlignment="1" applyProtection="1">
      <alignment horizontal="left"/>
      <protection/>
    </xf>
    <xf numFmtId="0" fontId="19" fillId="24" borderId="22" xfId="0" applyFont="1" applyFill="1" applyBorder="1" applyAlignment="1" applyProtection="1">
      <alignment horizontal="center"/>
      <protection/>
    </xf>
    <xf numFmtId="0" fontId="19" fillId="24" borderId="23" xfId="0" applyFont="1" applyFill="1" applyBorder="1" applyAlignment="1" applyProtection="1">
      <alignment horizontal="center"/>
      <protection/>
    </xf>
    <xf numFmtId="0" fontId="19" fillId="24" borderId="26" xfId="0" applyFont="1" applyFill="1" applyBorder="1" applyAlignment="1" applyProtection="1">
      <alignment horizontal="center"/>
      <protection/>
    </xf>
    <xf numFmtId="0" fontId="19" fillId="24" borderId="14" xfId="0" applyFont="1" applyFill="1" applyBorder="1" applyAlignment="1" applyProtection="1">
      <alignment horizontal="center"/>
      <protection/>
    </xf>
    <xf numFmtId="0" fontId="19" fillId="24" borderId="15" xfId="0" applyFont="1" applyFill="1" applyBorder="1" applyAlignment="1" applyProtection="1">
      <alignment horizontal="center"/>
      <protection/>
    </xf>
    <xf numFmtId="0" fontId="19" fillId="24" borderId="16" xfId="0" applyFont="1" applyFill="1" applyBorder="1" applyAlignment="1" applyProtection="1">
      <alignment horizontal="center"/>
      <protection/>
    </xf>
    <xf numFmtId="0" fontId="22" fillId="0" borderId="30" xfId="57" applyFont="1" applyBorder="1" applyAlignment="1">
      <alignment horizontal="center"/>
      <protection/>
    </xf>
    <xf numFmtId="0" fontId="22" fillId="0" borderId="31" xfId="57" applyFont="1" applyBorder="1" applyAlignment="1">
      <alignment horizontal="center"/>
      <protection/>
    </xf>
    <xf numFmtId="0" fontId="22" fillId="0" borderId="32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lculation of Revenue Requirement" xfId="57"/>
    <cellStyle name="Normal_Tax Rates for 2006-2012_Sep420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0</xdr:rowOff>
    </xdr:from>
    <xdr:to>
      <xdr:col>5</xdr:col>
      <xdr:colOff>142875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52550" y="904875"/>
          <a:ext cx="5876925" cy="0"/>
        </a:xfrm>
        <a:prstGeom prst="rect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ebfs01\Home\BenumMa\Assignments\2007%20EDR%20Model\2007_irmmodel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smart%20meter%20filings%20sor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40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0.0104</v>
          </cell>
          <cell r="I16">
            <v>0.0062</v>
          </cell>
          <cell r="J16">
            <v>0.007</v>
          </cell>
          <cell r="K16">
            <v>0.0236</v>
          </cell>
          <cell r="L16">
            <v>0.02412117041378766</v>
          </cell>
          <cell r="M16">
            <v>0</v>
          </cell>
          <cell r="Q16">
            <v>0</v>
          </cell>
          <cell r="R16">
            <v>0.0631</v>
          </cell>
          <cell r="S16">
            <v>0.0631</v>
          </cell>
          <cell r="T16">
            <v>1.0422</v>
          </cell>
          <cell r="U16">
            <v>1.0421</v>
          </cell>
          <cell r="V16">
            <v>0.0146</v>
          </cell>
          <cell r="W16">
            <v>0</v>
          </cell>
          <cell r="X16">
            <v>9.9</v>
          </cell>
          <cell r="Y16">
            <v>0.013036245268828545</v>
          </cell>
          <cell r="Z16">
            <v>0</v>
          </cell>
          <cell r="AA16">
            <v>12.00262074194569</v>
          </cell>
          <cell r="AB16">
            <v>0.0036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0.0094</v>
          </cell>
          <cell r="I54">
            <v>0.0062</v>
          </cell>
          <cell r="J54">
            <v>0.007</v>
          </cell>
          <cell r="K54">
            <v>0.0226</v>
          </cell>
          <cell r="L54">
            <v>0.0230731202818941</v>
          </cell>
          <cell r="M54">
            <v>0</v>
          </cell>
          <cell r="Q54">
            <v>0</v>
          </cell>
          <cell r="R54">
            <v>0.0631</v>
          </cell>
          <cell r="S54">
            <v>0.0631</v>
          </cell>
          <cell r="T54">
            <v>1.0422</v>
          </cell>
          <cell r="U54">
            <v>1.0421</v>
          </cell>
          <cell r="V54">
            <v>0.0101</v>
          </cell>
          <cell r="W54">
            <v>0</v>
          </cell>
          <cell r="X54">
            <v>27.31</v>
          </cell>
          <cell r="Y54">
            <v>0.009724400356871393</v>
          </cell>
          <cell r="Z54">
            <v>0</v>
          </cell>
          <cell r="AA54">
            <v>32.26679201760937</v>
          </cell>
          <cell r="AB54">
            <v>0.0018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</v>
          </cell>
          <cell r="E62" t="str">
            <v>A</v>
          </cell>
          <cell r="F62" t="str">
            <v/>
          </cell>
          <cell r="G62" t="str">
            <v/>
          </cell>
          <cell r="H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T62">
            <v>1</v>
          </cell>
          <cell r="U62">
            <v>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/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.CoGen - Distribution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0.0062</v>
          </cell>
          <cell r="J74">
            <v>0.007</v>
          </cell>
          <cell r="K74">
            <v>0.0132</v>
          </cell>
          <cell r="L74">
            <v>0.0132</v>
          </cell>
          <cell r="M74">
            <v>5.1</v>
          </cell>
          <cell r="P74">
            <v>5.1</v>
          </cell>
          <cell r="Q74">
            <v>5.358997550018666</v>
          </cell>
          <cell r="R74">
            <v>0.0631</v>
          </cell>
          <cell r="S74">
            <v>0.0631</v>
          </cell>
          <cell r="T74">
            <v>1.0422</v>
          </cell>
          <cell r="U74">
            <v>1.0421</v>
          </cell>
          <cell r="V74">
            <v>0</v>
          </cell>
          <cell r="W74">
            <v>3.8577</v>
          </cell>
          <cell r="X74">
            <v>2480.78</v>
          </cell>
          <cell r="Y74">
            <v>0</v>
          </cell>
          <cell r="Z74">
            <v>4.586031579662963</v>
          </cell>
          <cell r="AA74">
            <v>3001.387260332978</v>
          </cell>
          <cell r="AB74">
            <v>0.0668</v>
          </cell>
          <cell r="AC74">
            <v>206784.25555555557</v>
          </cell>
          <cell r="AD74">
            <v>484.50833333333327</v>
          </cell>
          <cell r="AQ74">
            <v>1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.CoGen - Distribution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206784.25555555557</v>
          </cell>
          <cell r="AD75">
            <v>484.50833333333327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.CoGen - Distribution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206784.25555555557</v>
          </cell>
          <cell r="AD76">
            <v>484.50833333333327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.CoGen - Distribution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206784.25555555557</v>
          </cell>
          <cell r="AD77">
            <v>484.50833333333327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1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.Blended Non &amp; TOU Rates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0.0062</v>
          </cell>
          <cell r="J78">
            <v>0.007</v>
          </cell>
          <cell r="K78">
            <v>0.0132</v>
          </cell>
          <cell r="L78">
            <v>0.0132</v>
          </cell>
          <cell r="M78">
            <v>3.3886</v>
          </cell>
          <cell r="P78">
            <v>3.3886</v>
          </cell>
          <cell r="Q78">
            <v>3.5585544834309846</v>
          </cell>
          <cell r="R78">
            <v>0.0631</v>
          </cell>
          <cell r="S78">
            <v>0.0631</v>
          </cell>
          <cell r="T78">
            <v>1.0422</v>
          </cell>
          <cell r="U78">
            <v>1.0421</v>
          </cell>
          <cell r="V78">
            <v>0</v>
          </cell>
          <cell r="W78">
            <v>1.7029</v>
          </cell>
          <cell r="X78">
            <v>201.12</v>
          </cell>
          <cell r="Y78">
            <v>0</v>
          </cell>
          <cell r="Z78">
            <v>1.2893884885616216</v>
          </cell>
          <cell r="AA78">
            <v>237.05032580306187</v>
          </cell>
          <cell r="AB78">
            <v>0.6077</v>
          </cell>
          <cell r="AC78">
            <v>15000</v>
          </cell>
          <cell r="AD78">
            <v>60</v>
          </cell>
          <cell r="AE78">
            <v>40000</v>
          </cell>
          <cell r="AF78">
            <v>100</v>
          </cell>
          <cell r="AG78">
            <v>100000</v>
          </cell>
          <cell r="AH78">
            <v>500</v>
          </cell>
          <cell r="AI78">
            <v>400000</v>
          </cell>
          <cell r="AJ78">
            <v>1000</v>
          </cell>
          <cell r="AK78">
            <v>1000000</v>
          </cell>
          <cell r="AL78">
            <v>3000</v>
          </cell>
          <cell r="AQ78">
            <v>5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.Blended Non &amp; TOU Rates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15000</v>
          </cell>
          <cell r="AD79">
            <v>60</v>
          </cell>
          <cell r="AE79">
            <v>40000</v>
          </cell>
          <cell r="AF79">
            <v>100</v>
          </cell>
          <cell r="AG79">
            <v>100000</v>
          </cell>
          <cell r="AH79">
            <v>500</v>
          </cell>
          <cell r="AI79">
            <v>400000</v>
          </cell>
          <cell r="AJ79">
            <v>1000</v>
          </cell>
          <cell r="AK79">
            <v>1000000</v>
          </cell>
          <cell r="AL79">
            <v>3000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5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.Blended Non &amp; TOU Rates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15000</v>
          </cell>
          <cell r="AD80">
            <v>60</v>
          </cell>
          <cell r="AE80">
            <v>40000</v>
          </cell>
          <cell r="AF80">
            <v>100</v>
          </cell>
          <cell r="AG80">
            <v>100000</v>
          </cell>
          <cell r="AH80">
            <v>500</v>
          </cell>
          <cell r="AI80">
            <v>400000</v>
          </cell>
          <cell r="AJ80">
            <v>1000</v>
          </cell>
          <cell r="AK80">
            <v>1000000</v>
          </cell>
          <cell r="AL80">
            <v>3000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5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.Blended Non &amp; TOU Rates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15000</v>
          </cell>
          <cell r="AD81">
            <v>60</v>
          </cell>
          <cell r="AE81">
            <v>40000</v>
          </cell>
          <cell r="AF81">
            <v>100</v>
          </cell>
          <cell r="AG81">
            <v>100000</v>
          </cell>
          <cell r="AH81">
            <v>500</v>
          </cell>
          <cell r="AI81">
            <v>400000</v>
          </cell>
          <cell r="AJ81">
            <v>1000</v>
          </cell>
          <cell r="AK81">
            <v>1000000</v>
          </cell>
          <cell r="AL81">
            <v>3000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5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0.0062</v>
          </cell>
          <cell r="J90">
            <v>0.007</v>
          </cell>
          <cell r="K90">
            <v>0.0132</v>
          </cell>
          <cell r="L90">
            <v>0.0132</v>
          </cell>
          <cell r="M90">
            <v>4.5756</v>
          </cell>
          <cell r="P90">
            <v>4.5756</v>
          </cell>
          <cell r="Q90">
            <v>4.801480002060249</v>
          </cell>
          <cell r="R90">
            <v>0.0631</v>
          </cell>
          <cell r="S90">
            <v>0.0631</v>
          </cell>
          <cell r="T90">
            <v>1.0147</v>
          </cell>
          <cell r="U90">
            <v>1.0147</v>
          </cell>
          <cell r="V90">
            <v>0</v>
          </cell>
          <cell r="W90">
            <v>1.3474</v>
          </cell>
          <cell r="X90">
            <v>11398.07</v>
          </cell>
          <cell r="Y90">
            <v>0</v>
          </cell>
          <cell r="Z90">
            <v>1.4463533260726062</v>
          </cell>
          <cell r="AA90">
            <v>13402.136885056816</v>
          </cell>
          <cell r="AB90">
            <v>0.1173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>X</v>
          </cell>
          <cell r="G94" t="str">
            <v>X</v>
          </cell>
          <cell r="H94">
            <v>0.0094</v>
          </cell>
          <cell r="I94">
            <v>0.0062</v>
          </cell>
          <cell r="J94">
            <v>0.007</v>
          </cell>
          <cell r="K94">
            <v>0.0226</v>
          </cell>
          <cell r="L94">
            <v>0.0230731202818941</v>
          </cell>
          <cell r="M94">
            <v>0</v>
          </cell>
          <cell r="Q94">
            <v>0</v>
          </cell>
          <cell r="R94">
            <v>0.0631</v>
          </cell>
          <cell r="S94">
            <v>0.0631</v>
          </cell>
          <cell r="T94">
            <v>1.0422</v>
          </cell>
          <cell r="U94">
            <v>1.0421</v>
          </cell>
          <cell r="V94">
            <v>0.0101</v>
          </cell>
          <cell r="W94">
            <v>0</v>
          </cell>
          <cell r="X94">
            <v>0.41</v>
          </cell>
          <cell r="Y94">
            <v>0.00852640678391292</v>
          </cell>
          <cell r="Z94">
            <v>0</v>
          </cell>
          <cell r="AA94">
            <v>0.4211839495667826</v>
          </cell>
          <cell r="AB94">
            <v>0.0018</v>
          </cell>
          <cell r="AQ94">
            <v>0</v>
          </cell>
          <cell r="AR94" t="str">
            <v>kWh</v>
          </cell>
          <cell r="AS94" t="str">
            <v>X</v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>X</v>
          </cell>
          <cell r="G99" t="str">
            <v>X</v>
          </cell>
          <cell r="H99">
            <v>0</v>
          </cell>
          <cell r="I99">
            <v>0.0062</v>
          </cell>
          <cell r="J99">
            <v>0.007</v>
          </cell>
          <cell r="K99">
            <v>0.0132</v>
          </cell>
          <cell r="L99">
            <v>0.0132</v>
          </cell>
          <cell r="M99">
            <v>2.9875</v>
          </cell>
          <cell r="P99">
            <v>2.9875</v>
          </cell>
          <cell r="Q99">
            <v>3.137337019496001</v>
          </cell>
          <cell r="R99">
            <v>0.0631</v>
          </cell>
          <cell r="S99">
            <v>0.0631</v>
          </cell>
          <cell r="T99">
            <v>1.0422</v>
          </cell>
          <cell r="U99">
            <v>1.0421</v>
          </cell>
          <cell r="V99">
            <v>0</v>
          </cell>
          <cell r="W99">
            <v>1.8526</v>
          </cell>
          <cell r="X99">
            <v>0.41</v>
          </cell>
          <cell r="Y99">
            <v>0</v>
          </cell>
          <cell r="Z99">
            <v>1.5874314177096485</v>
          </cell>
          <cell r="AA99">
            <v>0.4855254615896725</v>
          </cell>
          <cell r="AB99">
            <v>0.5121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>X</v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0.0062</v>
          </cell>
          <cell r="J103">
            <v>0.007</v>
          </cell>
          <cell r="K103">
            <v>0.0132</v>
          </cell>
          <cell r="L103">
            <v>0.0132</v>
          </cell>
          <cell r="M103">
            <v>2.9837</v>
          </cell>
          <cell r="P103">
            <v>2.9837</v>
          </cell>
          <cell r="Q103">
            <v>3.1333437044737584</v>
          </cell>
          <cell r="R103">
            <v>0.0631</v>
          </cell>
          <cell r="S103">
            <v>0.0631</v>
          </cell>
          <cell r="T103">
            <v>1.0422</v>
          </cell>
          <cell r="U103">
            <v>1.0421</v>
          </cell>
          <cell r="V103">
            <v>0</v>
          </cell>
          <cell r="W103">
            <v>1.2936</v>
          </cell>
          <cell r="X103">
            <v>0.24</v>
          </cell>
          <cell r="Y103">
            <v>0</v>
          </cell>
          <cell r="Z103">
            <v>1.4143537706275209</v>
          </cell>
          <cell r="AA103">
            <v>0.2840305455197097</v>
          </cell>
          <cell r="AB103">
            <v>0.0985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 Data"/>
      <sheetName val="Table 1"/>
    </sheetNames>
    <sheetDataSet>
      <sheetData sheetId="0">
        <row r="11">
          <cell r="V11">
            <v>164866.38</v>
          </cell>
        </row>
        <row r="37">
          <cell r="V37">
            <v>32478.010000000002</v>
          </cell>
        </row>
        <row r="40">
          <cell r="V40">
            <v>7192.8</v>
          </cell>
        </row>
        <row r="50">
          <cell r="V50">
            <v>80380.571</v>
          </cell>
        </row>
        <row r="53">
          <cell r="V53">
            <v>12859.68</v>
          </cell>
        </row>
        <row r="65">
          <cell r="V65">
            <v>23148.47</v>
          </cell>
        </row>
        <row r="69">
          <cell r="V69">
            <v>1006.65</v>
          </cell>
        </row>
        <row r="79">
          <cell r="V79">
            <v>33841.33</v>
          </cell>
        </row>
        <row r="96">
          <cell r="V96">
            <v>30388.649999999998</v>
          </cell>
        </row>
        <row r="113">
          <cell r="V113">
            <v>3445.8</v>
          </cell>
        </row>
        <row r="117">
          <cell r="V117">
            <v>4453.01</v>
          </cell>
        </row>
        <row r="134">
          <cell r="V134">
            <v>44536.36</v>
          </cell>
        </row>
        <row r="135">
          <cell r="V135">
            <v>42558.72</v>
          </cell>
        </row>
        <row r="144">
          <cell r="V144">
            <v>4405.65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ilf.thorburn@athydr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SheetLayoutView="90" zoomScalePageLayoutView="0" workbookViewId="0" topLeftCell="A25">
      <selection activeCell="I17" sqref="I17"/>
    </sheetView>
  </sheetViews>
  <sheetFormatPr defaultColWidth="9.140625" defaultRowHeight="12.75"/>
  <cols>
    <col min="1" max="1" width="18.57421875" style="7" customWidth="1"/>
    <col min="2" max="2" width="15.28125" style="7" customWidth="1"/>
    <col min="3" max="3" width="23.7109375" style="7" customWidth="1"/>
    <col min="4" max="4" width="29.57421875" style="7" customWidth="1"/>
    <col min="5" max="5" width="19.140625" style="7" customWidth="1"/>
    <col min="6" max="6" width="11.8515625" style="7" customWidth="1"/>
    <col min="7" max="7" width="9.8515625" style="7" customWidth="1"/>
    <col min="8" max="8" width="13.00390625" style="7" customWidth="1"/>
    <col min="9" max="9" width="8.8515625" style="0" customWidth="1"/>
    <col min="245" max="245" width="51.140625" style="0" customWidth="1"/>
    <col min="246" max="246" width="7.8515625" style="0" customWidth="1"/>
    <col min="247" max="247" width="13.421875" style="0" customWidth="1"/>
    <col min="248" max="249" width="12.7109375" style="0" customWidth="1"/>
  </cols>
  <sheetData>
    <row r="1" ht="20.25">
      <c r="A1" s="169"/>
    </row>
    <row r="4" spans="1:8" ht="25.5">
      <c r="A4" s="1"/>
      <c r="B4" s="4" t="s">
        <v>195</v>
      </c>
      <c r="C4" s="1"/>
      <c r="D4" s="1"/>
      <c r="E4" s="1"/>
      <c r="F4" s="1"/>
      <c r="G4" s="1"/>
      <c r="H4" s="1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9"/>
      <c r="B6" s="1"/>
      <c r="C6" s="1"/>
      <c r="D6" s="1"/>
      <c r="E6" s="1"/>
      <c r="F6" s="1"/>
      <c r="G6" s="1"/>
      <c r="H6" s="1"/>
    </row>
    <row r="7" spans="1:8" ht="15.75">
      <c r="A7" s="10"/>
      <c r="B7" s="11" t="s">
        <v>0</v>
      </c>
      <c r="C7" s="37" t="s">
        <v>251</v>
      </c>
      <c r="D7"/>
      <c r="E7" s="12"/>
      <c r="F7" s="1"/>
      <c r="G7" s="1"/>
      <c r="H7" s="1"/>
    </row>
    <row r="8" spans="1:8" ht="15.75">
      <c r="A8" s="10"/>
      <c r="B8" s="11"/>
      <c r="C8" s="13"/>
      <c r="D8" s="13"/>
      <c r="E8" s="13"/>
      <c r="F8" s="1"/>
      <c r="G8" s="1"/>
      <c r="H8" s="1"/>
    </row>
    <row r="9" spans="1:8" ht="15.75">
      <c r="A9" s="10"/>
      <c r="B9" s="11" t="s">
        <v>1</v>
      </c>
      <c r="C9" s="37" t="s">
        <v>252</v>
      </c>
      <c r="D9"/>
      <c r="E9"/>
      <c r="F9"/>
      <c r="G9" s="1"/>
      <c r="H9" s="1"/>
    </row>
    <row r="10" spans="1:8" ht="15.75">
      <c r="A10" s="10"/>
      <c r="B10" s="11"/>
      <c r="C10" s="13"/>
      <c r="D10" s="14"/>
      <c r="E10" s="13"/>
      <c r="F10" s="1"/>
      <c r="G10" s="1"/>
      <c r="H10" s="1"/>
    </row>
    <row r="11" spans="1:8" ht="16.5" thickBot="1">
      <c r="A11" s="15"/>
      <c r="B11" s="15"/>
      <c r="C11" s="16"/>
      <c r="D11" s="14"/>
      <c r="E11" s="16"/>
      <c r="F11" s="15"/>
      <c r="G11" s="15"/>
      <c r="H11" s="15"/>
    </row>
    <row r="12" spans="1:8" ht="16.5" thickBot="1">
      <c r="A12" s="15"/>
      <c r="B12" s="11" t="s">
        <v>2</v>
      </c>
      <c r="C12" s="17">
        <v>40303</v>
      </c>
      <c r="D12"/>
      <c r="E12"/>
      <c r="F12" s="18"/>
      <c r="G12" s="15"/>
      <c r="H12" s="15"/>
    </row>
    <row r="13" spans="1:8" ht="15.75">
      <c r="A13" s="15"/>
      <c r="B13" s="15"/>
      <c r="C13" s="16"/>
      <c r="D13" s="16"/>
      <c r="E13" s="16"/>
      <c r="F13" s="15"/>
      <c r="G13" s="15"/>
      <c r="H13" s="15"/>
    </row>
    <row r="14" spans="1:8" ht="12.75">
      <c r="A14"/>
      <c r="B14"/>
      <c r="C14"/>
      <c r="D14"/>
      <c r="E14"/>
      <c r="F14"/>
      <c r="G14"/>
      <c r="H14"/>
    </row>
    <row r="15" spans="1:8" ht="15.75">
      <c r="A15" s="15"/>
      <c r="B15" s="15"/>
      <c r="C15" s="16"/>
      <c r="D15" s="16"/>
      <c r="E15" s="16"/>
      <c r="F15" s="15"/>
      <c r="G15" s="15"/>
      <c r="H15" s="15"/>
    </row>
    <row r="16" spans="1:8" ht="16.5" thickBot="1">
      <c r="A16" s="190" t="s">
        <v>3</v>
      </c>
      <c r="B16" s="190"/>
      <c r="C16" s="16"/>
      <c r="D16" s="16"/>
      <c r="E16" s="16"/>
      <c r="F16" s="15"/>
      <c r="G16" s="15"/>
      <c r="H16" s="15"/>
    </row>
    <row r="17" spans="1:8" ht="16.5" thickBot="1">
      <c r="A17" s="15"/>
      <c r="B17" s="19" t="s">
        <v>4</v>
      </c>
      <c r="C17" s="191" t="s">
        <v>253</v>
      </c>
      <c r="D17" s="192"/>
      <c r="E17" s="20"/>
      <c r="F17" s="15"/>
      <c r="G17" s="15"/>
      <c r="H17" s="15"/>
    </row>
    <row r="18" spans="1:8" ht="16.5" thickBot="1">
      <c r="A18" s="15"/>
      <c r="B18" s="21"/>
      <c r="C18" s="16"/>
      <c r="D18" s="16"/>
      <c r="E18" s="16"/>
      <c r="F18" s="15"/>
      <c r="G18" s="15"/>
      <c r="H18" s="15"/>
    </row>
    <row r="19" spans="1:8" ht="16.5" thickBot="1">
      <c r="A19" s="15"/>
      <c r="B19" s="19" t="s">
        <v>5</v>
      </c>
      <c r="C19" s="191" t="s">
        <v>254</v>
      </c>
      <c r="D19" s="192"/>
      <c r="E19" s="20"/>
      <c r="F19" s="2"/>
      <c r="G19" s="15"/>
      <c r="H19" s="15"/>
    </row>
    <row r="20" spans="1:8" ht="16.5" thickBot="1">
      <c r="A20" s="15"/>
      <c r="B20" s="21"/>
      <c r="C20" s="16"/>
      <c r="D20" s="16"/>
      <c r="E20" s="16"/>
      <c r="F20" s="15"/>
      <c r="G20" s="15"/>
      <c r="H20" s="15"/>
    </row>
    <row r="21" spans="1:8" ht="16.5" thickBot="1">
      <c r="A21" s="15"/>
      <c r="B21" s="19" t="s">
        <v>6</v>
      </c>
      <c r="C21" s="191" t="s">
        <v>255</v>
      </c>
      <c r="D21" s="192"/>
      <c r="E21" s="20"/>
      <c r="F21" s="15"/>
      <c r="G21" s="15"/>
      <c r="H21" s="15"/>
    </row>
    <row r="22" spans="1:8" ht="15" thickBot="1">
      <c r="A22" s="1"/>
      <c r="B22" s="22"/>
      <c r="C22" s="23"/>
      <c r="D22" s="23"/>
      <c r="E22" s="23"/>
      <c r="F22" s="1"/>
      <c r="G22" s="1"/>
      <c r="H22" s="1"/>
    </row>
    <row r="23" spans="1:8" ht="16.5" thickBot="1">
      <c r="A23" s="1"/>
      <c r="B23" s="19" t="s">
        <v>7</v>
      </c>
      <c r="C23" s="188" t="s">
        <v>256</v>
      </c>
      <c r="D23" s="189"/>
      <c r="E23" s="20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</sheetData>
  <sheetProtection formatColumns="0" selectLockedCells="1"/>
  <mergeCells count="5">
    <mergeCell ref="C23:D23"/>
    <mergeCell ref="A16:B16"/>
    <mergeCell ref="C17:D17"/>
    <mergeCell ref="C19:D19"/>
    <mergeCell ref="C21:D21"/>
  </mergeCells>
  <hyperlinks>
    <hyperlink ref="C23" r:id="rId1" display="wilf.thorburn@athydro.com"/>
  </hyperlinks>
  <printOptions/>
  <pageMargins left="0.75" right="0.75" top="1" bottom="1" header="0.5" footer="0.5"/>
  <pageSetup horizontalDpi="600" verticalDpi="600" orientation="portrait" scale="67" r:id="rId3"/>
  <colBreaks count="1" manualBreakCount="1">
    <brk id="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showGridLines="0" zoomScale="80" zoomScaleNormal="80" zoomScalePageLayoutView="0" workbookViewId="0" topLeftCell="A1">
      <pane xSplit="1" ySplit="4" topLeftCell="E12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102.8515625" style="7" bestFit="1" customWidth="1"/>
    <col min="2" max="2" width="20.57421875" style="7" customWidth="1"/>
    <col min="3" max="3" width="17.421875" style="7" customWidth="1"/>
    <col min="4" max="4" width="15.28125" style="7" customWidth="1"/>
    <col min="5" max="9" width="17.28125" style="7" customWidth="1"/>
    <col min="10" max="10" width="19.28125" style="7" customWidth="1"/>
    <col min="11" max="12" width="13.8515625" style="153" bestFit="1" customWidth="1"/>
    <col min="13" max="16384" width="9.140625" style="7" customWidth="1"/>
  </cols>
  <sheetData>
    <row r="1" spans="1:12" s="3" customFormat="1" ht="30">
      <c r="A1" s="194" t="s">
        <v>12</v>
      </c>
      <c r="B1" s="194"/>
      <c r="C1" s="194"/>
      <c r="D1" s="194"/>
      <c r="E1" s="194"/>
      <c r="F1" s="194"/>
      <c r="G1" s="194"/>
      <c r="H1" s="194"/>
      <c r="I1" s="101"/>
      <c r="J1" s="1"/>
      <c r="K1" s="159"/>
      <c r="L1" s="159"/>
    </row>
    <row r="2" spans="1:12" s="3" customFormat="1" ht="11.25">
      <c r="A2" s="27"/>
      <c r="B2" s="27"/>
      <c r="C2" s="27"/>
      <c r="D2" s="27"/>
      <c r="E2" s="27"/>
      <c r="F2" s="27"/>
      <c r="G2" s="27"/>
      <c r="H2" s="27"/>
      <c r="I2" s="27"/>
      <c r="J2" s="27"/>
      <c r="K2" s="159"/>
      <c r="L2" s="159"/>
    </row>
    <row r="3" spans="1:10" ht="18">
      <c r="A3" s="28" t="s">
        <v>14</v>
      </c>
      <c r="B3" s="28"/>
      <c r="C3" s="5"/>
      <c r="D3" s="5"/>
      <c r="E3" s="5"/>
      <c r="F3" s="5"/>
      <c r="G3" s="5"/>
      <c r="H3" s="5"/>
      <c r="I3" s="5"/>
      <c r="J3" s="5"/>
    </row>
    <row r="4" spans="1:10" ht="12.75">
      <c r="A4" s="29" t="s">
        <v>15</v>
      </c>
      <c r="B4" s="29"/>
      <c r="C4" s="24">
        <v>2006</v>
      </c>
      <c r="D4" s="24">
        <v>2007</v>
      </c>
      <c r="E4" s="24">
        <v>2008</v>
      </c>
      <c r="F4" s="24">
        <v>2009</v>
      </c>
      <c r="G4" s="24">
        <v>2010</v>
      </c>
      <c r="H4" s="24">
        <v>2011</v>
      </c>
      <c r="I4" s="104" t="s">
        <v>208</v>
      </c>
      <c r="J4" s="24" t="s">
        <v>16</v>
      </c>
    </row>
    <row r="5" spans="1:10" ht="12.75">
      <c r="A5" s="29"/>
      <c r="B5" s="29"/>
      <c r="C5" s="103" t="s">
        <v>250</v>
      </c>
      <c r="D5" s="103" t="s">
        <v>250</v>
      </c>
      <c r="E5" s="103" t="s">
        <v>250</v>
      </c>
      <c r="F5" s="103" t="s">
        <v>250</v>
      </c>
      <c r="G5" s="103" t="s">
        <v>207</v>
      </c>
      <c r="H5" s="103" t="s">
        <v>207</v>
      </c>
      <c r="I5" s="103" t="s">
        <v>207</v>
      </c>
      <c r="J5" s="30"/>
    </row>
    <row r="6" spans="1:10" ht="12.75">
      <c r="A6" s="31" t="s">
        <v>17</v>
      </c>
      <c r="B6" s="31"/>
      <c r="C6" s="115">
        <v>0</v>
      </c>
      <c r="D6" s="115"/>
      <c r="E6" s="115"/>
      <c r="F6" s="115">
        <v>1452</v>
      </c>
      <c r="G6" s="115"/>
      <c r="H6" s="115"/>
      <c r="I6" s="115"/>
      <c r="J6" s="33">
        <f>SUM(C6:I6)</f>
        <v>1452</v>
      </c>
    </row>
    <row r="7" spans="11:12" ht="12.75">
      <c r="K7" s="160"/>
      <c r="L7" s="160"/>
    </row>
    <row r="8" spans="1:10" ht="12.75">
      <c r="A8" s="31" t="s">
        <v>18</v>
      </c>
      <c r="B8" s="31"/>
      <c r="C8" s="32"/>
      <c r="D8" s="32"/>
      <c r="E8" s="32"/>
      <c r="F8" s="32">
        <v>227</v>
      </c>
      <c r="G8" s="32"/>
      <c r="H8" s="32"/>
      <c r="I8" s="32"/>
      <c r="J8" s="33">
        <f>SUM(C8:I8)</f>
        <v>227</v>
      </c>
    </row>
    <row r="9" spans="1:10" ht="12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34" t="s">
        <v>20</v>
      </c>
      <c r="B10" s="34"/>
      <c r="C10" s="35">
        <f>SUM(C6,C8)</f>
        <v>0</v>
      </c>
      <c r="D10" s="35">
        <f aca="true" t="shared" si="0" ref="D10:J10">SUM(D6,D8)</f>
        <v>0</v>
      </c>
      <c r="E10" s="35">
        <f t="shared" si="0"/>
        <v>0</v>
      </c>
      <c r="F10" s="35">
        <f t="shared" si="0"/>
        <v>1679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1679</v>
      </c>
    </row>
    <row r="11" spans="1:10" ht="12.75">
      <c r="A11" s="34"/>
      <c r="B11" s="34"/>
      <c r="C11" s="106"/>
      <c r="D11" s="106"/>
      <c r="E11" s="106"/>
      <c r="F11" s="106"/>
      <c r="G11" s="106"/>
      <c r="H11" s="106"/>
      <c r="I11" s="106"/>
      <c r="J11" s="106"/>
    </row>
    <row r="12" spans="1:10" ht="12.75">
      <c r="A12" s="34" t="s">
        <v>210</v>
      </c>
      <c r="B12" s="34"/>
      <c r="C12" s="107">
        <f>IF(ISERROR(SUM($C10:C10)/$J10),0,SUM($C10:C10)/$J10)</f>
        <v>0</v>
      </c>
      <c r="D12" s="107">
        <f>IF(ISERROR(SUM($C10:D10)/$J10),0,SUM($C10:D10)/$J10)</f>
        <v>0</v>
      </c>
      <c r="E12" s="107">
        <f>IF(ISERROR(SUM($C10:E10)/$J10),0,SUM($C10:E10)/$J10)</f>
        <v>0</v>
      </c>
      <c r="F12" s="107">
        <f>IF(ISERROR(SUM($C10:F10)/$J10),0,SUM($C10:F10)/$J10)</f>
        <v>1</v>
      </c>
      <c r="G12" s="107">
        <f>IF(ISERROR(SUM($C10:G10)/$J10),0,SUM($C10:G10)/$J10)</f>
        <v>1</v>
      </c>
      <c r="H12" s="107">
        <f>IF(ISERROR(SUM($C10:H10)/$J10),0,SUM($C10:H10)/$J10)</f>
        <v>1</v>
      </c>
      <c r="I12" s="107">
        <f>IF(ISERROR(SUM($C10:I10)/$J10),0,SUM($C10:I10)/$J10)</f>
        <v>1</v>
      </c>
      <c r="J12" s="106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54" t="s">
        <v>19</v>
      </c>
      <c r="B14" s="31"/>
      <c r="C14" s="32"/>
      <c r="D14" s="32"/>
      <c r="E14" s="32"/>
      <c r="F14" s="32">
        <v>0</v>
      </c>
      <c r="G14" s="32"/>
      <c r="H14" s="32"/>
      <c r="I14" s="32"/>
      <c r="J14" s="33">
        <f>SUM(C14:I14)</f>
        <v>0</v>
      </c>
    </row>
    <row r="16" spans="1:10" ht="13.5" thickBot="1">
      <c r="A16" s="54" t="s">
        <v>209</v>
      </c>
      <c r="B16" s="31"/>
      <c r="C16" s="36">
        <f aca="true" t="shared" si="1" ref="C16:I16">SUM(C10,C14)</f>
        <v>0</v>
      </c>
      <c r="D16" s="36">
        <f t="shared" si="1"/>
        <v>0</v>
      </c>
      <c r="E16" s="36">
        <f t="shared" si="1"/>
        <v>0</v>
      </c>
      <c r="F16" s="36">
        <f t="shared" si="1"/>
        <v>1679</v>
      </c>
      <c r="G16" s="36">
        <f t="shared" si="1"/>
        <v>0</v>
      </c>
      <c r="H16" s="36">
        <f t="shared" si="1"/>
        <v>0</v>
      </c>
      <c r="I16" s="36">
        <f t="shared" si="1"/>
        <v>0</v>
      </c>
      <c r="J16" s="36">
        <f>SUM(C16:I16)</f>
        <v>1679</v>
      </c>
    </row>
    <row r="17" spans="1:10" ht="12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">
      <c r="A18" s="28" t="s">
        <v>21</v>
      </c>
      <c r="B18" s="28"/>
      <c r="C18" s="5"/>
      <c r="D18" s="5"/>
      <c r="E18" s="5"/>
      <c r="F18" s="5"/>
      <c r="G18" s="5"/>
      <c r="H18" s="5"/>
      <c r="I18" s="5"/>
      <c r="J18" s="5"/>
    </row>
    <row r="19" spans="1:10" ht="12.75">
      <c r="A19" s="29" t="s">
        <v>15</v>
      </c>
      <c r="B19" s="29"/>
      <c r="C19" s="24">
        <f>C4</f>
        <v>2006</v>
      </c>
      <c r="D19" s="24">
        <f aca="true" t="shared" si="2" ref="D19:I19">D4</f>
        <v>2007</v>
      </c>
      <c r="E19" s="24">
        <f t="shared" si="2"/>
        <v>2008</v>
      </c>
      <c r="F19" s="24">
        <f t="shared" si="2"/>
        <v>2009</v>
      </c>
      <c r="G19" s="24">
        <f t="shared" si="2"/>
        <v>2010</v>
      </c>
      <c r="H19" s="24">
        <f t="shared" si="2"/>
        <v>2011</v>
      </c>
      <c r="I19" s="24" t="str">
        <f t="shared" si="2"/>
        <v>Later</v>
      </c>
      <c r="J19" s="30" t="s">
        <v>16</v>
      </c>
    </row>
    <row r="20" spans="1:10" ht="12.75">
      <c r="A20" s="29"/>
      <c r="B20" s="29"/>
      <c r="C20" s="24" t="str">
        <f>C5</f>
        <v>Actual</v>
      </c>
      <c r="D20" s="24" t="str">
        <f aca="true" t="shared" si="3" ref="D20:I20">D5</f>
        <v>Actual</v>
      </c>
      <c r="E20" s="24" t="str">
        <f t="shared" si="3"/>
        <v>Actual</v>
      </c>
      <c r="F20" s="24" t="str">
        <f t="shared" si="3"/>
        <v>Actual</v>
      </c>
      <c r="G20" s="24" t="str">
        <f t="shared" si="3"/>
        <v>Forecasted</v>
      </c>
      <c r="H20" s="24" t="str">
        <f t="shared" si="3"/>
        <v>Forecasted</v>
      </c>
      <c r="I20" s="24" t="str">
        <f t="shared" si="3"/>
        <v>Forecasted</v>
      </c>
      <c r="J20" s="30"/>
    </row>
    <row r="21" spans="1:10" ht="12.75">
      <c r="A21" s="31" t="s">
        <v>22</v>
      </c>
      <c r="B21" s="31"/>
      <c r="C21" s="32"/>
      <c r="D21" s="32"/>
      <c r="E21" s="32"/>
      <c r="F21" s="32"/>
      <c r="G21" s="32"/>
      <c r="H21" s="32"/>
      <c r="I21" s="32"/>
      <c r="J21" s="33">
        <f>SUM(C21:I21)</f>
        <v>0</v>
      </c>
    </row>
    <row r="22" spans="11:20" ht="12.75">
      <c r="K22" s="160"/>
      <c r="L22" s="160"/>
      <c r="T22" s="7"/>
    </row>
    <row r="23" spans="1:10" ht="12.75">
      <c r="A23" s="31" t="s">
        <v>23</v>
      </c>
      <c r="B23" s="31"/>
      <c r="C23" s="32"/>
      <c r="D23" s="32"/>
      <c r="E23" s="32"/>
      <c r="F23" s="32"/>
      <c r="G23" s="32"/>
      <c r="H23" s="32"/>
      <c r="I23" s="32"/>
      <c r="J23" s="33">
        <f>SUM(C23:I23)</f>
        <v>0</v>
      </c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2" ht="12.75">
      <c r="A25" s="31" t="s">
        <v>24</v>
      </c>
      <c r="B25" s="31"/>
    </row>
    <row r="26" spans="1:12" ht="12.75">
      <c r="A26" s="37"/>
      <c r="C26" s="32"/>
      <c r="D26" s="32"/>
      <c r="E26" s="32"/>
      <c r="F26" s="32"/>
      <c r="G26" s="32"/>
      <c r="H26" s="32"/>
      <c r="I26" s="32"/>
      <c r="J26" s="33">
        <f>SUM(C26:I26)</f>
        <v>0</v>
      </c>
      <c r="K26" s="160"/>
      <c r="L26" s="160"/>
    </row>
    <row r="27" spans="11:12" ht="12.75">
      <c r="K27" s="160"/>
      <c r="L27" s="160"/>
    </row>
    <row r="28" spans="1:12" ht="12.75">
      <c r="A28" s="37"/>
      <c r="C28" s="32"/>
      <c r="D28" s="32"/>
      <c r="E28" s="32"/>
      <c r="F28" s="32"/>
      <c r="G28" s="32"/>
      <c r="H28" s="32"/>
      <c r="I28" s="32"/>
      <c r="J28" s="33">
        <f>SUM(C28:I28)</f>
        <v>0</v>
      </c>
      <c r="K28" s="160"/>
      <c r="L28" s="160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2" ht="12.75">
      <c r="A30" s="37"/>
      <c r="C30" s="32"/>
      <c r="D30" s="32"/>
      <c r="E30" s="32"/>
      <c r="F30" s="32"/>
      <c r="G30" s="32"/>
      <c r="H30" s="32"/>
      <c r="I30" s="32"/>
      <c r="J30" s="33">
        <f>SUM(C30:I30)</f>
        <v>0</v>
      </c>
      <c r="K30" s="160"/>
      <c r="L30" s="160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2" ht="12.75">
      <c r="A32" s="37"/>
      <c r="C32" s="32"/>
      <c r="D32" s="32"/>
      <c r="E32" s="32"/>
      <c r="F32" s="32"/>
      <c r="G32" s="32"/>
      <c r="H32" s="32"/>
      <c r="I32" s="32"/>
      <c r="J32" s="33">
        <f>SUM(C32:I32)</f>
        <v>0</v>
      </c>
      <c r="K32" s="160"/>
      <c r="L32" s="160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3.25">
      <c r="A35" s="38" t="s">
        <v>25</v>
      </c>
      <c r="B35" s="38"/>
      <c r="C35" s="5"/>
      <c r="D35" s="5"/>
      <c r="E35" s="5"/>
      <c r="F35" s="5"/>
      <c r="G35" s="5"/>
      <c r="H35" s="5"/>
      <c r="I35" s="5"/>
      <c r="J35" s="5"/>
    </row>
    <row r="36" spans="1:10" ht="18">
      <c r="A36" s="39" t="s">
        <v>26</v>
      </c>
      <c r="B36" s="39" t="s">
        <v>27</v>
      </c>
      <c r="C36" s="5"/>
      <c r="D36" s="5"/>
      <c r="E36" s="5"/>
      <c r="F36" s="5"/>
      <c r="G36" s="5"/>
      <c r="H36" s="5"/>
      <c r="I36" s="5"/>
      <c r="J36" s="5"/>
    </row>
    <row r="37" spans="1:10" ht="12.75">
      <c r="A37" s="40"/>
      <c r="B37" s="40"/>
      <c r="C37" s="24">
        <f>C19</f>
        <v>2006</v>
      </c>
      <c r="D37" s="24">
        <f aca="true" t="shared" si="4" ref="D37:I37">D19</f>
        <v>2007</v>
      </c>
      <c r="E37" s="24">
        <f t="shared" si="4"/>
        <v>2008</v>
      </c>
      <c r="F37" s="24">
        <f t="shared" si="4"/>
        <v>2009</v>
      </c>
      <c r="G37" s="24">
        <f t="shared" si="4"/>
        <v>2010</v>
      </c>
      <c r="H37" s="24">
        <f t="shared" si="4"/>
        <v>2011</v>
      </c>
      <c r="I37" s="24" t="str">
        <f t="shared" si="4"/>
        <v>Later</v>
      </c>
      <c r="J37" s="24" t="s">
        <v>16</v>
      </c>
    </row>
    <row r="38" spans="1:10" ht="12.75">
      <c r="A38" s="40"/>
      <c r="B38" s="40"/>
      <c r="C38" s="24" t="str">
        <f>C20</f>
        <v>Actual</v>
      </c>
      <c r="D38" s="24" t="str">
        <f aca="true" t="shared" si="5" ref="D38:I38">D20</f>
        <v>Actual</v>
      </c>
      <c r="E38" s="24" t="str">
        <f t="shared" si="5"/>
        <v>Actual</v>
      </c>
      <c r="F38" s="24" t="str">
        <f t="shared" si="5"/>
        <v>Actual</v>
      </c>
      <c r="G38" s="24" t="str">
        <f t="shared" si="5"/>
        <v>Forecasted</v>
      </c>
      <c r="H38" s="24" t="str">
        <f t="shared" si="5"/>
        <v>Forecasted</v>
      </c>
      <c r="I38" s="24" t="str">
        <f t="shared" si="5"/>
        <v>Forecasted</v>
      </c>
      <c r="J38" s="24"/>
    </row>
    <row r="39" spans="1:20" ht="20.25">
      <c r="A39" s="41" t="s">
        <v>28</v>
      </c>
      <c r="B39" s="108" t="s">
        <v>8</v>
      </c>
      <c r="C39" s="166"/>
      <c r="D39" s="166"/>
      <c r="E39" s="166"/>
      <c r="F39" s="166">
        <f>'[3]Cost Data'!$V$11</f>
        <v>164866.38</v>
      </c>
      <c r="G39" s="166"/>
      <c r="H39" s="166"/>
      <c r="I39" s="166"/>
      <c r="J39" s="43">
        <f>SUM(C39:I39)</f>
        <v>164866.38</v>
      </c>
      <c r="T39" s="105"/>
    </row>
    <row r="40" spans="1:20" ht="20.25">
      <c r="A40" s="44" t="s">
        <v>29</v>
      </c>
      <c r="B40" s="44"/>
      <c r="C40" s="110"/>
      <c r="D40" s="110"/>
      <c r="E40" s="110"/>
      <c r="F40" s="110"/>
      <c r="G40" s="110"/>
      <c r="H40" s="110"/>
      <c r="I40" s="102"/>
      <c r="J40" s="5"/>
      <c r="T40" s="105"/>
    </row>
    <row r="41" spans="1:20" ht="20.25">
      <c r="A41" s="41" t="s">
        <v>30</v>
      </c>
      <c r="B41" s="108" t="s">
        <v>8</v>
      </c>
      <c r="C41" s="166"/>
      <c r="D41" s="166"/>
      <c r="E41" s="166"/>
      <c r="F41" s="166">
        <f>'[3]Cost Data'!$V$37</f>
        <v>32478.010000000002</v>
      </c>
      <c r="G41" s="166"/>
      <c r="H41" s="166"/>
      <c r="I41" s="166"/>
      <c r="J41" s="43">
        <f>SUM(C41:I41)</f>
        <v>32478.010000000002</v>
      </c>
      <c r="T41" s="105"/>
    </row>
    <row r="42" spans="1:10" ht="12.75">
      <c r="A42" s="44" t="s">
        <v>31</v>
      </c>
      <c r="B42" s="44"/>
      <c r="C42" s="193"/>
      <c r="D42" s="193"/>
      <c r="E42" s="193"/>
      <c r="F42" s="193"/>
      <c r="G42" s="193"/>
      <c r="H42" s="193"/>
      <c r="I42" s="102"/>
      <c r="J42" s="5"/>
    </row>
    <row r="43" spans="1:10" ht="15.75">
      <c r="A43" s="41" t="s">
        <v>32</v>
      </c>
      <c r="B43" s="108" t="s">
        <v>8</v>
      </c>
      <c r="C43" s="166"/>
      <c r="D43" s="166"/>
      <c r="E43" s="166"/>
      <c r="F43" s="166">
        <f>'[3]Cost Data'!$V$40</f>
        <v>7192.8</v>
      </c>
      <c r="G43" s="166"/>
      <c r="H43" s="166"/>
      <c r="I43" s="166"/>
      <c r="J43" s="43">
        <f>SUM(C43:I43)</f>
        <v>7192.8</v>
      </c>
    </row>
    <row r="44" spans="1:10" ht="12.75">
      <c r="A44" s="44" t="s">
        <v>33</v>
      </c>
      <c r="B44" s="44"/>
      <c r="C44" s="193"/>
      <c r="D44" s="193"/>
      <c r="E44" s="193"/>
      <c r="F44" s="193"/>
      <c r="G44" s="193"/>
      <c r="H44" s="193"/>
      <c r="I44" s="102"/>
      <c r="J44" s="5"/>
    </row>
    <row r="45" spans="1:10" ht="15.75">
      <c r="A45" s="41" t="s">
        <v>34</v>
      </c>
      <c r="B45" s="108" t="s">
        <v>8</v>
      </c>
      <c r="C45" s="166"/>
      <c r="D45" s="166"/>
      <c r="E45" s="166"/>
      <c r="F45" s="181"/>
      <c r="G45" s="166"/>
      <c r="H45" s="166"/>
      <c r="I45" s="166"/>
      <c r="J45" s="43">
        <f>SUM(C45:I45)</f>
        <v>0</v>
      </c>
    </row>
    <row r="46" spans="1:10" ht="12.75">
      <c r="A46" s="44" t="s">
        <v>33</v>
      </c>
      <c r="B46" s="44"/>
      <c r="C46" s="193"/>
      <c r="D46" s="193"/>
      <c r="E46" s="193"/>
      <c r="F46" s="193"/>
      <c r="G46" s="193"/>
      <c r="H46" s="193"/>
      <c r="I46" s="102"/>
      <c r="J46" s="5"/>
    </row>
    <row r="47" spans="1:10" ht="12.75">
      <c r="A47" s="40"/>
      <c r="B47" s="40"/>
      <c r="C47" s="5"/>
      <c r="D47" s="24"/>
      <c r="E47" s="24"/>
      <c r="F47" s="5"/>
      <c r="G47" s="5"/>
      <c r="H47" s="5"/>
      <c r="I47" s="5"/>
      <c r="J47" s="5"/>
    </row>
    <row r="48" spans="1:10" ht="13.5" thickBot="1">
      <c r="A48" s="41" t="s">
        <v>35</v>
      </c>
      <c r="B48" s="41"/>
      <c r="C48" s="171">
        <f aca="true" t="shared" si="6" ref="C48:J48">SUM(C39,C41,C43,C45)</f>
        <v>0</v>
      </c>
      <c r="D48" s="171">
        <f t="shared" si="6"/>
        <v>0</v>
      </c>
      <c r="E48" s="171">
        <f t="shared" si="6"/>
        <v>0</v>
      </c>
      <c r="F48" s="171">
        <f t="shared" si="6"/>
        <v>204537.19</v>
      </c>
      <c r="G48" s="171">
        <f t="shared" si="6"/>
        <v>0</v>
      </c>
      <c r="H48" s="171">
        <f t="shared" si="6"/>
        <v>0</v>
      </c>
      <c r="I48" s="171">
        <f t="shared" si="6"/>
        <v>0</v>
      </c>
      <c r="J48" s="171">
        <f t="shared" si="6"/>
        <v>204537.19</v>
      </c>
    </row>
    <row r="49" spans="1:10" ht="12.75">
      <c r="A49" s="40"/>
      <c r="B49" s="40"/>
      <c r="C49" s="62"/>
      <c r="D49" s="62"/>
      <c r="E49" s="62"/>
      <c r="F49" s="175"/>
      <c r="G49" s="176"/>
      <c r="H49" s="62"/>
      <c r="I49" s="62"/>
      <c r="J49" s="62"/>
    </row>
    <row r="50" spans="1:10" ht="18">
      <c r="A50" s="39" t="s">
        <v>36</v>
      </c>
      <c r="B50" s="39"/>
      <c r="C50" s="62"/>
      <c r="D50" s="62"/>
      <c r="E50" s="62"/>
      <c r="F50" s="62"/>
      <c r="G50" s="62"/>
      <c r="H50" s="62"/>
      <c r="I50" s="62"/>
      <c r="J50" s="62"/>
    </row>
    <row r="51" spans="1:10" ht="12.75">
      <c r="A51" s="40"/>
      <c r="B51" s="40"/>
      <c r="C51" s="104">
        <f>C4</f>
        <v>2006</v>
      </c>
      <c r="D51" s="104">
        <f aca="true" t="shared" si="7" ref="D51:I51">D4</f>
        <v>2007</v>
      </c>
      <c r="E51" s="104">
        <f t="shared" si="7"/>
        <v>2008</v>
      </c>
      <c r="F51" s="104">
        <f t="shared" si="7"/>
        <v>2009</v>
      </c>
      <c r="G51" s="104">
        <f t="shared" si="7"/>
        <v>2010</v>
      </c>
      <c r="H51" s="104">
        <f t="shared" si="7"/>
        <v>2011</v>
      </c>
      <c r="I51" s="104" t="str">
        <f t="shared" si="7"/>
        <v>Later</v>
      </c>
      <c r="J51" s="104" t="s">
        <v>16</v>
      </c>
    </row>
    <row r="52" spans="1:10" ht="12.75">
      <c r="A52" s="40"/>
      <c r="B52" s="40"/>
      <c r="C52" s="24" t="str">
        <f>C5</f>
        <v>Actual</v>
      </c>
      <c r="D52" s="24" t="str">
        <f aca="true" t="shared" si="8" ref="D52:I52">D5</f>
        <v>Actual</v>
      </c>
      <c r="E52" s="24" t="str">
        <f t="shared" si="8"/>
        <v>Actual</v>
      </c>
      <c r="F52" s="24" t="str">
        <f t="shared" si="8"/>
        <v>Actual</v>
      </c>
      <c r="G52" s="24" t="str">
        <f t="shared" si="8"/>
        <v>Forecasted</v>
      </c>
      <c r="H52" s="24" t="str">
        <f t="shared" si="8"/>
        <v>Forecasted</v>
      </c>
      <c r="I52" s="24" t="str">
        <f t="shared" si="8"/>
        <v>Forecasted</v>
      </c>
      <c r="J52" s="24"/>
    </row>
    <row r="53" spans="1:10" ht="15.75">
      <c r="A53" s="41" t="s">
        <v>37</v>
      </c>
      <c r="B53" s="108" t="s">
        <v>8</v>
      </c>
      <c r="C53" s="166"/>
      <c r="D53" s="166"/>
      <c r="E53" s="166"/>
      <c r="F53" s="166">
        <f>'[3]Cost Data'!$V$50</f>
        <v>80380.571</v>
      </c>
      <c r="G53" s="166"/>
      <c r="H53" s="166"/>
      <c r="I53" s="166"/>
      <c r="J53" s="46">
        <f>SUM(C53:I53)</f>
        <v>80380.571</v>
      </c>
    </row>
    <row r="54" spans="1:10" ht="12.75">
      <c r="A54" s="44"/>
      <c r="B54" s="44"/>
      <c r="C54" s="193"/>
      <c r="D54" s="193"/>
      <c r="E54" s="193"/>
      <c r="F54" s="193"/>
      <c r="G54" s="193"/>
      <c r="H54" s="193"/>
      <c r="I54" s="102"/>
      <c r="J54" s="5"/>
    </row>
    <row r="55" spans="1:10" ht="12.75">
      <c r="A55" s="40"/>
      <c r="B55" s="40"/>
      <c r="C55" s="104"/>
      <c r="D55" s="104"/>
      <c r="E55" s="104"/>
      <c r="F55" s="104"/>
      <c r="G55" s="104"/>
      <c r="H55" s="104"/>
      <c r="I55" s="104"/>
      <c r="J55" s="24"/>
    </row>
    <row r="56" spans="1:10" ht="15.75">
      <c r="A56" s="41" t="s">
        <v>38</v>
      </c>
      <c r="B56" s="108" t="s">
        <v>8</v>
      </c>
      <c r="C56" s="166"/>
      <c r="D56" s="166"/>
      <c r="E56" s="166"/>
      <c r="F56" s="166"/>
      <c r="G56" s="166"/>
      <c r="H56" s="166"/>
      <c r="I56" s="166"/>
      <c r="J56" s="46">
        <f>SUM(C56:I56)</f>
        <v>0</v>
      </c>
    </row>
    <row r="57" spans="1:10" ht="12.75">
      <c r="A57" s="44" t="s">
        <v>39</v>
      </c>
      <c r="B57" s="44"/>
      <c r="C57" s="193"/>
      <c r="D57" s="193"/>
      <c r="E57" s="193"/>
      <c r="F57" s="193"/>
      <c r="G57" s="193"/>
      <c r="H57" s="193"/>
      <c r="I57" s="102"/>
      <c r="J57" s="5"/>
    </row>
    <row r="58" spans="1:10" ht="12.75">
      <c r="A58" s="40"/>
      <c r="B58" s="40"/>
      <c r="C58" s="104"/>
      <c r="D58" s="104"/>
      <c r="E58" s="104"/>
      <c r="F58" s="104"/>
      <c r="G58" s="104"/>
      <c r="H58" s="104"/>
      <c r="I58" s="104"/>
      <c r="J58" s="24"/>
    </row>
    <row r="59" spans="1:10" ht="15.75">
      <c r="A59" s="41" t="s">
        <v>40</v>
      </c>
      <c r="B59" s="108" t="s">
        <v>9</v>
      </c>
      <c r="C59" s="166"/>
      <c r="D59" s="166"/>
      <c r="E59" s="166"/>
      <c r="F59" s="166"/>
      <c r="G59" s="166"/>
      <c r="H59" s="166"/>
      <c r="I59" s="166"/>
      <c r="J59" s="46">
        <f>SUM(C59:I59)</f>
        <v>0</v>
      </c>
    </row>
    <row r="60" spans="1:10" ht="12.75">
      <c r="A60" s="44" t="s">
        <v>41</v>
      </c>
      <c r="B60" s="44"/>
      <c r="C60" s="193"/>
      <c r="D60" s="193"/>
      <c r="E60" s="193"/>
      <c r="F60" s="193"/>
      <c r="G60" s="193"/>
      <c r="H60" s="193"/>
      <c r="I60" s="102"/>
      <c r="J60" s="5"/>
    </row>
    <row r="61" spans="1:10" ht="12.75">
      <c r="A61" s="40"/>
      <c r="B61" s="40"/>
      <c r="C61" s="5"/>
      <c r="D61" s="24"/>
      <c r="E61" s="24"/>
      <c r="F61" s="5"/>
      <c r="G61" s="5"/>
      <c r="H61" s="5"/>
      <c r="I61" s="5"/>
      <c r="J61" s="5"/>
    </row>
    <row r="62" spans="1:10" ht="13.5" thickBot="1">
      <c r="A62" s="41" t="s">
        <v>42</v>
      </c>
      <c r="B62" s="41"/>
      <c r="C62" s="45">
        <f aca="true" t="shared" si="9" ref="C62:J62">SUM(C53,C56,C59)</f>
        <v>0</v>
      </c>
      <c r="D62" s="45">
        <f t="shared" si="9"/>
        <v>0</v>
      </c>
      <c r="E62" s="45">
        <f t="shared" si="9"/>
        <v>0</v>
      </c>
      <c r="F62" s="171">
        <f t="shared" si="9"/>
        <v>80380.571</v>
      </c>
      <c r="G62" s="171">
        <f t="shared" si="9"/>
        <v>0</v>
      </c>
      <c r="H62" s="171">
        <f t="shared" si="9"/>
        <v>0</v>
      </c>
      <c r="I62" s="171">
        <f t="shared" si="9"/>
        <v>0</v>
      </c>
      <c r="J62" s="171">
        <f t="shared" si="9"/>
        <v>80380.571</v>
      </c>
    </row>
    <row r="63" spans="1:10" ht="12.75">
      <c r="A63" s="41"/>
      <c r="B63" s="41"/>
      <c r="C63" s="47"/>
      <c r="D63" s="47"/>
      <c r="E63" s="47"/>
      <c r="F63" s="172"/>
      <c r="G63" s="172"/>
      <c r="H63" s="172"/>
      <c r="I63" s="172"/>
      <c r="J63" s="172"/>
    </row>
    <row r="64" spans="1:10" ht="18">
      <c r="A64" s="39" t="s">
        <v>43</v>
      </c>
      <c r="B64" s="39"/>
      <c r="C64" s="5"/>
      <c r="D64" s="5"/>
      <c r="E64" s="5"/>
      <c r="F64" s="167"/>
      <c r="G64" s="62"/>
      <c r="H64" s="62"/>
      <c r="I64" s="62"/>
      <c r="J64" s="62"/>
    </row>
    <row r="65" spans="1:10" ht="12.75">
      <c r="A65" s="40"/>
      <c r="B65" s="40"/>
      <c r="C65" s="24">
        <f>C4</f>
        <v>2006</v>
      </c>
      <c r="D65" s="24">
        <f aca="true" t="shared" si="10" ref="D65:I65">D4</f>
        <v>2007</v>
      </c>
      <c r="E65" s="24">
        <f t="shared" si="10"/>
        <v>2008</v>
      </c>
      <c r="F65" s="24">
        <f t="shared" si="10"/>
        <v>2009</v>
      </c>
      <c r="G65" s="24">
        <f t="shared" si="10"/>
        <v>2010</v>
      </c>
      <c r="H65" s="24">
        <f t="shared" si="10"/>
        <v>2011</v>
      </c>
      <c r="I65" s="24" t="str">
        <f t="shared" si="10"/>
        <v>Later</v>
      </c>
      <c r="J65" s="24" t="s">
        <v>16</v>
      </c>
    </row>
    <row r="66" spans="1:10" ht="12.75">
      <c r="A66" s="40"/>
      <c r="B66" s="40"/>
      <c r="C66" s="24" t="str">
        <f>C5</f>
        <v>Actual</v>
      </c>
      <c r="D66" s="24" t="str">
        <f aca="true" t="shared" si="11" ref="D66:I66">D5</f>
        <v>Actual</v>
      </c>
      <c r="E66" s="24" t="str">
        <f t="shared" si="11"/>
        <v>Actual</v>
      </c>
      <c r="F66" s="24" t="str">
        <f t="shared" si="11"/>
        <v>Actual</v>
      </c>
      <c r="G66" s="24" t="str">
        <f t="shared" si="11"/>
        <v>Forecasted</v>
      </c>
      <c r="H66" s="24" t="str">
        <f t="shared" si="11"/>
        <v>Forecasted</v>
      </c>
      <c r="I66" s="24" t="str">
        <f t="shared" si="11"/>
        <v>Forecasted</v>
      </c>
      <c r="J66" s="24"/>
    </row>
    <row r="67" spans="1:10" ht="15.75">
      <c r="A67" s="41" t="s">
        <v>44</v>
      </c>
      <c r="B67" s="108" t="s">
        <v>9</v>
      </c>
      <c r="C67" s="166"/>
      <c r="D67" s="166"/>
      <c r="E67" s="166"/>
      <c r="F67" s="166">
        <f>'[3]Cost Data'!$V$53</f>
        <v>12859.68</v>
      </c>
      <c r="G67" s="166"/>
      <c r="H67" s="166"/>
      <c r="I67" s="166"/>
      <c r="J67" s="46">
        <f>SUM(C67:I67)</f>
        <v>12859.68</v>
      </c>
    </row>
    <row r="68" spans="1:10" ht="12.75">
      <c r="A68" s="44"/>
      <c r="B68" s="44"/>
      <c r="C68" s="109"/>
      <c r="D68" s="109"/>
      <c r="E68" s="109"/>
      <c r="F68" s="109"/>
      <c r="G68" s="109"/>
      <c r="H68" s="109"/>
      <c r="I68" s="102"/>
      <c r="J68" s="5"/>
    </row>
    <row r="69" spans="1:10" ht="15.75">
      <c r="A69" s="41" t="s">
        <v>45</v>
      </c>
      <c r="B69" s="108" t="s">
        <v>10</v>
      </c>
      <c r="C69" s="166"/>
      <c r="D69" s="166"/>
      <c r="E69" s="166"/>
      <c r="F69" s="166">
        <f>'[3]Cost Data'!$V$65</f>
        <v>23148.47</v>
      </c>
      <c r="G69" s="166"/>
      <c r="H69" s="166"/>
      <c r="I69" s="166"/>
      <c r="J69" s="46">
        <f>SUM(C69:I69)</f>
        <v>23148.47</v>
      </c>
    </row>
    <row r="70" spans="1:10" ht="12.75">
      <c r="A70" s="44"/>
      <c r="B70" s="44"/>
      <c r="C70" s="193"/>
      <c r="D70" s="193"/>
      <c r="E70" s="193"/>
      <c r="F70" s="193"/>
      <c r="G70" s="193"/>
      <c r="H70" s="193"/>
      <c r="I70" s="102"/>
      <c r="J70" s="5"/>
    </row>
    <row r="71" spans="1:10" ht="15.75">
      <c r="A71" s="41" t="s">
        <v>46</v>
      </c>
      <c r="B71" s="108" t="s">
        <v>9</v>
      </c>
      <c r="C71" s="166"/>
      <c r="D71" s="166"/>
      <c r="E71" s="166"/>
      <c r="F71" s="166"/>
      <c r="G71" s="166"/>
      <c r="H71" s="166"/>
      <c r="I71" s="166"/>
      <c r="J71" s="46">
        <f>SUM(C71:I71)</f>
        <v>0</v>
      </c>
    </row>
    <row r="72" spans="1:10" ht="12.75">
      <c r="A72" s="44" t="s">
        <v>47</v>
      </c>
      <c r="B72" s="44"/>
      <c r="C72" s="193"/>
      <c r="D72" s="193"/>
      <c r="E72" s="193"/>
      <c r="F72" s="193"/>
      <c r="G72" s="193"/>
      <c r="H72" s="193"/>
      <c r="I72" s="102"/>
      <c r="J72" s="5"/>
    </row>
    <row r="73" spans="1:10" ht="13.5" thickBot="1">
      <c r="A73" s="41" t="s">
        <v>48</v>
      </c>
      <c r="B73" s="41"/>
      <c r="C73" s="171">
        <f aca="true" t="shared" si="12" ref="C73:J73">SUM(C67,C69,C71)</f>
        <v>0</v>
      </c>
      <c r="D73" s="171">
        <f t="shared" si="12"/>
        <v>0</v>
      </c>
      <c r="E73" s="171">
        <f t="shared" si="12"/>
        <v>0</v>
      </c>
      <c r="F73" s="171">
        <f t="shared" si="12"/>
        <v>36008.15</v>
      </c>
      <c r="G73" s="171">
        <f t="shared" si="12"/>
        <v>0</v>
      </c>
      <c r="H73" s="171">
        <f t="shared" si="12"/>
        <v>0</v>
      </c>
      <c r="I73" s="171">
        <f t="shared" si="12"/>
        <v>0</v>
      </c>
      <c r="J73" s="171">
        <f t="shared" si="12"/>
        <v>36008.15</v>
      </c>
    </row>
    <row r="74" spans="1:10" ht="12.75">
      <c r="A74" s="41"/>
      <c r="B74" s="41"/>
      <c r="C74" s="172"/>
      <c r="D74" s="172"/>
      <c r="E74" s="172"/>
      <c r="F74" s="172"/>
      <c r="G74" s="172"/>
      <c r="H74" s="172"/>
      <c r="I74" s="172"/>
      <c r="J74" s="172"/>
    </row>
    <row r="75" spans="1:10" ht="12.75">
      <c r="A75" s="48"/>
      <c r="B75" s="48"/>
      <c r="C75" s="62"/>
      <c r="D75" s="62"/>
      <c r="E75" s="62"/>
      <c r="F75" s="62"/>
      <c r="G75" s="62"/>
      <c r="H75" s="62"/>
      <c r="I75" s="62"/>
      <c r="J75" s="62"/>
    </row>
    <row r="76" spans="1:10" ht="18">
      <c r="A76" s="39" t="s">
        <v>49</v>
      </c>
      <c r="B76" s="39"/>
      <c r="C76" s="24">
        <f>C4</f>
        <v>2006</v>
      </c>
      <c r="D76" s="24">
        <f aca="true" t="shared" si="13" ref="D76:I76">D4</f>
        <v>2007</v>
      </c>
      <c r="E76" s="24">
        <f t="shared" si="13"/>
        <v>2008</v>
      </c>
      <c r="F76" s="24">
        <f t="shared" si="13"/>
        <v>2009</v>
      </c>
      <c r="G76" s="24">
        <f t="shared" si="13"/>
        <v>2010</v>
      </c>
      <c r="H76" s="24">
        <f t="shared" si="13"/>
        <v>2011</v>
      </c>
      <c r="I76" s="24" t="str">
        <f t="shared" si="13"/>
        <v>Later</v>
      </c>
      <c r="J76" s="24" t="s">
        <v>16</v>
      </c>
    </row>
    <row r="77" spans="1:10" ht="18">
      <c r="A77" s="39"/>
      <c r="B77" s="39"/>
      <c r="C77" s="24" t="str">
        <f>C5</f>
        <v>Actual</v>
      </c>
      <c r="D77" s="24" t="str">
        <f aca="true" t="shared" si="14" ref="D77:I77">D5</f>
        <v>Actual</v>
      </c>
      <c r="E77" s="24" t="str">
        <f t="shared" si="14"/>
        <v>Actual</v>
      </c>
      <c r="F77" s="24" t="str">
        <f t="shared" si="14"/>
        <v>Actual</v>
      </c>
      <c r="G77" s="24" t="str">
        <f t="shared" si="14"/>
        <v>Forecasted</v>
      </c>
      <c r="H77" s="24" t="str">
        <f t="shared" si="14"/>
        <v>Forecasted</v>
      </c>
      <c r="I77" s="24" t="str">
        <f t="shared" si="14"/>
        <v>Forecasted</v>
      </c>
      <c r="J77" s="24"/>
    </row>
    <row r="78" spans="1:10" ht="15.75">
      <c r="A78" s="41" t="s">
        <v>50</v>
      </c>
      <c r="B78" s="108" t="s">
        <v>212</v>
      </c>
      <c r="C78" s="42"/>
      <c r="D78" s="42"/>
      <c r="E78" s="42"/>
      <c r="F78" s="42"/>
      <c r="G78" s="42"/>
      <c r="H78" s="42"/>
      <c r="I78" s="42"/>
      <c r="J78" s="46">
        <f>SUM(C78:I78)</f>
        <v>0</v>
      </c>
    </row>
    <row r="79" spans="1:10" ht="12.75">
      <c r="A79" s="40"/>
      <c r="B79" s="40"/>
      <c r="C79" s="5"/>
      <c r="D79" s="24"/>
      <c r="E79" s="24"/>
      <c r="F79" s="5"/>
      <c r="G79" s="5"/>
      <c r="H79" s="5"/>
      <c r="I79" s="5"/>
      <c r="J79" s="5"/>
    </row>
    <row r="80" spans="1:10" ht="13.5" thickBot="1">
      <c r="A80" s="41" t="s">
        <v>51</v>
      </c>
      <c r="B80" s="41"/>
      <c r="C80" s="45">
        <f aca="true" t="shared" si="15" ref="C80:J80">SUM(C78)</f>
        <v>0</v>
      </c>
      <c r="D80" s="45">
        <f t="shared" si="15"/>
        <v>0</v>
      </c>
      <c r="E80" s="45">
        <f t="shared" si="15"/>
        <v>0</v>
      </c>
      <c r="F80" s="45">
        <f t="shared" si="15"/>
        <v>0</v>
      </c>
      <c r="G80" s="45">
        <f t="shared" si="15"/>
        <v>0</v>
      </c>
      <c r="H80" s="45">
        <f t="shared" si="15"/>
        <v>0</v>
      </c>
      <c r="I80" s="45">
        <f t="shared" si="15"/>
        <v>0</v>
      </c>
      <c r="J80" s="45">
        <f t="shared" si="15"/>
        <v>0</v>
      </c>
    </row>
    <row r="81" spans="1:10" ht="12.75">
      <c r="A81" s="41"/>
      <c r="B81" s="41"/>
      <c r="C81" s="47"/>
      <c r="D81" s="47"/>
      <c r="E81" s="47"/>
      <c r="F81" s="47"/>
      <c r="G81" s="47"/>
      <c r="H81" s="47"/>
      <c r="I81" s="47"/>
      <c r="J81" s="47"/>
    </row>
    <row r="82" spans="1:10" ht="12.75">
      <c r="A82" s="48"/>
      <c r="B82" s="48"/>
      <c r="C82" s="5"/>
      <c r="D82" s="5"/>
      <c r="E82" s="5"/>
      <c r="F82" s="5"/>
      <c r="G82" s="5"/>
      <c r="H82" s="5"/>
      <c r="I82" s="5"/>
      <c r="J82" s="5"/>
    </row>
    <row r="83" spans="1:10" ht="18">
      <c r="A83" s="39" t="s">
        <v>52</v>
      </c>
      <c r="B83" s="39"/>
      <c r="C83" s="24">
        <f>C4</f>
        <v>2006</v>
      </c>
      <c r="D83" s="24">
        <f aca="true" t="shared" si="16" ref="D83:I83">D4</f>
        <v>2007</v>
      </c>
      <c r="E83" s="24">
        <f t="shared" si="16"/>
        <v>2008</v>
      </c>
      <c r="F83" s="24">
        <f t="shared" si="16"/>
        <v>2009</v>
      </c>
      <c r="G83" s="24">
        <f t="shared" si="16"/>
        <v>2010</v>
      </c>
      <c r="H83" s="24">
        <f t="shared" si="16"/>
        <v>2011</v>
      </c>
      <c r="I83" s="24" t="str">
        <f t="shared" si="16"/>
        <v>Later</v>
      </c>
      <c r="J83" s="24" t="s">
        <v>16</v>
      </c>
    </row>
    <row r="84" spans="1:10" ht="18">
      <c r="A84" s="39"/>
      <c r="B84" s="39"/>
      <c r="C84" s="24" t="str">
        <f>C5</f>
        <v>Actual</v>
      </c>
      <c r="D84" s="24" t="str">
        <f aca="true" t="shared" si="17" ref="D84:I84">D5</f>
        <v>Actual</v>
      </c>
      <c r="E84" s="24" t="str">
        <f t="shared" si="17"/>
        <v>Actual</v>
      </c>
      <c r="F84" s="24" t="str">
        <f t="shared" si="17"/>
        <v>Actual</v>
      </c>
      <c r="G84" s="24" t="str">
        <f t="shared" si="17"/>
        <v>Forecasted</v>
      </c>
      <c r="H84" s="24" t="str">
        <f t="shared" si="17"/>
        <v>Forecasted</v>
      </c>
      <c r="I84" s="24" t="str">
        <f t="shared" si="17"/>
        <v>Forecasted</v>
      </c>
      <c r="J84" s="24"/>
    </row>
    <row r="85" spans="1:10" ht="15.75">
      <c r="A85" s="41" t="s">
        <v>53</v>
      </c>
      <c r="B85" s="108" t="s">
        <v>211</v>
      </c>
      <c r="C85" s="166"/>
      <c r="D85" s="166"/>
      <c r="E85" s="166"/>
      <c r="F85" s="166">
        <f>'[3]Cost Data'!$V$69</f>
        <v>1006.65</v>
      </c>
      <c r="G85" s="166"/>
      <c r="H85" s="166"/>
      <c r="I85" s="166"/>
      <c r="J85" s="170">
        <f>SUM(C85:I85)</f>
        <v>1006.65</v>
      </c>
    </row>
    <row r="86" spans="1:10" ht="12.75">
      <c r="A86" s="44"/>
      <c r="B86" s="44"/>
      <c r="C86" s="193"/>
      <c r="D86" s="193"/>
      <c r="E86" s="193"/>
      <c r="F86" s="193"/>
      <c r="G86" s="193"/>
      <c r="H86" s="193"/>
      <c r="I86" s="102"/>
      <c r="J86" s="62"/>
    </row>
    <row r="87" spans="1:10" ht="15.75">
      <c r="A87" s="41" t="s">
        <v>54</v>
      </c>
      <c r="B87" s="108" t="s">
        <v>8</v>
      </c>
      <c r="C87" s="166"/>
      <c r="D87" s="166"/>
      <c r="E87" s="166"/>
      <c r="F87" s="166">
        <f>'[3]Cost Data'!$V$79</f>
        <v>33841.33</v>
      </c>
      <c r="G87" s="166"/>
      <c r="H87" s="166"/>
      <c r="I87" s="166"/>
      <c r="J87" s="170">
        <f>SUM(C87:I87)</f>
        <v>33841.33</v>
      </c>
    </row>
    <row r="88" spans="1:10" ht="12.75">
      <c r="A88" s="44"/>
      <c r="B88" s="44"/>
      <c r="C88" s="193"/>
      <c r="D88" s="193"/>
      <c r="E88" s="193"/>
      <c r="F88" s="193"/>
      <c r="G88" s="193"/>
      <c r="H88" s="193"/>
      <c r="I88" s="102"/>
      <c r="J88" s="62"/>
    </row>
    <row r="89" spans="1:10" ht="15.75">
      <c r="A89" s="41" t="s">
        <v>55</v>
      </c>
      <c r="B89" s="108" t="s">
        <v>8</v>
      </c>
      <c r="C89" s="166"/>
      <c r="D89" s="166"/>
      <c r="E89" s="166"/>
      <c r="F89" s="166">
        <f>'[3]Cost Data'!$V$96</f>
        <v>30388.649999999998</v>
      </c>
      <c r="G89" s="166"/>
      <c r="H89" s="166"/>
      <c r="I89" s="166"/>
      <c r="J89" s="170">
        <f>SUM(C89:I89)</f>
        <v>30388.649999999998</v>
      </c>
    </row>
    <row r="90" spans="1:10" ht="12.75">
      <c r="A90" s="44"/>
      <c r="B90" s="44"/>
      <c r="C90" s="193"/>
      <c r="D90" s="193"/>
      <c r="E90" s="193"/>
      <c r="F90" s="193"/>
      <c r="G90" s="193"/>
      <c r="H90" s="193"/>
      <c r="I90" s="102"/>
      <c r="J90" s="62"/>
    </row>
    <row r="91" spans="1:10" ht="15.75">
      <c r="A91" s="41" t="s">
        <v>56</v>
      </c>
      <c r="B91" s="108" t="s">
        <v>8</v>
      </c>
      <c r="C91" s="166"/>
      <c r="D91" s="166"/>
      <c r="E91" s="166"/>
      <c r="F91" s="166">
        <f>'[3]Cost Data'!$V$113</f>
        <v>3445.8</v>
      </c>
      <c r="G91" s="166"/>
      <c r="H91" s="166"/>
      <c r="I91" s="166"/>
      <c r="J91" s="170">
        <f>SUM(C91:I91)</f>
        <v>3445.8</v>
      </c>
    </row>
    <row r="92" spans="1:10" ht="12.75">
      <c r="A92" s="44"/>
      <c r="B92" s="44"/>
      <c r="C92" s="193"/>
      <c r="D92" s="193"/>
      <c r="E92" s="193"/>
      <c r="F92" s="193"/>
      <c r="G92" s="193"/>
      <c r="H92" s="193"/>
      <c r="I92" s="102"/>
      <c r="J92" s="62"/>
    </row>
    <row r="93" spans="1:10" ht="15.75">
      <c r="A93" s="41" t="s">
        <v>57</v>
      </c>
      <c r="B93" s="108" t="s">
        <v>8</v>
      </c>
      <c r="C93" s="166"/>
      <c r="D93" s="166"/>
      <c r="E93" s="166"/>
      <c r="F93" s="166">
        <f>'[3]Cost Data'!$V$117</f>
        <v>4453.01</v>
      </c>
      <c r="G93" s="166"/>
      <c r="H93" s="166"/>
      <c r="I93" s="166"/>
      <c r="J93" s="170">
        <f>SUM(C93:I93)</f>
        <v>4453.01</v>
      </c>
    </row>
    <row r="94" spans="1:10" ht="12.75">
      <c r="A94" s="44"/>
      <c r="C94" s="193"/>
      <c r="D94" s="193"/>
      <c r="E94" s="193"/>
      <c r="F94" s="193"/>
      <c r="G94" s="193"/>
      <c r="H94" s="193"/>
      <c r="I94" s="102"/>
      <c r="J94" s="62"/>
    </row>
    <row r="95" spans="1:10" ht="15.75">
      <c r="A95" s="41" t="s">
        <v>58</v>
      </c>
      <c r="B95" s="108" t="s">
        <v>10</v>
      </c>
      <c r="C95" s="166"/>
      <c r="D95" s="166"/>
      <c r="E95" s="166"/>
      <c r="F95" s="166"/>
      <c r="G95" s="166"/>
      <c r="H95" s="166"/>
      <c r="I95" s="166"/>
      <c r="J95" s="170">
        <f>SUM(C95:I95)</f>
        <v>0</v>
      </c>
    </row>
    <row r="96" spans="1:10" ht="12.75">
      <c r="A96" s="44"/>
      <c r="C96" s="193"/>
      <c r="D96" s="193"/>
      <c r="E96" s="193"/>
      <c r="F96" s="193"/>
      <c r="G96" s="193"/>
      <c r="H96" s="193"/>
      <c r="I96" s="102"/>
      <c r="J96" s="62"/>
    </row>
    <row r="97" spans="1:10" ht="13.5" thickBot="1">
      <c r="A97" s="41" t="s">
        <v>59</v>
      </c>
      <c r="B97" s="41"/>
      <c r="C97" s="171">
        <f aca="true" t="shared" si="18" ref="C97:J97">SUM(C85,C87,C89,C91,C95,C93)</f>
        <v>0</v>
      </c>
      <c r="D97" s="171">
        <f t="shared" si="18"/>
        <v>0</v>
      </c>
      <c r="E97" s="171">
        <f t="shared" si="18"/>
        <v>0</v>
      </c>
      <c r="F97" s="171">
        <f t="shared" si="18"/>
        <v>73135.44</v>
      </c>
      <c r="G97" s="171">
        <f t="shared" si="18"/>
        <v>0</v>
      </c>
      <c r="H97" s="171">
        <f t="shared" si="18"/>
        <v>0</v>
      </c>
      <c r="I97" s="171">
        <f t="shared" si="18"/>
        <v>0</v>
      </c>
      <c r="J97" s="171">
        <f t="shared" si="18"/>
        <v>73135.44</v>
      </c>
    </row>
    <row r="98" spans="1:10" ht="12.75">
      <c r="A98" s="34"/>
      <c r="B98" s="34"/>
      <c r="C98" s="172"/>
      <c r="D98" s="172"/>
      <c r="E98" s="172"/>
      <c r="F98" s="172"/>
      <c r="G98" s="172"/>
      <c r="H98" s="172"/>
      <c r="I98" s="172"/>
      <c r="J98" s="172"/>
    </row>
    <row r="99" spans="1:10" ht="18.75" thickBot="1">
      <c r="A99" s="28" t="s">
        <v>60</v>
      </c>
      <c r="B99" s="28"/>
      <c r="C99" s="173">
        <f aca="true" t="shared" si="19" ref="C99:J99">SUM(C48,C62,C80,C97,C73)</f>
        <v>0</v>
      </c>
      <c r="D99" s="173">
        <f t="shared" si="19"/>
        <v>0</v>
      </c>
      <c r="E99" s="173">
        <f t="shared" si="19"/>
        <v>0</v>
      </c>
      <c r="F99" s="173">
        <f t="shared" si="19"/>
        <v>394061.351</v>
      </c>
      <c r="G99" s="173">
        <f t="shared" si="19"/>
        <v>0</v>
      </c>
      <c r="H99" s="173">
        <f t="shared" si="19"/>
        <v>0</v>
      </c>
      <c r="I99" s="173">
        <f t="shared" si="19"/>
        <v>0</v>
      </c>
      <c r="J99" s="173">
        <f t="shared" si="19"/>
        <v>394061.351</v>
      </c>
    </row>
    <row r="100" spans="1:10" ht="13.5" thickTop="1">
      <c r="A100" s="34"/>
      <c r="B100" s="34"/>
      <c r="C100" s="174"/>
      <c r="D100" s="172"/>
      <c r="E100" s="172"/>
      <c r="F100" s="172"/>
      <c r="G100" s="172"/>
      <c r="H100" s="172"/>
      <c r="I100" s="172"/>
      <c r="J100" s="172"/>
    </row>
    <row r="101" spans="1:10" ht="23.25">
      <c r="A101" s="38" t="s">
        <v>61</v>
      </c>
      <c r="B101" s="38"/>
      <c r="C101" s="167"/>
      <c r="D101" s="62"/>
      <c r="E101" s="62"/>
      <c r="F101" s="167"/>
      <c r="G101" s="167"/>
      <c r="H101" s="167"/>
      <c r="I101" s="167"/>
      <c r="J101" s="62"/>
    </row>
    <row r="102" spans="1:10" ht="18">
      <c r="A102" s="39" t="s">
        <v>62</v>
      </c>
      <c r="B102" s="39"/>
      <c r="C102" s="150"/>
      <c r="D102" s="5"/>
      <c r="E102" s="150"/>
      <c r="F102" s="43"/>
      <c r="G102" s="5"/>
      <c r="H102" s="43"/>
      <c r="I102" s="5"/>
      <c r="J102" s="5"/>
    </row>
    <row r="103" spans="1:10" ht="12.75">
      <c r="A103" s="40"/>
      <c r="B103" s="40"/>
      <c r="C103" s="24">
        <f>C4</f>
        <v>2006</v>
      </c>
      <c r="D103" s="24">
        <f aca="true" t="shared" si="20" ref="D103:I103">D4</f>
        <v>2007</v>
      </c>
      <c r="E103" s="24">
        <f t="shared" si="20"/>
        <v>2008</v>
      </c>
      <c r="F103" s="24">
        <f t="shared" si="20"/>
        <v>2009</v>
      </c>
      <c r="G103" s="24">
        <f t="shared" si="20"/>
        <v>2010</v>
      </c>
      <c r="H103" s="24">
        <f t="shared" si="20"/>
        <v>2011</v>
      </c>
      <c r="I103" s="24" t="str">
        <f t="shared" si="20"/>
        <v>Later</v>
      </c>
      <c r="J103" s="24" t="s">
        <v>16</v>
      </c>
    </row>
    <row r="104" spans="1:10" ht="12.75">
      <c r="A104" s="40"/>
      <c r="B104" s="40"/>
      <c r="C104" s="24" t="str">
        <f>C5</f>
        <v>Actual</v>
      </c>
      <c r="D104" s="24" t="str">
        <f aca="true" t="shared" si="21" ref="D104:I104">D5</f>
        <v>Actual</v>
      </c>
      <c r="E104" s="24" t="str">
        <f t="shared" si="21"/>
        <v>Actual</v>
      </c>
      <c r="F104" s="24" t="str">
        <f t="shared" si="21"/>
        <v>Actual</v>
      </c>
      <c r="G104" s="24" t="str">
        <f t="shared" si="21"/>
        <v>Forecasted</v>
      </c>
      <c r="H104" s="24" t="str">
        <f t="shared" si="21"/>
        <v>Forecasted</v>
      </c>
      <c r="I104" s="24" t="str">
        <f t="shared" si="21"/>
        <v>Forecasted</v>
      </c>
      <c r="J104" s="24"/>
    </row>
    <row r="105" spans="1:10" ht="12.75">
      <c r="A105" s="41" t="s">
        <v>63</v>
      </c>
      <c r="B105" s="41"/>
      <c r="C105" s="166"/>
      <c r="D105" s="166"/>
      <c r="E105" s="166"/>
      <c r="F105" s="166"/>
      <c r="G105" s="166"/>
      <c r="H105" s="166"/>
      <c r="I105" s="166"/>
      <c r="J105" s="170">
        <f>SUM(C105:I105)</f>
        <v>0</v>
      </c>
    </row>
    <row r="106" spans="1:10" ht="12.75">
      <c r="A106" s="44" t="s">
        <v>64</v>
      </c>
      <c r="B106" s="44"/>
      <c r="C106" s="193"/>
      <c r="D106" s="193"/>
      <c r="E106" s="193"/>
      <c r="F106" s="193"/>
      <c r="G106" s="193"/>
      <c r="H106" s="193"/>
      <c r="I106" s="102"/>
      <c r="J106" s="62"/>
    </row>
    <row r="107" spans="1:10" ht="13.5" thickBot="1">
      <c r="A107" s="41" t="s">
        <v>65</v>
      </c>
      <c r="B107" s="41"/>
      <c r="C107" s="171">
        <f aca="true" t="shared" si="22" ref="C107:J107">SUM(C105)</f>
        <v>0</v>
      </c>
      <c r="D107" s="171">
        <f t="shared" si="22"/>
        <v>0</v>
      </c>
      <c r="E107" s="171">
        <f t="shared" si="22"/>
        <v>0</v>
      </c>
      <c r="F107" s="171">
        <f t="shared" si="22"/>
        <v>0</v>
      </c>
      <c r="G107" s="171">
        <f t="shared" si="22"/>
        <v>0</v>
      </c>
      <c r="H107" s="171">
        <f t="shared" si="22"/>
        <v>0</v>
      </c>
      <c r="I107" s="171">
        <f t="shared" si="22"/>
        <v>0</v>
      </c>
      <c r="J107" s="171">
        <f t="shared" si="22"/>
        <v>0</v>
      </c>
    </row>
    <row r="108" spans="1:10" ht="12.75">
      <c r="A108" s="40"/>
      <c r="B108" s="40"/>
      <c r="C108" s="62"/>
      <c r="D108" s="62"/>
      <c r="E108" s="62"/>
      <c r="F108" s="62"/>
      <c r="G108" s="62"/>
      <c r="H108" s="62"/>
      <c r="I108" s="62"/>
      <c r="J108" s="62"/>
    </row>
    <row r="109" spans="1:10" ht="18">
      <c r="A109" s="39" t="s">
        <v>66</v>
      </c>
      <c r="B109" s="39"/>
      <c r="C109" s="62"/>
      <c r="D109" s="62"/>
      <c r="E109" s="62"/>
      <c r="F109" s="62"/>
      <c r="G109" s="62"/>
      <c r="H109" s="62"/>
      <c r="I109" s="62"/>
      <c r="J109" s="62"/>
    </row>
    <row r="110" spans="1:10" ht="12.75">
      <c r="A110" s="41" t="s">
        <v>67</v>
      </c>
      <c r="B110" s="41"/>
      <c r="C110" s="166"/>
      <c r="D110" s="166"/>
      <c r="E110" s="166"/>
      <c r="F110" s="166"/>
      <c r="G110" s="166"/>
      <c r="H110" s="166"/>
      <c r="I110" s="166"/>
      <c r="J110" s="170">
        <f>SUM(C110:I110)</f>
        <v>0</v>
      </c>
    </row>
    <row r="111" spans="1:10" ht="12.75">
      <c r="A111" s="44"/>
      <c r="B111" s="44"/>
      <c r="C111" s="193"/>
      <c r="D111" s="193"/>
      <c r="E111" s="193"/>
      <c r="F111" s="193"/>
      <c r="G111" s="193"/>
      <c r="H111" s="193"/>
      <c r="I111" s="102"/>
      <c r="J111" s="62"/>
    </row>
    <row r="112" spans="1:10" ht="12.75">
      <c r="A112" s="40"/>
      <c r="B112" s="40"/>
      <c r="C112" s="62"/>
      <c r="D112" s="104"/>
      <c r="E112" s="104"/>
      <c r="F112" s="62"/>
      <c r="G112" s="62"/>
      <c r="H112" s="62"/>
      <c r="I112" s="62"/>
      <c r="J112" s="62"/>
    </row>
    <row r="113" spans="1:10" ht="13.5" thickBot="1">
      <c r="A113" s="41" t="s">
        <v>42</v>
      </c>
      <c r="B113" s="41"/>
      <c r="C113" s="171">
        <f aca="true" t="shared" si="23" ref="C113:J113">SUM(C110)</f>
        <v>0</v>
      </c>
      <c r="D113" s="171">
        <f t="shared" si="23"/>
        <v>0</v>
      </c>
      <c r="E113" s="171">
        <f t="shared" si="23"/>
        <v>0</v>
      </c>
      <c r="F113" s="171">
        <f t="shared" si="23"/>
        <v>0</v>
      </c>
      <c r="G113" s="171">
        <f t="shared" si="23"/>
        <v>0</v>
      </c>
      <c r="H113" s="171">
        <f t="shared" si="23"/>
        <v>0</v>
      </c>
      <c r="I113" s="171">
        <f t="shared" si="23"/>
        <v>0</v>
      </c>
      <c r="J113" s="171">
        <f t="shared" si="23"/>
        <v>0</v>
      </c>
    </row>
    <row r="114" spans="1:10" ht="12.75">
      <c r="A114" s="41"/>
      <c r="B114" s="41"/>
      <c r="C114" s="172"/>
      <c r="D114" s="172"/>
      <c r="E114" s="172"/>
      <c r="F114" s="172"/>
      <c r="G114" s="172"/>
      <c r="H114" s="172"/>
      <c r="I114" s="172"/>
      <c r="J114" s="172"/>
    </row>
    <row r="115" spans="1:10" ht="18">
      <c r="A115" s="39" t="s">
        <v>68</v>
      </c>
      <c r="B115" s="39"/>
      <c r="C115" s="62"/>
      <c r="D115" s="62"/>
      <c r="E115" s="62"/>
      <c r="F115" s="62"/>
      <c r="G115" s="62"/>
      <c r="H115" s="62"/>
      <c r="I115" s="62"/>
      <c r="J115" s="62"/>
    </row>
    <row r="116" spans="1:10" ht="12.75">
      <c r="A116" s="41" t="s">
        <v>69</v>
      </c>
      <c r="B116" s="41"/>
      <c r="C116" s="166"/>
      <c r="D116" s="166"/>
      <c r="E116" s="166"/>
      <c r="F116" s="166"/>
      <c r="G116" s="166"/>
      <c r="H116" s="166"/>
      <c r="I116" s="166"/>
      <c r="J116" s="170">
        <f>SUM(C116:I116)</f>
        <v>0</v>
      </c>
    </row>
    <row r="117" spans="1:10" ht="12.75">
      <c r="A117" s="44" t="s">
        <v>70</v>
      </c>
      <c r="B117" s="44"/>
      <c r="C117" s="193"/>
      <c r="D117" s="193"/>
      <c r="E117" s="193"/>
      <c r="F117" s="193"/>
      <c r="G117" s="193"/>
      <c r="H117" s="193"/>
      <c r="I117" s="102"/>
      <c r="J117" s="62"/>
    </row>
    <row r="118" spans="1:10" ht="12.75">
      <c r="A118" s="40"/>
      <c r="B118" s="40"/>
      <c r="C118" s="104"/>
      <c r="D118" s="104"/>
      <c r="E118" s="104"/>
      <c r="F118" s="104"/>
      <c r="G118" s="104"/>
      <c r="H118" s="104"/>
      <c r="I118" s="104"/>
      <c r="J118" s="62"/>
    </row>
    <row r="119" spans="1:10" ht="12.75">
      <c r="A119" s="41" t="s">
        <v>71</v>
      </c>
      <c r="B119" s="41"/>
      <c r="C119" s="166"/>
      <c r="D119" s="166"/>
      <c r="E119" s="166"/>
      <c r="F119" s="181"/>
      <c r="G119" s="181"/>
      <c r="H119" s="166"/>
      <c r="I119" s="166"/>
      <c r="J119" s="170">
        <f>SUM(C119:I119)</f>
        <v>0</v>
      </c>
    </row>
    <row r="120" spans="1:10" ht="12.75">
      <c r="A120" s="44" t="s">
        <v>72</v>
      </c>
      <c r="B120" s="44"/>
      <c r="C120" s="193"/>
      <c r="D120" s="193"/>
      <c r="E120" s="193"/>
      <c r="F120" s="193"/>
      <c r="G120" s="193"/>
      <c r="H120" s="193"/>
      <c r="I120" s="102"/>
      <c r="J120" s="62"/>
    </row>
    <row r="121" spans="1:10" ht="12.75">
      <c r="A121" s="40"/>
      <c r="B121" s="40"/>
      <c r="C121" s="62"/>
      <c r="D121" s="104"/>
      <c r="E121" s="104"/>
      <c r="F121" s="62"/>
      <c r="G121" s="62"/>
      <c r="H121" s="62"/>
      <c r="I121" s="62"/>
      <c r="J121" s="62"/>
    </row>
    <row r="122" spans="1:10" ht="13.5" thickBot="1">
      <c r="A122" s="41" t="s">
        <v>48</v>
      </c>
      <c r="B122" s="41"/>
      <c r="C122" s="171">
        <f aca="true" t="shared" si="24" ref="C122:J122">SUM(C116,C119)</f>
        <v>0</v>
      </c>
      <c r="D122" s="171">
        <f t="shared" si="24"/>
        <v>0</v>
      </c>
      <c r="E122" s="171">
        <f t="shared" si="24"/>
        <v>0</v>
      </c>
      <c r="F122" s="171">
        <f t="shared" si="24"/>
        <v>0</v>
      </c>
      <c r="G122" s="171">
        <f t="shared" si="24"/>
        <v>0</v>
      </c>
      <c r="H122" s="171">
        <f t="shared" si="24"/>
        <v>0</v>
      </c>
      <c r="I122" s="171">
        <f t="shared" si="24"/>
        <v>0</v>
      </c>
      <c r="J122" s="171">
        <f t="shared" si="24"/>
        <v>0</v>
      </c>
    </row>
    <row r="123" spans="1:10" ht="12.75">
      <c r="A123" s="41"/>
      <c r="B123" s="41"/>
      <c r="C123" s="172"/>
      <c r="D123" s="172"/>
      <c r="E123" s="172"/>
      <c r="F123" s="172"/>
      <c r="G123" s="172"/>
      <c r="H123" s="172"/>
      <c r="I123" s="172"/>
      <c r="J123" s="172"/>
    </row>
    <row r="124" spans="1:10" ht="18">
      <c r="A124" s="39" t="s">
        <v>73</v>
      </c>
      <c r="B124" s="39"/>
      <c r="C124" s="62"/>
      <c r="D124" s="62"/>
      <c r="E124" s="62"/>
      <c r="F124" s="167"/>
      <c r="G124" s="62"/>
      <c r="H124" s="62"/>
      <c r="I124" s="62"/>
      <c r="J124" s="62"/>
    </row>
    <row r="125" spans="1:10" ht="12.75">
      <c r="A125" s="40"/>
      <c r="B125" s="40"/>
      <c r="C125" s="104"/>
      <c r="D125" s="104"/>
      <c r="E125" s="104"/>
      <c r="F125" s="104"/>
      <c r="G125" s="104"/>
      <c r="H125" s="104"/>
      <c r="I125" s="104"/>
      <c r="J125" s="104"/>
    </row>
    <row r="126" spans="1:10" ht="12.75">
      <c r="A126" s="41" t="s">
        <v>74</v>
      </c>
      <c r="B126" s="41"/>
      <c r="C126" s="166"/>
      <c r="D126" s="166"/>
      <c r="E126" s="166"/>
      <c r="F126" s="166">
        <f>'[3]Cost Data'!$V$134</f>
        <v>44536.36</v>
      </c>
      <c r="G126" s="166">
        <f>'[3]Cost Data'!$V$135</f>
        <v>42558.72</v>
      </c>
      <c r="H126" s="166">
        <f>G126</f>
        <v>42558.72</v>
      </c>
      <c r="I126" s="166"/>
      <c r="J126" s="170">
        <f>SUM(C126:I126)</f>
        <v>129653.8</v>
      </c>
    </row>
    <row r="127" spans="1:10" ht="12.75">
      <c r="A127" s="44" t="s">
        <v>75</v>
      </c>
      <c r="B127" s="44"/>
      <c r="C127" s="193"/>
      <c r="D127" s="193"/>
      <c r="E127" s="193"/>
      <c r="F127" s="193"/>
      <c r="G127" s="193"/>
      <c r="H127" s="193"/>
      <c r="I127" s="102"/>
      <c r="J127" s="62"/>
    </row>
    <row r="128" spans="1:10" ht="12.75">
      <c r="A128" s="40"/>
      <c r="B128" s="40"/>
      <c r="C128" s="62"/>
      <c r="D128" s="104"/>
      <c r="E128" s="104"/>
      <c r="F128" s="62"/>
      <c r="G128" s="62"/>
      <c r="H128" s="62"/>
      <c r="I128" s="62"/>
      <c r="J128" s="62"/>
    </row>
    <row r="129" spans="1:10" ht="13.5" thickBot="1">
      <c r="A129" s="41" t="s">
        <v>76</v>
      </c>
      <c r="B129" s="41"/>
      <c r="C129" s="171">
        <f aca="true" t="shared" si="25" ref="C129:J129">SUM(C126)</f>
        <v>0</v>
      </c>
      <c r="D129" s="171">
        <f t="shared" si="25"/>
        <v>0</v>
      </c>
      <c r="E129" s="171">
        <f t="shared" si="25"/>
        <v>0</v>
      </c>
      <c r="F129" s="171">
        <f t="shared" si="25"/>
        <v>44536.36</v>
      </c>
      <c r="G129" s="171">
        <f t="shared" si="25"/>
        <v>42558.72</v>
      </c>
      <c r="H129" s="171">
        <f t="shared" si="25"/>
        <v>42558.72</v>
      </c>
      <c r="I129" s="171">
        <f t="shared" si="25"/>
        <v>0</v>
      </c>
      <c r="J129" s="171">
        <f t="shared" si="25"/>
        <v>129653.8</v>
      </c>
    </row>
    <row r="130" spans="1:10" ht="12.75">
      <c r="A130" s="41"/>
      <c r="B130" s="41"/>
      <c r="C130" s="172"/>
      <c r="D130" s="172"/>
      <c r="E130" s="172"/>
      <c r="F130" s="172"/>
      <c r="G130" s="172"/>
      <c r="H130" s="172"/>
      <c r="I130" s="172"/>
      <c r="J130" s="172"/>
    </row>
    <row r="131" spans="1:10" ht="18">
      <c r="A131" s="39" t="s">
        <v>77</v>
      </c>
      <c r="B131" s="39"/>
      <c r="C131" s="62"/>
      <c r="D131" s="62"/>
      <c r="E131" s="62"/>
      <c r="F131" s="62"/>
      <c r="G131" s="62"/>
      <c r="H131" s="62"/>
      <c r="I131" s="62"/>
      <c r="J131" s="62"/>
    </row>
    <row r="132" spans="1:10" ht="12.75">
      <c r="A132" s="41" t="s">
        <v>78</v>
      </c>
      <c r="B132" s="41"/>
      <c r="C132" s="166"/>
      <c r="D132" s="166"/>
      <c r="E132" s="166"/>
      <c r="F132" s="166"/>
      <c r="G132" s="166"/>
      <c r="H132" s="166"/>
      <c r="I132" s="166"/>
      <c r="J132" s="170">
        <f>SUM(C132:I132)</f>
        <v>0</v>
      </c>
    </row>
    <row r="133" spans="1:10" ht="12.75">
      <c r="A133" s="44"/>
      <c r="B133" s="44"/>
      <c r="C133" s="193"/>
      <c r="D133" s="193"/>
      <c r="E133" s="193"/>
      <c r="F133" s="193"/>
      <c r="G133" s="193"/>
      <c r="H133" s="193"/>
      <c r="I133" s="102"/>
      <c r="J133" s="62"/>
    </row>
    <row r="134" spans="1:10" ht="12.75">
      <c r="A134" s="41" t="s">
        <v>79</v>
      </c>
      <c r="B134" s="165"/>
      <c r="C134" s="166"/>
      <c r="D134" s="166"/>
      <c r="E134" s="166"/>
      <c r="F134" s="166"/>
      <c r="G134" s="166"/>
      <c r="H134" s="166"/>
      <c r="I134" s="166"/>
      <c r="J134" s="170">
        <f>SUM(C134:I134)</f>
        <v>0</v>
      </c>
    </row>
    <row r="135" spans="1:10" ht="12.75">
      <c r="A135" s="44" t="s">
        <v>80</v>
      </c>
      <c r="B135" s="151"/>
      <c r="C135" s="193"/>
      <c r="D135" s="193"/>
      <c r="E135" s="193"/>
      <c r="F135" s="193"/>
      <c r="G135" s="193"/>
      <c r="H135" s="193"/>
      <c r="I135" s="102"/>
      <c r="J135" s="62"/>
    </row>
    <row r="136" spans="1:10" ht="12.75">
      <c r="A136" s="41" t="s">
        <v>81</v>
      </c>
      <c r="B136" s="41"/>
      <c r="C136" s="166"/>
      <c r="D136" s="166"/>
      <c r="E136" s="166"/>
      <c r="F136" s="166"/>
      <c r="G136" s="166"/>
      <c r="H136" s="166"/>
      <c r="I136" s="166"/>
      <c r="J136" s="170">
        <f>SUM(C136:I136)</f>
        <v>0</v>
      </c>
    </row>
    <row r="137" spans="1:10" ht="12.75">
      <c r="A137" s="44"/>
      <c r="B137" s="44"/>
      <c r="C137" s="193"/>
      <c r="D137" s="193"/>
      <c r="E137" s="193"/>
      <c r="F137" s="193"/>
      <c r="G137" s="193"/>
      <c r="H137" s="193"/>
      <c r="I137" s="102"/>
      <c r="J137" s="62"/>
    </row>
    <row r="138" spans="1:10" ht="12.75">
      <c r="A138" s="41" t="s">
        <v>82</v>
      </c>
      <c r="B138" s="41"/>
      <c r="C138" s="166"/>
      <c r="D138" s="166"/>
      <c r="E138" s="166"/>
      <c r="F138" s="166"/>
      <c r="G138" s="166"/>
      <c r="H138" s="166"/>
      <c r="I138" s="166"/>
      <c r="J138" s="170">
        <f>SUM(C138:I138)</f>
        <v>0</v>
      </c>
    </row>
    <row r="139" spans="1:10" ht="12.75">
      <c r="A139" s="44" t="s">
        <v>83</v>
      </c>
      <c r="B139" s="44"/>
      <c r="C139" s="193"/>
      <c r="D139" s="193"/>
      <c r="E139" s="193"/>
      <c r="F139" s="193"/>
      <c r="G139" s="193"/>
      <c r="H139" s="193"/>
      <c r="I139" s="102"/>
      <c r="J139" s="62"/>
    </row>
    <row r="140" spans="1:10" ht="12.75">
      <c r="A140" s="41" t="s">
        <v>84</v>
      </c>
      <c r="B140" s="41"/>
      <c r="C140" s="166"/>
      <c r="D140" s="166"/>
      <c r="E140" s="166"/>
      <c r="F140" s="166"/>
      <c r="G140" s="166"/>
      <c r="H140" s="166"/>
      <c r="I140" s="166"/>
      <c r="J140" s="170">
        <f>SUM(C140:I140)</f>
        <v>0</v>
      </c>
    </row>
    <row r="141" spans="1:10" ht="12.75">
      <c r="A141" s="44"/>
      <c r="B141" s="44"/>
      <c r="C141" s="193"/>
      <c r="D141" s="193"/>
      <c r="E141" s="193"/>
      <c r="F141" s="193"/>
      <c r="G141" s="193"/>
      <c r="H141" s="193"/>
      <c r="I141" s="102"/>
      <c r="J141" s="62"/>
    </row>
    <row r="142" spans="1:10" ht="12.75">
      <c r="A142" s="41" t="s">
        <v>85</v>
      </c>
      <c r="B142" s="41"/>
      <c r="C142" s="166"/>
      <c r="D142" s="166"/>
      <c r="E142" s="166"/>
      <c r="F142" s="166">
        <f>'[3]Cost Data'!$V$144</f>
        <v>4405.65</v>
      </c>
      <c r="G142" s="166"/>
      <c r="H142" s="166"/>
      <c r="I142" s="166"/>
      <c r="J142" s="170">
        <f>SUM(C142:I142)</f>
        <v>4405.65</v>
      </c>
    </row>
    <row r="143" spans="1:10" ht="12.75">
      <c r="A143" s="44"/>
      <c r="B143" s="44"/>
      <c r="C143" s="193"/>
      <c r="D143" s="193"/>
      <c r="E143" s="193"/>
      <c r="F143" s="193"/>
      <c r="G143" s="193"/>
      <c r="H143" s="193"/>
      <c r="I143" s="102"/>
      <c r="J143" s="62"/>
    </row>
    <row r="144" spans="1:10" ht="12.75">
      <c r="A144" s="40"/>
      <c r="B144" s="40"/>
      <c r="C144" s="62"/>
      <c r="D144" s="104"/>
      <c r="E144" s="104"/>
      <c r="F144" s="62"/>
      <c r="G144" s="62"/>
      <c r="H144" s="62"/>
      <c r="I144" s="62"/>
      <c r="J144" s="62"/>
    </row>
    <row r="145" spans="1:10" ht="13.5" thickBot="1">
      <c r="A145" s="41" t="s">
        <v>86</v>
      </c>
      <c r="B145" s="41"/>
      <c r="C145" s="171">
        <f>SUM(C132,C134,C136,C138,C140,C142)</f>
        <v>0</v>
      </c>
      <c r="D145" s="171">
        <f>SUM(D132,D134,D136,D138,D140,D142)</f>
        <v>0</v>
      </c>
      <c r="E145" s="171">
        <f aca="true" t="shared" si="26" ref="E145:J145">SUM(E132,E134,E136,E138,E140,E142)</f>
        <v>0</v>
      </c>
      <c r="F145" s="171">
        <f t="shared" si="26"/>
        <v>4405.65</v>
      </c>
      <c r="G145" s="171">
        <f t="shared" si="26"/>
        <v>0</v>
      </c>
      <c r="H145" s="171">
        <f t="shared" si="26"/>
        <v>0</v>
      </c>
      <c r="I145" s="171">
        <f t="shared" si="26"/>
        <v>0</v>
      </c>
      <c r="J145" s="171">
        <f t="shared" si="26"/>
        <v>4405.65</v>
      </c>
    </row>
    <row r="146" spans="3:10" ht="12.75">
      <c r="C146" s="177"/>
      <c r="D146" s="177"/>
      <c r="E146" s="177"/>
      <c r="F146" s="177"/>
      <c r="G146" s="177"/>
      <c r="H146" s="177"/>
      <c r="I146" s="177"/>
      <c r="J146" s="177"/>
    </row>
    <row r="147" spans="1:10" ht="18.75" thickBot="1">
      <c r="A147" s="28" t="s">
        <v>87</v>
      </c>
      <c r="B147" s="28"/>
      <c r="C147" s="178">
        <f aca="true" t="shared" si="27" ref="C147:J147">SUM(C107,C113,C122,C129,C145)</f>
        <v>0</v>
      </c>
      <c r="D147" s="178">
        <f t="shared" si="27"/>
        <v>0</v>
      </c>
      <c r="E147" s="178">
        <f t="shared" si="27"/>
        <v>0</v>
      </c>
      <c r="F147" s="178">
        <f t="shared" si="27"/>
        <v>48942.01</v>
      </c>
      <c r="G147" s="178">
        <f t="shared" si="27"/>
        <v>42558.72</v>
      </c>
      <c r="H147" s="178">
        <f t="shared" si="27"/>
        <v>42558.72</v>
      </c>
      <c r="I147" s="178">
        <f t="shared" si="27"/>
        <v>0</v>
      </c>
      <c r="J147" s="178">
        <f t="shared" si="27"/>
        <v>134059.45</v>
      </c>
    </row>
    <row r="148" spans="3:10" ht="13.5" thickTop="1">
      <c r="C148" s="177"/>
      <c r="D148" s="177"/>
      <c r="E148" s="177"/>
      <c r="F148" s="177"/>
      <c r="G148" s="177"/>
      <c r="H148" s="177"/>
      <c r="I148" s="177"/>
      <c r="J148" s="177"/>
    </row>
    <row r="149" spans="3:10" ht="12.75">
      <c r="C149" s="177"/>
      <c r="D149" s="179"/>
      <c r="E149" s="179"/>
      <c r="F149" s="179"/>
      <c r="G149" s="179"/>
      <c r="H149" s="179"/>
      <c r="I149" s="179"/>
      <c r="J149" s="177"/>
    </row>
    <row r="150" spans="3:10" ht="12.75">
      <c r="C150" s="177"/>
      <c r="D150" s="177"/>
      <c r="E150" s="177"/>
      <c r="F150" s="180"/>
      <c r="G150" s="180"/>
      <c r="H150" s="179"/>
      <c r="I150" s="179"/>
      <c r="J150" s="177"/>
    </row>
    <row r="151" spans="3:10" ht="12.75">
      <c r="C151" s="177"/>
      <c r="D151" s="177"/>
      <c r="E151" s="177"/>
      <c r="F151" s="180"/>
      <c r="G151" s="180"/>
      <c r="H151" s="177"/>
      <c r="I151" s="177"/>
      <c r="J151" s="177"/>
    </row>
    <row r="152" spans="3:10" ht="12.75">
      <c r="C152" s="177"/>
      <c r="D152" s="177"/>
      <c r="E152" s="177"/>
      <c r="F152" s="180"/>
      <c r="G152" s="180"/>
      <c r="H152" s="177"/>
      <c r="I152" s="177"/>
      <c r="J152" s="177"/>
    </row>
  </sheetData>
  <sheetProtection formatColumns="0" selectLockedCells="1"/>
  <mergeCells count="26">
    <mergeCell ref="C86:H86"/>
    <mergeCell ref="C46:H46"/>
    <mergeCell ref="C60:H60"/>
    <mergeCell ref="A1:H1"/>
    <mergeCell ref="C42:H42"/>
    <mergeCell ref="C54:H54"/>
    <mergeCell ref="C57:H57"/>
    <mergeCell ref="C44:H44"/>
    <mergeCell ref="C70:H70"/>
    <mergeCell ref="C72:H72"/>
    <mergeCell ref="C106:H106"/>
    <mergeCell ref="C111:H111"/>
    <mergeCell ref="C94:H94"/>
    <mergeCell ref="C90:H90"/>
    <mergeCell ref="C92:H92"/>
    <mergeCell ref="C96:H96"/>
    <mergeCell ref="C88:H88"/>
    <mergeCell ref="C143:H143"/>
    <mergeCell ref="C135:H135"/>
    <mergeCell ref="C137:H137"/>
    <mergeCell ref="C120:H120"/>
    <mergeCell ref="C127:H127"/>
    <mergeCell ref="C133:H133"/>
    <mergeCell ref="C139:H139"/>
    <mergeCell ref="C141:H141"/>
    <mergeCell ref="C117:H117"/>
  </mergeCells>
  <dataValidations count="2">
    <dataValidation type="list" allowBlank="1" showInputMessage="1" showErrorMessage="1" sqref="B95 B39 B41 B43 B67 B59 B56 B53 B45 B69 B71 B78 B91 B87 B85 B89 B93">
      <formula1>"Smart Meter,Comp. Hard.,Comp. Soft.,Tools &amp; Equip,Other Equip."</formula1>
    </dataValidation>
    <dataValidation type="list" allowBlank="1" showInputMessage="1" showErrorMessage="1" sqref="C5:I5">
      <formula1>"Actual,Audited Actual,Forecasted"</formula1>
    </dataValidation>
  </dataValidations>
  <printOptions/>
  <pageMargins left="0.3937007874015748" right="0.3937007874015748" top="0.3937007874015748" bottom="0.2362204724409449" header="0.1968503937007874" footer="0.2362204724409449"/>
  <pageSetup fitToHeight="2" fitToWidth="2" horizontalDpi="600" verticalDpi="600" orientation="landscape" scale="47" r:id="rId1"/>
  <rowBreaks count="1" manualBreakCount="1">
    <brk id="8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70" zoomScaleNormal="70" zoomScalePageLayoutView="0" workbookViewId="0" topLeftCell="B13">
      <selection activeCell="C12" sqref="C12"/>
    </sheetView>
  </sheetViews>
  <sheetFormatPr defaultColWidth="9.140625" defaultRowHeight="12.75"/>
  <cols>
    <col min="1" max="1" width="15.57421875" style="7" customWidth="1"/>
    <col min="2" max="2" width="78.00390625" style="7" customWidth="1"/>
    <col min="3" max="3" width="14.57421875" style="7" customWidth="1"/>
    <col min="4" max="4" width="12.28125" style="7" bestFit="1" customWidth="1"/>
    <col min="5" max="5" width="13.421875" style="7" bestFit="1" customWidth="1"/>
    <col min="6" max="6" width="12.8515625" style="7" bestFit="1" customWidth="1"/>
    <col min="7" max="7" width="16.140625" style="7" customWidth="1"/>
    <col min="8" max="8" width="16.7109375" style="7" customWidth="1"/>
    <col min="9" max="9" width="15.8515625" style="7" customWidth="1"/>
    <col min="10" max="10" width="14.57421875" style="7" customWidth="1"/>
    <col min="11" max="16384" width="9.140625" style="7" customWidth="1"/>
  </cols>
  <sheetData>
    <row r="1" spans="1:12" s="3" customFormat="1" ht="21" customHeight="1">
      <c r="A1" s="1"/>
      <c r="B1" s="195" t="s">
        <v>88</v>
      </c>
      <c r="C1" s="195"/>
      <c r="D1" s="195"/>
      <c r="E1" s="195"/>
      <c r="F1" s="195"/>
      <c r="G1" s="195"/>
      <c r="H1" s="1"/>
      <c r="I1" s="1"/>
      <c r="J1" s="1"/>
      <c r="K1" s="1"/>
      <c r="L1" s="1"/>
    </row>
    <row r="2" spans="1:12" s="3" customFormat="1" ht="6" customHeight="1">
      <c r="A2" s="27"/>
      <c r="B2" s="27"/>
      <c r="C2" s="27"/>
      <c r="D2" s="27"/>
      <c r="E2" s="27"/>
      <c r="F2" s="27"/>
      <c r="G2" s="27"/>
      <c r="H2" s="27"/>
      <c r="I2" s="27"/>
      <c r="J2" s="1"/>
      <c r="K2" s="1"/>
      <c r="L2" s="1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5"/>
      <c r="B4" s="49" t="s">
        <v>89</v>
      </c>
      <c r="C4" s="5"/>
      <c r="D4" s="5"/>
      <c r="E4" s="5"/>
      <c r="F4" s="5"/>
      <c r="G4" s="5"/>
      <c r="H4" s="46"/>
      <c r="I4" s="46"/>
      <c r="J4" s="46"/>
      <c r="K4" s="46"/>
      <c r="L4" s="46"/>
    </row>
    <row r="5" spans="1:12" ht="12.75">
      <c r="A5" s="5"/>
      <c r="B5" s="50" t="s">
        <v>90</v>
      </c>
      <c r="C5" s="5"/>
      <c r="D5" s="5"/>
      <c r="E5" s="5"/>
      <c r="F5" s="5"/>
      <c r="G5" s="5"/>
      <c r="H5" s="46"/>
      <c r="I5" s="46"/>
      <c r="J5" s="46"/>
      <c r="K5" s="46"/>
      <c r="L5" s="46"/>
    </row>
    <row r="6" spans="1:12" ht="12.75">
      <c r="A6" s="5"/>
      <c r="B6" s="50" t="s">
        <v>91</v>
      </c>
      <c r="C6" s="5"/>
      <c r="D6" s="5"/>
      <c r="E6" s="5"/>
      <c r="F6" s="5"/>
      <c r="G6" s="5"/>
      <c r="H6" s="46"/>
      <c r="I6" s="46"/>
      <c r="J6" s="46"/>
      <c r="K6" s="46"/>
      <c r="L6" s="46"/>
    </row>
    <row r="7" spans="1:12" ht="12.75">
      <c r="A7" s="5"/>
      <c r="B7" s="50" t="s">
        <v>92</v>
      </c>
      <c r="C7" s="5"/>
      <c r="D7" s="5"/>
      <c r="E7" s="5"/>
      <c r="F7" s="5"/>
      <c r="G7" s="5"/>
      <c r="H7" s="46"/>
      <c r="I7" s="46"/>
      <c r="J7" s="46"/>
      <c r="K7" s="46"/>
      <c r="L7" s="46"/>
    </row>
    <row r="8" spans="1:12" ht="12.75">
      <c r="A8" s="5"/>
      <c r="B8" s="5"/>
      <c r="C8" s="5"/>
      <c r="D8" s="5"/>
      <c r="E8" s="5"/>
      <c r="F8" s="5"/>
      <c r="G8" s="5"/>
      <c r="H8" s="46"/>
      <c r="I8" s="46"/>
      <c r="J8" s="46"/>
      <c r="K8" s="46"/>
      <c r="L8" s="46"/>
    </row>
    <row r="9" spans="1:12" ht="12.75">
      <c r="A9" s="5"/>
      <c r="B9" s="5"/>
      <c r="C9" s="5"/>
      <c r="D9" s="5"/>
      <c r="E9" s="5"/>
      <c r="F9" s="5"/>
      <c r="G9" s="5"/>
      <c r="H9" s="46"/>
      <c r="I9" s="46"/>
      <c r="J9" s="46"/>
      <c r="K9" s="46"/>
      <c r="L9" s="46"/>
    </row>
    <row r="10" spans="1:12" ht="47.25">
      <c r="A10" s="5"/>
      <c r="B10" s="49"/>
      <c r="C10" s="132" t="s">
        <v>93</v>
      </c>
      <c r="D10" s="132">
        <f aca="true" t="shared" si="0" ref="D10:I10">D26</f>
        <v>2007</v>
      </c>
      <c r="E10" s="132">
        <f t="shared" si="0"/>
        <v>2008</v>
      </c>
      <c r="F10" s="132">
        <f t="shared" si="0"/>
        <v>2009</v>
      </c>
      <c r="G10" s="132">
        <f t="shared" si="0"/>
        <v>2010</v>
      </c>
      <c r="H10" s="132">
        <f t="shared" si="0"/>
        <v>2011</v>
      </c>
      <c r="I10" s="132" t="str">
        <f t="shared" si="0"/>
        <v>Later</v>
      </c>
      <c r="J10" s="46"/>
      <c r="K10" s="46"/>
      <c r="L10" s="46"/>
    </row>
    <row r="11" spans="1:12" ht="15.75">
      <c r="A11" s="5"/>
      <c r="B11" s="49"/>
      <c r="C11" s="5"/>
      <c r="D11" s="5"/>
      <c r="E11" s="5"/>
      <c r="F11" s="5"/>
      <c r="G11" s="5"/>
      <c r="H11" s="46"/>
      <c r="I11" s="46"/>
      <c r="J11" s="46"/>
      <c r="K11" s="46"/>
      <c r="L11" s="46"/>
    </row>
    <row r="12" spans="1:12" ht="15.75">
      <c r="A12" s="5"/>
      <c r="B12" s="133" t="s">
        <v>156</v>
      </c>
      <c r="C12" s="111"/>
      <c r="D12" s="111"/>
      <c r="E12" s="111"/>
      <c r="F12" s="111"/>
      <c r="G12" s="168"/>
      <c r="H12" s="168"/>
      <c r="I12" s="168"/>
      <c r="J12" s="46"/>
      <c r="K12" s="46"/>
      <c r="L12" s="46"/>
    </row>
    <row r="13" spans="1:12" ht="15.75">
      <c r="A13" s="5"/>
      <c r="B13" s="49"/>
      <c r="C13" s="5"/>
      <c r="D13" s="5"/>
      <c r="E13" s="5"/>
      <c r="F13" s="5"/>
      <c r="G13" s="5"/>
      <c r="H13" s="5"/>
      <c r="I13" s="5"/>
      <c r="J13" s="46"/>
      <c r="K13" s="46"/>
      <c r="L13" s="46"/>
    </row>
    <row r="14" spans="1:12" ht="12.75">
      <c r="A14" s="5"/>
      <c r="B14" s="51" t="s">
        <v>265</v>
      </c>
      <c r="C14" s="112">
        <v>0.5</v>
      </c>
      <c r="D14" s="112">
        <v>0.5</v>
      </c>
      <c r="E14" s="112">
        <v>0.533</v>
      </c>
      <c r="F14" s="112">
        <v>0.567</v>
      </c>
      <c r="G14" s="112">
        <v>0.6</v>
      </c>
      <c r="H14" s="112">
        <v>0.6</v>
      </c>
      <c r="I14" s="112">
        <v>0.6</v>
      </c>
      <c r="J14" s="46"/>
      <c r="K14" s="46"/>
      <c r="L14" s="5"/>
    </row>
    <row r="15" spans="1:12" ht="12.75">
      <c r="A15" s="5"/>
      <c r="B15" s="51" t="s">
        <v>266</v>
      </c>
      <c r="C15" s="113">
        <f>1-C14</f>
        <v>0.5</v>
      </c>
      <c r="D15" s="113">
        <f aca="true" t="shared" si="1" ref="D15:I15">1-D14</f>
        <v>0.5</v>
      </c>
      <c r="E15" s="113">
        <f t="shared" si="1"/>
        <v>0.46699999999999997</v>
      </c>
      <c r="F15" s="113">
        <f t="shared" si="1"/>
        <v>0.43300000000000005</v>
      </c>
      <c r="G15" s="113">
        <f t="shared" si="1"/>
        <v>0.4</v>
      </c>
      <c r="H15" s="113">
        <f t="shared" si="1"/>
        <v>0.4</v>
      </c>
      <c r="I15" s="113">
        <f t="shared" si="1"/>
        <v>0.4</v>
      </c>
      <c r="J15" s="46"/>
      <c r="K15" s="46"/>
      <c r="L15" s="5"/>
    </row>
    <row r="16" spans="1:12" ht="12.75">
      <c r="A16" s="5"/>
      <c r="B16" s="51" t="s">
        <v>267</v>
      </c>
      <c r="C16" s="114">
        <v>0.05</v>
      </c>
      <c r="D16" s="114">
        <v>0.05</v>
      </c>
      <c r="E16" s="114">
        <v>0.05098968105065666</v>
      </c>
      <c r="F16" s="114">
        <v>0.05098968105065666</v>
      </c>
      <c r="G16" s="114">
        <v>0.05098968105065666</v>
      </c>
      <c r="H16" s="114">
        <v>0.05098968105065666</v>
      </c>
      <c r="I16" s="158">
        <v>0.05</v>
      </c>
      <c r="J16" s="46"/>
      <c r="K16" s="46"/>
      <c r="L16" s="5"/>
    </row>
    <row r="17" spans="1:12" ht="13.5" customHeight="1">
      <c r="A17" s="5"/>
      <c r="B17" s="51" t="s">
        <v>268</v>
      </c>
      <c r="C17" s="114">
        <v>0.09</v>
      </c>
      <c r="D17" s="114">
        <v>0.09</v>
      </c>
      <c r="E17" s="114">
        <v>0.0857</v>
      </c>
      <c r="F17" s="158">
        <v>0.0857</v>
      </c>
      <c r="G17" s="158">
        <v>0.0857</v>
      </c>
      <c r="H17" s="158">
        <v>0.0857</v>
      </c>
      <c r="I17" s="158">
        <v>0.0857</v>
      </c>
      <c r="J17" s="5"/>
      <c r="K17" s="5"/>
      <c r="L17" s="5"/>
    </row>
    <row r="18" spans="1:12" ht="18" customHeight="1">
      <c r="A18" s="5"/>
      <c r="B18" s="52" t="s">
        <v>94</v>
      </c>
      <c r="C18" s="118">
        <f>(C16*C14)+(C15*C17)</f>
        <v>0.07</v>
      </c>
      <c r="D18" s="118">
        <f aca="true" t="shared" si="2" ref="D18:I18">(D16*D14)+(D15*D17)</f>
        <v>0.07</v>
      </c>
      <c r="E18" s="118">
        <f t="shared" si="2"/>
        <v>0.0671994</v>
      </c>
      <c r="F18" s="118">
        <f t="shared" si="2"/>
        <v>0.06601924915572233</v>
      </c>
      <c r="G18" s="118">
        <f t="shared" si="2"/>
        <v>0.06487380863039399</v>
      </c>
      <c r="H18" s="118">
        <f t="shared" si="2"/>
        <v>0.06487380863039399</v>
      </c>
      <c r="I18" s="118">
        <f t="shared" si="2"/>
        <v>0.06428</v>
      </c>
      <c r="J18" s="5"/>
      <c r="K18" s="5"/>
      <c r="L18" s="5"/>
    </row>
    <row r="19" spans="1:12" ht="18" customHeight="1">
      <c r="A19" s="5"/>
      <c r="B19" s="52"/>
      <c r="C19" s="53"/>
      <c r="D19" s="53"/>
      <c r="E19" s="53"/>
      <c r="F19" s="53"/>
      <c r="G19" s="53"/>
      <c r="H19" s="53"/>
      <c r="I19" s="53"/>
      <c r="J19" s="5"/>
      <c r="K19" s="5"/>
      <c r="L19" s="5"/>
    </row>
    <row r="20" spans="1:12" ht="18" customHeight="1">
      <c r="A20" s="5"/>
      <c r="B20" s="49" t="s">
        <v>95</v>
      </c>
      <c r="C20" s="158">
        <v>0.15</v>
      </c>
      <c r="D20" s="158">
        <v>0.15</v>
      </c>
      <c r="E20" s="158">
        <v>0.15</v>
      </c>
      <c r="F20" s="158">
        <v>0.15</v>
      </c>
      <c r="G20" s="158">
        <v>0.15</v>
      </c>
      <c r="H20" s="158">
        <v>0.15</v>
      </c>
      <c r="I20" s="158">
        <v>0.15</v>
      </c>
      <c r="J20" s="5"/>
      <c r="K20" s="5"/>
      <c r="L20" s="5"/>
    </row>
    <row r="21" spans="1:12" ht="18" customHeight="1">
      <c r="A21" s="5"/>
      <c r="B21" s="52"/>
      <c r="C21" s="53"/>
      <c r="D21" s="53"/>
      <c r="E21" s="53"/>
      <c r="F21" s="53"/>
      <c r="G21" s="53"/>
      <c r="H21" s="53"/>
      <c r="I21" s="53"/>
      <c r="J21" s="5"/>
      <c r="K21" s="5"/>
      <c r="L21" s="5"/>
    </row>
    <row r="22" spans="1:12" ht="12.75">
      <c r="A22" s="5"/>
      <c r="B22" s="34" t="s">
        <v>96</v>
      </c>
      <c r="C22" s="60"/>
      <c r="D22" s="60"/>
      <c r="E22" s="60"/>
      <c r="F22" s="60"/>
      <c r="G22" s="60"/>
      <c r="H22" s="60"/>
      <c r="I22" s="60"/>
      <c r="J22" s="5"/>
      <c r="K22" s="5"/>
      <c r="L22" s="5"/>
    </row>
    <row r="23" spans="1:12" ht="12.75">
      <c r="A23" s="5"/>
      <c r="B23" s="51" t="s">
        <v>97</v>
      </c>
      <c r="C23" s="114">
        <v>0.165</v>
      </c>
      <c r="D23" s="114">
        <v>0.165</v>
      </c>
      <c r="E23" s="114">
        <v>0.165</v>
      </c>
      <c r="F23" s="114">
        <v>0.165</v>
      </c>
      <c r="G23" s="114">
        <v>0.165</v>
      </c>
      <c r="H23" s="114">
        <v>0.165</v>
      </c>
      <c r="I23" s="114">
        <v>0.165</v>
      </c>
      <c r="J23" s="5"/>
      <c r="K23" s="5"/>
      <c r="L23" s="5"/>
    </row>
    <row r="24" spans="1:12" ht="12.75">
      <c r="A24" s="5"/>
      <c r="B24" s="29" t="s">
        <v>98</v>
      </c>
      <c r="C24" s="5"/>
      <c r="D24" s="5"/>
      <c r="E24" s="5"/>
      <c r="F24" s="43"/>
      <c r="G24" s="43"/>
      <c r="H24" s="5"/>
      <c r="I24" s="5"/>
      <c r="J24" s="5"/>
      <c r="K24" s="5"/>
      <c r="L24" s="5"/>
    </row>
    <row r="25" spans="1:12" ht="12.75">
      <c r="A25" s="5"/>
      <c r="B25" s="5"/>
      <c r="C25" s="5"/>
      <c r="D25" s="5"/>
      <c r="E25" s="62"/>
      <c r="F25" s="161"/>
      <c r="G25" s="161"/>
      <c r="H25" s="5"/>
      <c r="I25" s="5"/>
      <c r="J25" s="5"/>
      <c r="K25" s="5"/>
      <c r="L25" s="5"/>
    </row>
    <row r="26" spans="1:13" ht="15.75">
      <c r="A26" s="5"/>
      <c r="B26" s="49" t="s">
        <v>196</v>
      </c>
      <c r="C26" s="24">
        <f>'2. Smart Meter Data'!C4</f>
        <v>2006</v>
      </c>
      <c r="D26" s="24">
        <f>'2. Smart Meter Data'!D4</f>
        <v>2007</v>
      </c>
      <c r="E26" s="24">
        <f>'2. Smart Meter Data'!E4</f>
        <v>2008</v>
      </c>
      <c r="F26" s="24">
        <f>'2. Smart Meter Data'!F4</f>
        <v>2009</v>
      </c>
      <c r="G26" s="24">
        <f>'2. Smart Meter Data'!G4</f>
        <v>2010</v>
      </c>
      <c r="H26" s="24">
        <f>'2. Smart Meter Data'!H4</f>
        <v>2011</v>
      </c>
      <c r="I26" s="24" t="str">
        <f>'2. Smart Meter Data'!I4</f>
        <v>Later</v>
      </c>
      <c r="J26" s="24" t="s">
        <v>16</v>
      </c>
      <c r="K26" s="5"/>
      <c r="L26" s="5"/>
      <c r="M26" s="5"/>
    </row>
    <row r="27" spans="1:13" ht="15.75">
      <c r="A27" s="5"/>
      <c r="B27" s="49"/>
      <c r="C27" s="24" t="str">
        <f>'2. Smart Meter Data'!C5</f>
        <v>Actual</v>
      </c>
      <c r="D27" s="24" t="str">
        <f>'2. Smart Meter Data'!D5</f>
        <v>Actual</v>
      </c>
      <c r="E27" s="24" t="str">
        <f>'2. Smart Meter Data'!E5</f>
        <v>Actual</v>
      </c>
      <c r="F27" s="24" t="str">
        <f>'2. Smart Meter Data'!F5</f>
        <v>Actual</v>
      </c>
      <c r="G27" s="24" t="str">
        <f>'2. Smart Meter Data'!G5</f>
        <v>Forecasted</v>
      </c>
      <c r="H27" s="24" t="str">
        <f>'2. Smart Meter Data'!H5</f>
        <v>Forecasted</v>
      </c>
      <c r="I27" s="24" t="str">
        <f>'2. Smart Meter Data'!I5</f>
        <v>Forecasted</v>
      </c>
      <c r="J27" s="24"/>
      <c r="K27" s="5"/>
      <c r="L27" s="5"/>
      <c r="M27" s="5"/>
    </row>
    <row r="28" spans="1:13" ht="12.75">
      <c r="A28" s="5"/>
      <c r="B28" s="31" t="s">
        <v>8</v>
      </c>
      <c r="C28" s="119">
        <f>SUMIF('2. Smart Meter Data'!$B:$I,"Smart Meter",'2. Smart Meter Data'!C:C)</f>
        <v>0</v>
      </c>
      <c r="D28" s="162">
        <f>SUMIF('2. Smart Meter Data'!$B:$I,"Smart Meter",'2. Smart Meter Data'!D:D)</f>
        <v>0</v>
      </c>
      <c r="E28" s="162">
        <f>SUMIF('2. Smart Meter Data'!$B:$I,"Smart Meter",'2. Smart Meter Data'!E:E)</f>
        <v>0</v>
      </c>
      <c r="F28" s="119">
        <f>SUMIF('2. Smart Meter Data'!$B:$I,"Smart Meter",'2. Smart Meter Data'!F:F)</f>
        <v>357046.55100000004</v>
      </c>
      <c r="G28" s="119">
        <f>SUMIF('2. Smart Meter Data'!$B:$I,"Smart Meter",'2. Smart Meter Data'!G:G)</f>
        <v>0</v>
      </c>
      <c r="H28" s="162">
        <f>SUMIF('2. Smart Meter Data'!$B:$I,"Smart Meter",'2. Smart Meter Data'!H:H)</f>
        <v>0</v>
      </c>
      <c r="I28" s="162">
        <f>SUMIF('2. Smart Meter Data'!$B:$I,"Smart Meter",'2. Smart Meter Data'!I:I)</f>
        <v>0</v>
      </c>
      <c r="J28" s="120">
        <f>SUM(C28:I28)</f>
        <v>357046.55100000004</v>
      </c>
      <c r="K28" s="5"/>
      <c r="L28" s="5"/>
      <c r="M28" s="5"/>
    </row>
    <row r="29" spans="1:13" ht="12.75">
      <c r="A29" s="5"/>
      <c r="B29" s="31" t="s">
        <v>99</v>
      </c>
      <c r="C29" s="119">
        <f>SUMIF('2. Smart Meter Data'!$B:$I,"Comp. Hard.",'2. Smart Meter Data'!C:C)</f>
        <v>0</v>
      </c>
      <c r="D29" s="119">
        <f>SUMIF('2. Smart Meter Data'!$B:$I,"Comp. Hard.",'2. Smart Meter Data'!D:D)</f>
        <v>0</v>
      </c>
      <c r="E29" s="119">
        <f>SUMIF('2. Smart Meter Data'!$B:$I,"Comp. Hard.",'2. Smart Meter Data'!E:E)</f>
        <v>0</v>
      </c>
      <c r="F29" s="162">
        <f>SUMIF('2. Smart Meter Data'!$B:$I,"Comp. Hard.",'2. Smart Meter Data'!F:F)</f>
        <v>12859.68</v>
      </c>
      <c r="G29" s="119">
        <f>SUMIF('2. Smart Meter Data'!$B:$I,"Comp. Hard.",'2. Smart Meter Data'!G:G)</f>
        <v>0</v>
      </c>
      <c r="H29" s="119">
        <f>SUMIF('2. Smart Meter Data'!$B:$I,"Comp. Hard.",'2. Smart Meter Data'!H:H)</f>
        <v>0</v>
      </c>
      <c r="I29" s="119">
        <f>SUMIF('2. Smart Meter Data'!$B:$I,"Comp. Hard.",'2. Smart Meter Data'!I:I)</f>
        <v>0</v>
      </c>
      <c r="J29" s="120">
        <f>SUM(C29:I29)</f>
        <v>12859.68</v>
      </c>
      <c r="K29" s="5"/>
      <c r="L29" s="5"/>
      <c r="M29" s="5"/>
    </row>
    <row r="30" spans="1:13" ht="12.75">
      <c r="A30" s="5"/>
      <c r="B30" s="31" t="s">
        <v>100</v>
      </c>
      <c r="C30" s="119">
        <f>SUMIF('2. Smart Meter Data'!$B:$I,"Comp. Soft.",'2. Smart Meter Data'!C:C)</f>
        <v>0</v>
      </c>
      <c r="D30" s="119">
        <f>SUMIF('2. Smart Meter Data'!$B:$I,"Comp. Soft.",'2. Smart Meter Data'!D:D)</f>
        <v>0</v>
      </c>
      <c r="E30" s="119">
        <f>SUMIF('2. Smart Meter Data'!$B:$I,"Comp. Soft.",'2. Smart Meter Data'!E:E)</f>
        <v>0</v>
      </c>
      <c r="F30" s="162">
        <f>SUMIF('2. Smart Meter Data'!$B:$I,"Comp. Soft.",'2. Smart Meter Data'!F:F)</f>
        <v>23148.47</v>
      </c>
      <c r="G30" s="119">
        <f>SUMIF('2. Smart Meter Data'!$B:$I,"Comp. Soft.",'2. Smart Meter Data'!G:G)</f>
        <v>0</v>
      </c>
      <c r="H30" s="119">
        <f>SUMIF('2. Smart Meter Data'!$B:$I,"Comp. Soft.",'2. Smart Meter Data'!H:H)</f>
        <v>0</v>
      </c>
      <c r="I30" s="119">
        <f>SUMIF('2. Smart Meter Data'!$B:$I,"Comp. Soft.",'2. Smart Meter Data'!I:I)</f>
        <v>0</v>
      </c>
      <c r="J30" s="120">
        <f>SUM(C30:I30)</f>
        <v>23148.47</v>
      </c>
      <c r="K30" s="5"/>
      <c r="L30" s="5"/>
      <c r="M30" s="5"/>
    </row>
    <row r="31" spans="1:13" ht="12.75">
      <c r="A31" s="5"/>
      <c r="B31" s="31" t="s">
        <v>11</v>
      </c>
      <c r="C31" s="119">
        <f>SUMIF('2. Smart Meter Data'!$B:$I,"Tools &amp; Equip",'2. Smart Meter Data'!C:C)</f>
        <v>0</v>
      </c>
      <c r="D31" s="119">
        <f>SUMIF('2. Smart Meter Data'!$B:$I,"Tools &amp; Equip",'2. Smart Meter Data'!D:D)</f>
        <v>0</v>
      </c>
      <c r="E31" s="119">
        <f>SUMIF('2. Smart Meter Data'!$B:$I,"Tools &amp; Equip",'2. Smart Meter Data'!E:E)</f>
        <v>0</v>
      </c>
      <c r="F31" s="119">
        <f>SUMIF('2. Smart Meter Data'!$B:$I,"Tools &amp; Equip",'2. Smart Meter Data'!F:F)</f>
        <v>0</v>
      </c>
      <c r="G31" s="119">
        <f>SUMIF('2. Smart Meter Data'!$B:$I,"Tools &amp; Equip",'2. Smart Meter Data'!G:G)</f>
        <v>0</v>
      </c>
      <c r="H31" s="119">
        <f>SUMIF('2. Smart Meter Data'!$B:$I,"Tools &amp; Equip",'2. Smart Meter Data'!H:H)</f>
        <v>0</v>
      </c>
      <c r="I31" s="119">
        <f>SUMIF('2. Smart Meter Data'!$B:$I,"Tools &amp; Equip",'2. Smart Meter Data'!I:I)</f>
        <v>0</v>
      </c>
      <c r="J31" s="120">
        <f>SUM(C31:H31)</f>
        <v>0</v>
      </c>
      <c r="K31" s="5"/>
      <c r="L31" s="5"/>
      <c r="M31" s="5"/>
    </row>
    <row r="32" spans="1:13" ht="12.75">
      <c r="A32" s="5"/>
      <c r="B32" s="31" t="s">
        <v>13</v>
      </c>
      <c r="C32" s="119">
        <f>SUMIF('2. Smart Meter Data'!$B:$I,"Other Equip.",'2. Smart Meter Data'!C:C)</f>
        <v>0</v>
      </c>
      <c r="D32" s="119">
        <f>SUMIF('2. Smart Meter Data'!$B:$I,"Other Equip.",'2. Smart Meter Data'!D:D)</f>
        <v>0</v>
      </c>
      <c r="E32" s="119">
        <f>SUMIF('2. Smart Meter Data'!$B:$I,"Other Equip.",'2. Smart Meter Data'!E:E)</f>
        <v>0</v>
      </c>
      <c r="F32" s="119">
        <f>SUMIF('2. Smart Meter Data'!$B:$I,"Other Equip.",'2. Smart Meter Data'!F:F)</f>
        <v>1006.65</v>
      </c>
      <c r="G32" s="119">
        <f>SUMIF('2. Smart Meter Data'!$B:$I,"Other Equip.",'2. Smart Meter Data'!G:G)</f>
        <v>0</v>
      </c>
      <c r="H32" s="119">
        <f>SUMIF('2. Smart Meter Data'!$B:$I,"Other Equip.",'2. Smart Meter Data'!H:H)</f>
        <v>0</v>
      </c>
      <c r="I32" s="119">
        <f>SUMIF('2. Smart Meter Data'!$B:$I,"Other Equip.",'2. Smart Meter Data'!I:I)</f>
        <v>0</v>
      </c>
      <c r="J32" s="120">
        <f>SUM(C32:H32)</f>
        <v>1006.65</v>
      </c>
      <c r="K32" s="5"/>
      <c r="L32" s="5"/>
      <c r="M32" s="5"/>
    </row>
    <row r="33" spans="1:13" ht="13.5" thickBot="1">
      <c r="A33" s="5"/>
      <c r="B33" s="52" t="s">
        <v>60</v>
      </c>
      <c r="C33" s="121">
        <f aca="true" t="shared" si="3" ref="C33:J33">SUM(C28:C32)</f>
        <v>0</v>
      </c>
      <c r="D33" s="121">
        <f t="shared" si="3"/>
        <v>0</v>
      </c>
      <c r="E33" s="121">
        <f t="shared" si="3"/>
        <v>0</v>
      </c>
      <c r="F33" s="121">
        <f t="shared" si="3"/>
        <v>394061.351</v>
      </c>
      <c r="G33" s="121">
        <f t="shared" si="3"/>
        <v>0</v>
      </c>
      <c r="H33" s="121">
        <f t="shared" si="3"/>
        <v>0</v>
      </c>
      <c r="I33" s="121">
        <f t="shared" si="3"/>
        <v>0</v>
      </c>
      <c r="J33" s="121">
        <f t="shared" si="3"/>
        <v>394061.351</v>
      </c>
      <c r="K33" s="5"/>
      <c r="L33" s="5"/>
      <c r="M33" s="5"/>
    </row>
    <row r="34" spans="1:13" ht="12.75">
      <c r="A34" s="5"/>
      <c r="B34" s="5"/>
      <c r="C34" s="116">
        <f>'2. Smart Meter Data'!C99-C33</f>
        <v>0</v>
      </c>
      <c r="D34" s="116">
        <f>'2. Smart Meter Data'!D99-D33</f>
        <v>0</v>
      </c>
      <c r="E34" s="116">
        <f>'2. Smart Meter Data'!E99-E33</f>
        <v>0</v>
      </c>
      <c r="F34" s="116">
        <f>SUM(C33:F33)</f>
        <v>394061.351</v>
      </c>
      <c r="G34" s="116">
        <f>'2. Smart Meter Data'!G99-G33</f>
        <v>0</v>
      </c>
      <c r="H34" s="116">
        <f>'2. Smart Meter Data'!H99-H33</f>
        <v>0</v>
      </c>
      <c r="I34" s="116">
        <f>'2. Smart Meter Data'!I99-I33</f>
        <v>0</v>
      </c>
      <c r="J34" s="116">
        <f>'2. Smart Meter Data'!J99-J33</f>
        <v>0</v>
      </c>
      <c r="K34" s="5"/>
      <c r="L34" s="5"/>
      <c r="M34" s="5"/>
    </row>
    <row r="35" spans="1:12" ht="12.75">
      <c r="A35" s="5"/>
      <c r="E35" s="5"/>
      <c r="F35" s="5"/>
      <c r="G35" s="43"/>
      <c r="H35" s="43"/>
      <c r="I35" s="5"/>
      <c r="J35" s="5"/>
      <c r="K35" s="5"/>
      <c r="L35" s="5"/>
    </row>
    <row r="36" spans="1:12" ht="12.75">
      <c r="A36" s="5"/>
      <c r="B36" s="5"/>
      <c r="C36" s="24">
        <f>C26</f>
        <v>2006</v>
      </c>
      <c r="D36" s="24">
        <f aca="true" t="shared" si="4" ref="D36:J36">D26</f>
        <v>2007</v>
      </c>
      <c r="E36" s="24">
        <f t="shared" si="4"/>
        <v>2008</v>
      </c>
      <c r="F36" s="24">
        <f t="shared" si="4"/>
        <v>2009</v>
      </c>
      <c r="G36" s="24">
        <f t="shared" si="4"/>
        <v>2010</v>
      </c>
      <c r="H36" s="24">
        <f t="shared" si="4"/>
        <v>2011</v>
      </c>
      <c r="I36" s="24" t="str">
        <f t="shared" si="4"/>
        <v>Later</v>
      </c>
      <c r="J36" s="24" t="str">
        <f t="shared" si="4"/>
        <v>Total</v>
      </c>
      <c r="K36" s="5"/>
      <c r="L36" s="5"/>
    </row>
    <row r="37" spans="1:13" ht="15.75">
      <c r="A37" s="5"/>
      <c r="B37" s="49" t="s">
        <v>101</v>
      </c>
      <c r="C37" s="24" t="str">
        <f>C27</f>
        <v>Actual</v>
      </c>
      <c r="D37" s="24" t="str">
        <f aca="true" t="shared" si="5" ref="D37:I37">D27</f>
        <v>Actual</v>
      </c>
      <c r="E37" s="24" t="str">
        <f t="shared" si="5"/>
        <v>Actual</v>
      </c>
      <c r="F37" s="24" t="str">
        <f t="shared" si="5"/>
        <v>Actual</v>
      </c>
      <c r="G37" s="24" t="str">
        <f t="shared" si="5"/>
        <v>Forecasted</v>
      </c>
      <c r="H37" s="24" t="str">
        <f t="shared" si="5"/>
        <v>Forecasted</v>
      </c>
      <c r="I37" s="24" t="str">
        <f t="shared" si="5"/>
        <v>Forecasted</v>
      </c>
      <c r="J37" s="24"/>
      <c r="K37" s="5"/>
      <c r="L37" s="5"/>
      <c r="M37" s="5"/>
    </row>
    <row r="38" spans="1:13" ht="12.75">
      <c r="A38" s="5"/>
      <c r="B38" s="54" t="s">
        <v>102</v>
      </c>
      <c r="C38" s="122">
        <f>'2. Smart Meter Data'!C107</f>
        <v>0</v>
      </c>
      <c r="D38" s="122">
        <f>'2. Smart Meter Data'!D107</f>
        <v>0</v>
      </c>
      <c r="E38" s="122">
        <f>'2. Smart Meter Data'!E107</f>
        <v>0</v>
      </c>
      <c r="F38" s="122">
        <f>'2. Smart Meter Data'!F107</f>
        <v>0</v>
      </c>
      <c r="G38" s="122">
        <f>'2. Smart Meter Data'!G107</f>
        <v>0</v>
      </c>
      <c r="H38" s="122">
        <f>'2. Smart Meter Data'!H107</f>
        <v>0</v>
      </c>
      <c r="I38" s="122">
        <f>'2. Smart Meter Data'!I107</f>
        <v>0</v>
      </c>
      <c r="J38" s="120">
        <f>SUM(C38:I38)</f>
        <v>0</v>
      </c>
      <c r="K38" s="5"/>
      <c r="L38" s="5"/>
      <c r="M38" s="5"/>
    </row>
    <row r="39" spans="1:13" ht="12.75">
      <c r="A39" s="5"/>
      <c r="B39" s="54" t="s">
        <v>103</v>
      </c>
      <c r="C39" s="122">
        <f>'2. Smart Meter Data'!C113</f>
        <v>0</v>
      </c>
      <c r="D39" s="122">
        <f>'2. Smart Meter Data'!D113</f>
        <v>0</v>
      </c>
      <c r="E39" s="122">
        <f>'2. Smart Meter Data'!E113</f>
        <v>0</v>
      </c>
      <c r="F39" s="122">
        <f>'2. Smart Meter Data'!F113</f>
        <v>0</v>
      </c>
      <c r="G39" s="122">
        <f>'2. Smart Meter Data'!G113</f>
        <v>0</v>
      </c>
      <c r="H39" s="122">
        <f>'2. Smart Meter Data'!H113</f>
        <v>0</v>
      </c>
      <c r="I39" s="122">
        <f>'2. Smart Meter Data'!I113</f>
        <v>0</v>
      </c>
      <c r="J39" s="120">
        <f>SUM(C39:I39)</f>
        <v>0</v>
      </c>
      <c r="K39" s="5"/>
      <c r="L39" s="5"/>
      <c r="M39" s="5"/>
    </row>
    <row r="40" spans="1:13" ht="12.75">
      <c r="A40" s="5"/>
      <c r="B40" s="54" t="s">
        <v>104</v>
      </c>
      <c r="C40" s="122">
        <f>'2. Smart Meter Data'!C122</f>
        <v>0</v>
      </c>
      <c r="D40" s="122">
        <f>'2. Smart Meter Data'!D122</f>
        <v>0</v>
      </c>
      <c r="E40" s="122">
        <f>'2. Smart Meter Data'!E122</f>
        <v>0</v>
      </c>
      <c r="F40" s="122">
        <f>'2. Smart Meter Data'!F122</f>
        <v>0</v>
      </c>
      <c r="G40" s="122">
        <f>'2. Smart Meter Data'!G122</f>
        <v>0</v>
      </c>
      <c r="H40" s="122">
        <f>'2. Smart Meter Data'!H122</f>
        <v>0</v>
      </c>
      <c r="I40" s="122">
        <f>'2. Smart Meter Data'!I122</f>
        <v>0</v>
      </c>
      <c r="J40" s="120">
        <f>SUM(C40:I40)</f>
        <v>0</v>
      </c>
      <c r="K40" s="5"/>
      <c r="L40" s="5"/>
      <c r="M40" s="5"/>
    </row>
    <row r="41" spans="1:13" ht="12.75">
      <c r="A41" s="5"/>
      <c r="B41" s="54" t="s">
        <v>105</v>
      </c>
      <c r="C41" s="122">
        <f>'2. Smart Meter Data'!C129</f>
        <v>0</v>
      </c>
      <c r="D41" s="162">
        <f>'2. Smart Meter Data'!D129</f>
        <v>0</v>
      </c>
      <c r="E41" s="162">
        <f>'2. Smart Meter Data'!E129</f>
        <v>0</v>
      </c>
      <c r="F41" s="122">
        <f>'2. Smart Meter Data'!F129</f>
        <v>44536.36</v>
      </c>
      <c r="G41" s="122">
        <f>'2. Smart Meter Data'!G129</f>
        <v>42558.72</v>
      </c>
      <c r="H41" s="122">
        <f>'2. Smart Meter Data'!H129</f>
        <v>42558.72</v>
      </c>
      <c r="I41" s="122">
        <f>'2. Smart Meter Data'!I129</f>
        <v>0</v>
      </c>
      <c r="J41" s="120">
        <f>SUM(C41:I41)</f>
        <v>129653.8</v>
      </c>
      <c r="K41" s="5"/>
      <c r="L41" s="5"/>
      <c r="M41" s="5"/>
    </row>
    <row r="42" spans="1:13" ht="12.75">
      <c r="A42" s="5"/>
      <c r="B42" s="54" t="s">
        <v>106</v>
      </c>
      <c r="C42" s="122">
        <f>'2. Smart Meter Data'!C145</f>
        <v>0</v>
      </c>
      <c r="D42" s="162">
        <f>'2. Smart Meter Data'!D145</f>
        <v>0</v>
      </c>
      <c r="E42" s="162">
        <f>'2. Smart Meter Data'!E145</f>
        <v>0</v>
      </c>
      <c r="F42" s="122">
        <f>'2. Smart Meter Data'!F145</f>
        <v>4405.65</v>
      </c>
      <c r="G42" s="122">
        <f>'2. Smart Meter Data'!G145</f>
        <v>0</v>
      </c>
      <c r="H42" s="122">
        <f>'2. Smart Meter Data'!H145</f>
        <v>0</v>
      </c>
      <c r="I42" s="122">
        <f>'2. Smart Meter Data'!I145</f>
        <v>0</v>
      </c>
      <c r="J42" s="120">
        <f>SUM(C42:I42)</f>
        <v>4405.65</v>
      </c>
      <c r="K42" s="5"/>
      <c r="L42" s="5"/>
      <c r="M42" s="5"/>
    </row>
    <row r="43" spans="1:13" ht="13.5" thickBot="1">
      <c r="A43" s="5"/>
      <c r="B43" s="51" t="s">
        <v>87</v>
      </c>
      <c r="C43" s="123">
        <f aca="true" t="shared" si="6" ref="C43:J43">SUM(C38:C42)</f>
        <v>0</v>
      </c>
      <c r="D43" s="123">
        <f t="shared" si="6"/>
        <v>0</v>
      </c>
      <c r="E43" s="123">
        <f t="shared" si="6"/>
        <v>0</v>
      </c>
      <c r="F43" s="124">
        <f t="shared" si="6"/>
        <v>48942.01</v>
      </c>
      <c r="G43" s="124">
        <f t="shared" si="6"/>
        <v>42558.72</v>
      </c>
      <c r="H43" s="124">
        <f t="shared" si="6"/>
        <v>42558.72</v>
      </c>
      <c r="I43" s="124">
        <f t="shared" si="6"/>
        <v>0</v>
      </c>
      <c r="J43" s="124">
        <f t="shared" si="6"/>
        <v>134059.45</v>
      </c>
      <c r="K43" s="5"/>
      <c r="L43" s="5"/>
      <c r="M43" s="5"/>
    </row>
    <row r="44" spans="1:12" ht="12.75">
      <c r="A44" s="5"/>
      <c r="B44" s="5"/>
      <c r="C44" s="117">
        <f>'2. Smart Meter Data'!C147-C43</f>
        <v>0</v>
      </c>
      <c r="D44" s="117"/>
      <c r="E44" s="117"/>
      <c r="F44" s="117"/>
      <c r="G44" s="117"/>
      <c r="H44" s="117"/>
      <c r="I44" s="117"/>
      <c r="J44" s="117">
        <f>'2. Smart Meter Data'!J147-J43</f>
        <v>0</v>
      </c>
      <c r="K44" s="5"/>
      <c r="L44" s="5"/>
    </row>
    <row r="45" spans="1:12" ht="12.75">
      <c r="A45" s="5"/>
      <c r="B45" s="5"/>
      <c r="C45" s="5"/>
      <c r="D45" s="5"/>
      <c r="E45" s="5"/>
      <c r="F45" s="33"/>
      <c r="G45" s="161"/>
      <c r="H45" s="161"/>
      <c r="I45" s="161"/>
      <c r="J45" s="5"/>
      <c r="K45" s="5"/>
      <c r="L45" s="5"/>
    </row>
    <row r="46" spans="1:12" ht="15.75">
      <c r="A46" s="5"/>
      <c r="B46" s="49" t="s">
        <v>107</v>
      </c>
      <c r="C46" s="30" t="s">
        <v>108</v>
      </c>
      <c r="D46" s="30" t="s">
        <v>109</v>
      </c>
      <c r="E46" s="30" t="s">
        <v>110</v>
      </c>
      <c r="F46" s="30" t="s">
        <v>111</v>
      </c>
      <c r="G46" s="150"/>
      <c r="H46" s="150"/>
      <c r="I46" s="5"/>
      <c r="J46" s="5"/>
      <c r="K46" s="5"/>
      <c r="L46" s="5"/>
    </row>
    <row r="47" spans="1:12" ht="12.75">
      <c r="A47" s="5"/>
      <c r="B47" s="31" t="s">
        <v>112</v>
      </c>
      <c r="C47" s="125">
        <f aca="true" t="shared" si="7" ref="C47:C52">IF(ISERROR(E47/D47),0,E47/D47)</f>
        <v>212.65428886241813</v>
      </c>
      <c r="D47" s="126">
        <f>'2. Smart Meter Data'!J10</f>
        <v>1679</v>
      </c>
      <c r="E47" s="120">
        <f>J28</f>
        <v>357046.55100000004</v>
      </c>
      <c r="F47" s="127">
        <f aca="true" t="shared" si="8" ref="F47:F52">IF(ISERROR(E47/$E$53),0,E47/$E$53)</f>
        <v>0.6760698505416378</v>
      </c>
      <c r="G47" s="150"/>
      <c r="H47" s="5"/>
      <c r="I47" s="5"/>
      <c r="J47" s="5"/>
      <c r="K47" s="5"/>
      <c r="L47" s="5"/>
    </row>
    <row r="48" spans="1:12" ht="12.75">
      <c r="A48" s="5"/>
      <c r="B48" s="31" t="s">
        <v>113</v>
      </c>
      <c r="C48" s="125">
        <f t="shared" si="7"/>
        <v>7.659130434782609</v>
      </c>
      <c r="D48" s="126">
        <f>D47</f>
        <v>1679</v>
      </c>
      <c r="E48" s="120">
        <f>J29</f>
        <v>12859.68</v>
      </c>
      <c r="F48" s="127">
        <f t="shared" si="8"/>
        <v>0.024349883541133235</v>
      </c>
      <c r="G48" s="5"/>
      <c r="H48" s="5"/>
      <c r="I48" s="5"/>
      <c r="J48" s="5"/>
      <c r="K48" s="5"/>
      <c r="L48" s="5"/>
    </row>
    <row r="49" spans="1:12" ht="12.75">
      <c r="A49" s="5"/>
      <c r="B49" s="31" t="s">
        <v>114</v>
      </c>
      <c r="C49" s="125">
        <f t="shared" si="7"/>
        <v>13.787057772483623</v>
      </c>
      <c r="D49" s="126">
        <f>D48</f>
        <v>1679</v>
      </c>
      <c r="E49" s="120">
        <f>J30</f>
        <v>23148.47</v>
      </c>
      <c r="F49" s="127">
        <f t="shared" si="8"/>
        <v>0.043831770981503156</v>
      </c>
      <c r="G49" s="5"/>
      <c r="H49" s="5"/>
      <c r="I49" s="5"/>
      <c r="J49" s="5"/>
      <c r="K49" s="5"/>
      <c r="L49" s="5"/>
    </row>
    <row r="50" spans="1:12" ht="12.75">
      <c r="A50" s="5"/>
      <c r="B50" s="31" t="s">
        <v>11</v>
      </c>
      <c r="C50" s="125">
        <f t="shared" si="7"/>
        <v>0</v>
      </c>
      <c r="D50" s="126">
        <f>D49</f>
        <v>1679</v>
      </c>
      <c r="E50" s="120">
        <f>J31</f>
        <v>0</v>
      </c>
      <c r="F50" s="127">
        <f t="shared" si="8"/>
        <v>0</v>
      </c>
      <c r="G50" s="5"/>
      <c r="H50" s="5"/>
      <c r="I50" s="5"/>
      <c r="J50" s="5"/>
      <c r="K50" s="5"/>
      <c r="L50" s="5"/>
    </row>
    <row r="51" spans="1:12" ht="12.75">
      <c r="A51" s="5"/>
      <c r="B51" s="31" t="s">
        <v>13</v>
      </c>
      <c r="C51" s="125">
        <f t="shared" si="7"/>
        <v>0.5995533055390113</v>
      </c>
      <c r="D51" s="126">
        <f>D50</f>
        <v>1679</v>
      </c>
      <c r="E51" s="120">
        <f>J32</f>
        <v>1006.65</v>
      </c>
      <c r="F51" s="127">
        <f t="shared" si="8"/>
        <v>0.0019060979951819775</v>
      </c>
      <c r="G51" s="5"/>
      <c r="H51" s="5"/>
      <c r="I51" s="5"/>
      <c r="J51" s="5"/>
      <c r="K51" s="5"/>
      <c r="L51" s="5"/>
    </row>
    <row r="52" spans="1:12" ht="12.75">
      <c r="A52" s="5"/>
      <c r="B52" s="31" t="s">
        <v>115</v>
      </c>
      <c r="C52" s="125">
        <f t="shared" si="7"/>
        <v>79.84481834425254</v>
      </c>
      <c r="D52" s="126">
        <f>D49</f>
        <v>1679</v>
      </c>
      <c r="E52" s="120">
        <f>J43</f>
        <v>134059.45</v>
      </c>
      <c r="F52" s="127">
        <f t="shared" si="8"/>
        <v>0.25384239694054395</v>
      </c>
      <c r="G52" s="5"/>
      <c r="H52" s="5"/>
      <c r="I52" s="5"/>
      <c r="J52" s="5"/>
      <c r="K52" s="5"/>
      <c r="L52" s="5"/>
    </row>
    <row r="53" spans="1:12" ht="12.75">
      <c r="A53" s="5"/>
      <c r="B53" s="5" t="s">
        <v>116</v>
      </c>
      <c r="C53" s="128">
        <f>SUM(C47:C52)</f>
        <v>314.5448487194759</v>
      </c>
      <c r="D53" s="129"/>
      <c r="E53" s="130">
        <f>SUM(E47:E52)</f>
        <v>528120.801</v>
      </c>
      <c r="F53" s="131">
        <f>SUM(F47:F52)</f>
        <v>1</v>
      </c>
      <c r="G53" s="5"/>
      <c r="H53" s="43"/>
      <c r="I53" s="5"/>
      <c r="J53" s="5"/>
      <c r="K53" s="5"/>
      <c r="L53" s="5"/>
    </row>
    <row r="54" ht="15" customHeight="1"/>
    <row r="55" spans="3:9" ht="12.75">
      <c r="C55" s="134">
        <f>C36</f>
        <v>2006</v>
      </c>
      <c r="D55" s="134">
        <f aca="true" t="shared" si="9" ref="D55:I55">D36</f>
        <v>2007</v>
      </c>
      <c r="E55" s="134">
        <f t="shared" si="9"/>
        <v>2008</v>
      </c>
      <c r="F55" s="134">
        <f t="shared" si="9"/>
        <v>2009</v>
      </c>
      <c r="G55" s="134">
        <f t="shared" si="9"/>
        <v>2010</v>
      </c>
      <c r="H55" s="134">
        <f t="shared" si="9"/>
        <v>2011</v>
      </c>
      <c r="I55" s="134" t="str">
        <f t="shared" si="9"/>
        <v>Later</v>
      </c>
    </row>
    <row r="56" spans="2:9" ht="15.75">
      <c r="B56" s="49" t="s">
        <v>213</v>
      </c>
      <c r="C56" s="134" t="str">
        <f>C37</f>
        <v>Actual</v>
      </c>
      <c r="D56" s="134" t="str">
        <f aca="true" t="shared" si="10" ref="D56:I56">D37</f>
        <v>Actual</v>
      </c>
      <c r="E56" s="134" t="str">
        <f t="shared" si="10"/>
        <v>Actual</v>
      </c>
      <c r="F56" s="134" t="str">
        <f t="shared" si="10"/>
        <v>Actual</v>
      </c>
      <c r="G56" s="134" t="str">
        <f t="shared" si="10"/>
        <v>Forecasted</v>
      </c>
      <c r="H56" s="134" t="str">
        <f t="shared" si="10"/>
        <v>Forecasted</v>
      </c>
      <c r="I56" s="134" t="str">
        <f t="shared" si="10"/>
        <v>Forecasted</v>
      </c>
    </row>
    <row r="57" spans="2:9" ht="12.75">
      <c r="B57" s="31" t="s">
        <v>214</v>
      </c>
      <c r="C57" s="135">
        <v>15</v>
      </c>
      <c r="D57" s="135">
        <v>15</v>
      </c>
      <c r="E57" s="135">
        <v>15</v>
      </c>
      <c r="F57" s="135">
        <v>15</v>
      </c>
      <c r="G57" s="135">
        <v>15</v>
      </c>
      <c r="H57" s="135">
        <v>15</v>
      </c>
      <c r="I57" s="135">
        <v>15</v>
      </c>
    </row>
    <row r="58" spans="2:9" ht="12.75">
      <c r="B58" s="31" t="s">
        <v>215</v>
      </c>
      <c r="C58" s="135">
        <v>5</v>
      </c>
      <c r="D58" s="135">
        <v>5</v>
      </c>
      <c r="E58" s="135">
        <v>5</v>
      </c>
      <c r="F58" s="135">
        <v>5</v>
      </c>
      <c r="G58" s="135">
        <v>5</v>
      </c>
      <c r="H58" s="135">
        <v>5</v>
      </c>
      <c r="I58" s="135">
        <v>5</v>
      </c>
    </row>
    <row r="59" spans="2:9" ht="12.75">
      <c r="B59" s="31" t="s">
        <v>216</v>
      </c>
      <c r="C59" s="135">
        <v>5</v>
      </c>
      <c r="D59" s="135">
        <v>5</v>
      </c>
      <c r="E59" s="135">
        <v>5</v>
      </c>
      <c r="F59" s="135">
        <v>5</v>
      </c>
      <c r="G59" s="135">
        <v>5</v>
      </c>
      <c r="H59" s="135">
        <v>5</v>
      </c>
      <c r="I59" s="135">
        <v>5</v>
      </c>
    </row>
    <row r="60" spans="2:9" ht="12.75">
      <c r="B60" s="31" t="s">
        <v>217</v>
      </c>
      <c r="C60" s="135">
        <v>10</v>
      </c>
      <c r="D60" s="135">
        <v>10</v>
      </c>
      <c r="E60" s="135">
        <v>10</v>
      </c>
      <c r="F60" s="135">
        <v>10</v>
      </c>
      <c r="G60" s="135">
        <v>10</v>
      </c>
      <c r="H60" s="135">
        <v>10</v>
      </c>
      <c r="I60" s="135">
        <v>10</v>
      </c>
    </row>
    <row r="61" spans="2:9" ht="12.75">
      <c r="B61" s="31" t="s">
        <v>218</v>
      </c>
      <c r="C61" s="135">
        <v>10</v>
      </c>
      <c r="D61" s="135">
        <v>10</v>
      </c>
      <c r="E61" s="135">
        <v>10</v>
      </c>
      <c r="F61" s="135">
        <v>10</v>
      </c>
      <c r="G61" s="135">
        <v>10</v>
      </c>
      <c r="H61" s="135">
        <v>10</v>
      </c>
      <c r="I61" s="135">
        <v>10</v>
      </c>
    </row>
    <row r="63" spans="3:9" ht="12.75">
      <c r="C63" s="134">
        <f>C55</f>
        <v>2006</v>
      </c>
      <c r="D63" s="134">
        <f aca="true" t="shared" si="11" ref="D63:I63">D55</f>
        <v>2007</v>
      </c>
      <c r="E63" s="134">
        <f t="shared" si="11"/>
        <v>2008</v>
      </c>
      <c r="F63" s="134">
        <f t="shared" si="11"/>
        <v>2009</v>
      </c>
      <c r="G63" s="134">
        <f t="shared" si="11"/>
        <v>2010</v>
      </c>
      <c r="H63" s="134">
        <f t="shared" si="11"/>
        <v>2011</v>
      </c>
      <c r="I63" s="134" t="str">
        <f t="shared" si="11"/>
        <v>Later</v>
      </c>
    </row>
    <row r="64" spans="2:9" ht="15.75">
      <c r="B64" s="49" t="s">
        <v>219</v>
      </c>
      <c r="C64" s="134" t="str">
        <f>C56</f>
        <v>Actual</v>
      </c>
      <c r="D64" s="134" t="str">
        <f aca="true" t="shared" si="12" ref="D64:I64">D56</f>
        <v>Actual</v>
      </c>
      <c r="E64" s="134" t="str">
        <f t="shared" si="12"/>
        <v>Actual</v>
      </c>
      <c r="F64" s="134" t="str">
        <f t="shared" si="12"/>
        <v>Actual</v>
      </c>
      <c r="G64" s="134" t="str">
        <f t="shared" si="12"/>
        <v>Forecasted</v>
      </c>
      <c r="H64" s="134" t="str">
        <f t="shared" si="12"/>
        <v>Forecasted</v>
      </c>
      <c r="I64" s="134" t="str">
        <f t="shared" si="12"/>
        <v>Forecasted</v>
      </c>
    </row>
    <row r="65" spans="2:9" ht="12.75">
      <c r="B65" s="7" t="s">
        <v>222</v>
      </c>
      <c r="C65" s="134">
        <v>47</v>
      </c>
      <c r="D65" s="134">
        <v>47</v>
      </c>
      <c r="E65" s="134">
        <v>47</v>
      </c>
      <c r="F65" s="134">
        <v>47</v>
      </c>
      <c r="G65" s="134">
        <v>47</v>
      </c>
      <c r="H65" s="134">
        <v>47</v>
      </c>
      <c r="I65" s="134">
        <v>47</v>
      </c>
    </row>
    <row r="66" spans="2:9" ht="12.75">
      <c r="B66" s="31" t="s">
        <v>8</v>
      </c>
      <c r="C66" s="136">
        <v>0.08</v>
      </c>
      <c r="D66" s="136">
        <v>0.08</v>
      </c>
      <c r="E66" s="136">
        <v>0.08</v>
      </c>
      <c r="F66" s="136">
        <v>0.08</v>
      </c>
      <c r="G66" s="136">
        <v>0.08</v>
      </c>
      <c r="H66" s="136">
        <v>0.08</v>
      </c>
      <c r="I66" s="136">
        <v>0.08</v>
      </c>
    </row>
    <row r="68" spans="2:9" ht="12.75">
      <c r="B68" s="7" t="s">
        <v>222</v>
      </c>
      <c r="C68" s="134">
        <v>45</v>
      </c>
      <c r="D68" s="134">
        <v>45</v>
      </c>
      <c r="E68" s="134">
        <v>45</v>
      </c>
      <c r="F68" s="134">
        <v>45</v>
      </c>
      <c r="G68" s="134">
        <v>45</v>
      </c>
      <c r="H68" s="134">
        <v>45</v>
      </c>
      <c r="I68" s="134">
        <v>45</v>
      </c>
    </row>
    <row r="69" spans="2:9" ht="12.75">
      <c r="B69" s="31" t="s">
        <v>221</v>
      </c>
      <c r="C69" s="136">
        <v>0.45</v>
      </c>
      <c r="D69" s="136">
        <v>0.45</v>
      </c>
      <c r="E69" s="136">
        <v>0.45</v>
      </c>
      <c r="F69" s="136">
        <v>0.45</v>
      </c>
      <c r="G69" s="136">
        <v>0.45</v>
      </c>
      <c r="H69" s="136">
        <v>0.45</v>
      </c>
      <c r="I69" s="136">
        <v>0.45</v>
      </c>
    </row>
    <row r="71" spans="2:9" ht="12.75">
      <c r="B71" s="7" t="s">
        <v>222</v>
      </c>
      <c r="C71" s="134">
        <v>8</v>
      </c>
      <c r="D71" s="134">
        <v>8</v>
      </c>
      <c r="E71" s="134">
        <v>8</v>
      </c>
      <c r="F71" s="134">
        <v>8</v>
      </c>
      <c r="G71" s="134">
        <v>8</v>
      </c>
      <c r="H71" s="134">
        <v>8</v>
      </c>
      <c r="I71" s="134">
        <v>8</v>
      </c>
    </row>
    <row r="72" spans="2:9" ht="12.75">
      <c r="B72" s="31" t="s">
        <v>223</v>
      </c>
      <c r="C72" s="136">
        <v>0.2</v>
      </c>
      <c r="D72" s="136">
        <v>0.2</v>
      </c>
      <c r="E72" s="136">
        <v>0.2</v>
      </c>
      <c r="F72" s="136">
        <v>0.2</v>
      </c>
      <c r="G72" s="136">
        <v>0.2</v>
      </c>
      <c r="H72" s="136">
        <v>0.2</v>
      </c>
      <c r="I72" s="136">
        <v>0.2</v>
      </c>
    </row>
  </sheetData>
  <sheetProtection formatColumns="0" selectLockedCells="1"/>
  <mergeCells count="1">
    <mergeCell ref="B1:G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zoomScale="80" zoomScaleNormal="80" zoomScalePageLayoutView="0" workbookViewId="0" topLeftCell="A1">
      <pane xSplit="2" ySplit="5" topLeftCell="P27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26.00390625" style="7" customWidth="1"/>
    <col min="2" max="2" width="68.28125" style="7" bestFit="1" customWidth="1"/>
    <col min="3" max="4" width="16.140625" style="7" bestFit="1" customWidth="1"/>
    <col min="5" max="5" width="19.421875" style="7" bestFit="1" customWidth="1"/>
    <col min="6" max="6" width="16.8515625" style="7" bestFit="1" customWidth="1"/>
    <col min="7" max="7" width="16.8515625" style="89" bestFit="1" customWidth="1"/>
    <col min="8" max="8" width="19.8515625" style="7" bestFit="1" customWidth="1"/>
    <col min="9" max="10" width="17.28125" style="7" bestFit="1" customWidth="1"/>
    <col min="11" max="11" width="19.8515625" style="7" bestFit="1" customWidth="1"/>
    <col min="12" max="13" width="17.57421875" style="7" bestFit="1" customWidth="1"/>
    <col min="14" max="14" width="19.421875" style="7" bestFit="1" customWidth="1"/>
    <col min="15" max="15" width="39.8515625" style="7" customWidth="1"/>
    <col min="16" max="16" width="17.28125" style="7" bestFit="1" customWidth="1"/>
    <col min="17" max="17" width="20.421875" style="7" bestFit="1" customWidth="1"/>
    <col min="18" max="19" width="17.28125" style="7" bestFit="1" customWidth="1"/>
    <col min="20" max="20" width="20.421875" style="7" bestFit="1" customWidth="1"/>
    <col min="21" max="22" width="17.28125" style="7" bestFit="1" customWidth="1"/>
    <col min="23" max="23" width="20.421875" style="7" bestFit="1" customWidth="1"/>
    <col min="24" max="16384" width="9.140625" style="7" customWidth="1"/>
  </cols>
  <sheetData>
    <row r="1" spans="1:7" s="3" customFormat="1" ht="21" customHeight="1">
      <c r="A1" s="1"/>
      <c r="B1" s="196" t="s">
        <v>230</v>
      </c>
      <c r="C1" s="196"/>
      <c r="D1" s="196"/>
      <c r="E1" s="26"/>
      <c r="F1" s="1"/>
      <c r="G1" s="60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7" ht="12.75">
      <c r="A3" s="5"/>
      <c r="B3" s="5"/>
      <c r="C3" s="5"/>
      <c r="D3" s="5"/>
      <c r="E3" s="5"/>
      <c r="F3" s="5"/>
      <c r="G3" s="60"/>
    </row>
    <row r="4" spans="1:7" ht="26.25">
      <c r="A4" s="61" t="s">
        <v>229</v>
      </c>
      <c r="B4" s="5"/>
      <c r="C4" s="5"/>
      <c r="D4" s="5"/>
      <c r="E4" s="5"/>
      <c r="F4" s="5"/>
      <c r="G4" s="60"/>
    </row>
    <row r="5" spans="1:7" ht="13.5" thickBot="1">
      <c r="A5" s="5"/>
      <c r="B5" s="5"/>
      <c r="C5" s="5"/>
      <c r="D5" s="5"/>
      <c r="E5" s="5"/>
      <c r="F5" s="5"/>
      <c r="G5" s="60"/>
    </row>
    <row r="6" spans="1:23" ht="18">
      <c r="A6" s="5"/>
      <c r="B6" s="28" t="s">
        <v>129</v>
      </c>
      <c r="C6" s="200">
        <f>'2. Smart Meter Data'!C4</f>
        <v>2006</v>
      </c>
      <c r="D6" s="201"/>
      <c r="E6" s="202"/>
      <c r="F6" s="200">
        <f>'2. Smart Meter Data'!D4</f>
        <v>2007</v>
      </c>
      <c r="G6" s="201"/>
      <c r="H6" s="202"/>
      <c r="I6" s="200">
        <f>'2. Smart Meter Data'!E4</f>
        <v>2008</v>
      </c>
      <c r="J6" s="201"/>
      <c r="K6" s="202"/>
      <c r="L6" s="200">
        <f>'2. Smart Meter Data'!F4</f>
        <v>2009</v>
      </c>
      <c r="M6" s="201"/>
      <c r="N6" s="202"/>
      <c r="O6" s="200">
        <f>'2. Smart Meter Data'!G4</f>
        <v>2010</v>
      </c>
      <c r="P6" s="201"/>
      <c r="Q6" s="202"/>
      <c r="R6" s="200">
        <f>'2. Smart Meter Data'!H4</f>
        <v>2011</v>
      </c>
      <c r="S6" s="201"/>
      <c r="T6" s="202"/>
      <c r="U6" s="200" t="str">
        <f>'2. Smart Meter Data'!I4</f>
        <v>Later</v>
      </c>
      <c r="V6" s="201"/>
      <c r="W6" s="202"/>
    </row>
    <row r="7" spans="1:23" ht="18.75" thickBot="1">
      <c r="A7" s="5"/>
      <c r="B7" s="28"/>
      <c r="C7" s="197" t="str">
        <f>'2. Smart Meter Data'!C5</f>
        <v>Actual</v>
      </c>
      <c r="D7" s="198"/>
      <c r="E7" s="199"/>
      <c r="F7" s="197" t="str">
        <f>'2. Smart Meter Data'!D5</f>
        <v>Actual</v>
      </c>
      <c r="G7" s="198"/>
      <c r="H7" s="199"/>
      <c r="I7" s="197" t="str">
        <f>'2. Smart Meter Data'!E5</f>
        <v>Actual</v>
      </c>
      <c r="J7" s="198"/>
      <c r="K7" s="199"/>
      <c r="L7" s="197" t="str">
        <f>'2. Smart Meter Data'!F5</f>
        <v>Actual</v>
      </c>
      <c r="M7" s="198"/>
      <c r="N7" s="199"/>
      <c r="O7" s="197" t="str">
        <f>'2. Smart Meter Data'!G5</f>
        <v>Forecasted</v>
      </c>
      <c r="P7" s="198"/>
      <c r="Q7" s="199"/>
      <c r="R7" s="197" t="str">
        <f>'2. Smart Meter Data'!H5</f>
        <v>Forecasted</v>
      </c>
      <c r="S7" s="198"/>
      <c r="T7" s="199"/>
      <c r="U7" s="197" t="str">
        <f>'2. Smart Meter Data'!I5</f>
        <v>Forecasted</v>
      </c>
      <c r="V7" s="198"/>
      <c r="W7" s="199"/>
    </row>
    <row r="8" spans="1:23" ht="12.75">
      <c r="A8" s="5"/>
      <c r="B8" s="62" t="s">
        <v>130</v>
      </c>
      <c r="C8" s="66">
        <f>'6. Avg Nt Fix Ass &amp;UCC'!C18</f>
        <v>0</v>
      </c>
      <c r="D8" s="6"/>
      <c r="E8" s="67"/>
      <c r="F8" s="63">
        <f>'6. Avg Nt Fix Ass &amp;UCC'!D18</f>
        <v>0</v>
      </c>
      <c r="G8" s="64"/>
      <c r="H8" s="65"/>
      <c r="I8" s="63">
        <f>'6. Avg Nt Fix Ass &amp;UCC'!E18</f>
        <v>0</v>
      </c>
      <c r="J8" s="64"/>
      <c r="K8" s="65"/>
      <c r="L8" s="66">
        <f>'6. Avg Nt Fix Ass &amp;UCC'!F18</f>
        <v>172572.49965</v>
      </c>
      <c r="M8" s="6"/>
      <c r="N8" s="67"/>
      <c r="O8" s="66">
        <f>'6. Avg Nt Fix Ass &amp;UCC'!G18</f>
        <v>333243.4476</v>
      </c>
      <c r="P8" s="6"/>
      <c r="Q8" s="67"/>
      <c r="R8" s="66">
        <f>'6. Avg Nt Fix Ass &amp;UCC'!H18</f>
        <v>309440.34420000005</v>
      </c>
      <c r="S8" s="6"/>
      <c r="T8" s="67"/>
      <c r="U8" s="66">
        <f>'6. Avg Nt Fix Ass &amp;UCC'!I18</f>
        <v>0</v>
      </c>
      <c r="V8" s="6"/>
      <c r="W8" s="67"/>
    </row>
    <row r="9" spans="1:23" ht="12.75">
      <c r="A9" s="5"/>
      <c r="B9" s="62" t="s">
        <v>131</v>
      </c>
      <c r="C9" s="66">
        <f>'6. Avg Nt Fix Ass &amp;UCC'!C33</f>
        <v>0</v>
      </c>
      <c r="D9" s="68"/>
      <c r="E9" s="67"/>
      <c r="F9" s="66">
        <f>'6. Avg Nt Fix Ass &amp;UCC'!D33</f>
        <v>0</v>
      </c>
      <c r="G9" s="68"/>
      <c r="H9" s="67"/>
      <c r="I9" s="66">
        <f>'6. Avg Nt Fix Ass &amp;UCC'!E33</f>
        <v>0</v>
      </c>
      <c r="J9" s="68"/>
      <c r="K9" s="67"/>
      <c r="L9" s="66">
        <f>'6. Avg Nt Fix Ass &amp;UCC'!F33</f>
        <v>5786.856</v>
      </c>
      <c r="M9" s="68"/>
      <c r="N9" s="67"/>
      <c r="O9" s="66">
        <f>'6. Avg Nt Fix Ass &amp;UCC'!G33</f>
        <v>10287.743999999999</v>
      </c>
      <c r="P9" s="68"/>
      <c r="Q9" s="67"/>
      <c r="R9" s="66">
        <f>'6. Avg Nt Fix Ass &amp;UCC'!H33</f>
        <v>7715.808</v>
      </c>
      <c r="S9" s="68"/>
      <c r="T9" s="67"/>
      <c r="U9" s="66">
        <f>'6. Avg Nt Fix Ass &amp;UCC'!I33</f>
        <v>0</v>
      </c>
      <c r="V9" s="68"/>
      <c r="W9" s="67"/>
    </row>
    <row r="10" spans="1:23" ht="12.75">
      <c r="A10" s="5"/>
      <c r="B10" s="62" t="s">
        <v>132</v>
      </c>
      <c r="C10" s="66">
        <f>'6. Avg Nt Fix Ass &amp;UCC'!C48</f>
        <v>0</v>
      </c>
      <c r="D10" s="69"/>
      <c r="E10" s="67"/>
      <c r="F10" s="66">
        <f>'6. Avg Nt Fix Ass &amp;UCC'!D48</f>
        <v>0</v>
      </c>
      <c r="G10" s="69"/>
      <c r="H10" s="67"/>
      <c r="I10" s="66">
        <f>'6. Avg Nt Fix Ass &amp;UCC'!E48</f>
        <v>0</v>
      </c>
      <c r="J10" s="69"/>
      <c r="K10" s="67"/>
      <c r="L10" s="66">
        <f>'6. Avg Nt Fix Ass &amp;UCC'!F48</f>
        <v>10416.8115</v>
      </c>
      <c r="M10" s="69"/>
      <c r="N10" s="67"/>
      <c r="O10" s="66">
        <f>'6. Avg Nt Fix Ass &amp;UCC'!G48</f>
        <v>18518.775999999998</v>
      </c>
      <c r="P10" s="69"/>
      <c r="Q10" s="67"/>
      <c r="R10" s="66">
        <f>'6. Avg Nt Fix Ass &amp;UCC'!H48</f>
        <v>13889.082</v>
      </c>
      <c r="S10" s="69"/>
      <c r="T10" s="67"/>
      <c r="U10" s="66">
        <f>'6. Avg Nt Fix Ass &amp;UCC'!I48</f>
        <v>0</v>
      </c>
      <c r="V10" s="69"/>
      <c r="W10" s="67"/>
    </row>
    <row r="11" spans="1:23" ht="12.75">
      <c r="A11" s="5"/>
      <c r="B11" s="62" t="s">
        <v>133</v>
      </c>
      <c r="C11" s="66">
        <f>'6. Avg Nt Fix Ass &amp;UCC'!C63</f>
        <v>0</v>
      </c>
      <c r="D11" s="69"/>
      <c r="E11" s="67"/>
      <c r="F11" s="66">
        <f>'6. Avg Nt Fix Ass &amp;UCC'!D63</f>
        <v>0</v>
      </c>
      <c r="G11" s="69"/>
      <c r="H11" s="67"/>
      <c r="I11" s="66">
        <f>'6. Avg Nt Fix Ass &amp;UCC'!E63</f>
        <v>0</v>
      </c>
      <c r="J11" s="69"/>
      <c r="K11" s="67"/>
      <c r="L11" s="66">
        <f>'6. Avg Nt Fix Ass &amp;UCC'!F63</f>
        <v>0</v>
      </c>
      <c r="M11" s="69"/>
      <c r="N11" s="67"/>
      <c r="O11" s="66">
        <f>'6. Avg Nt Fix Ass &amp;UCC'!G63</f>
        <v>0</v>
      </c>
      <c r="P11" s="69"/>
      <c r="Q11" s="67"/>
      <c r="R11" s="66">
        <f>'6. Avg Nt Fix Ass &amp;UCC'!H63</f>
        <v>0</v>
      </c>
      <c r="S11" s="69"/>
      <c r="T11" s="67"/>
      <c r="U11" s="66">
        <f>'6. Avg Nt Fix Ass &amp;UCC'!I63</f>
        <v>0</v>
      </c>
      <c r="V11" s="69"/>
      <c r="W11" s="67"/>
    </row>
    <row r="12" spans="1:23" ht="12.75">
      <c r="A12" s="5"/>
      <c r="B12" s="62" t="s">
        <v>134</v>
      </c>
      <c r="C12" s="66">
        <f>'6. Avg Nt Fix Ass &amp;UCC'!C78</f>
        <v>0</v>
      </c>
      <c r="D12" s="69"/>
      <c r="E12" s="67"/>
      <c r="F12" s="66">
        <f>'6. Avg Nt Fix Ass &amp;UCC'!D78</f>
        <v>0</v>
      </c>
      <c r="G12" s="69"/>
      <c r="H12" s="67"/>
      <c r="I12" s="66">
        <f>'6. Avg Nt Fix Ass &amp;UCC'!E78</f>
        <v>0</v>
      </c>
      <c r="J12" s="69"/>
      <c r="K12" s="67"/>
      <c r="L12" s="66">
        <f>'6. Avg Nt Fix Ass &amp;UCC'!F78</f>
        <v>478.15875</v>
      </c>
      <c r="M12" s="69"/>
      <c r="N12" s="67"/>
      <c r="O12" s="66">
        <f>'6. Avg Nt Fix Ass &amp;UCC'!G78</f>
        <v>905.9849999999999</v>
      </c>
      <c r="P12" s="69"/>
      <c r="Q12" s="67"/>
      <c r="R12" s="66">
        <f>'6. Avg Nt Fix Ass &amp;UCC'!H78</f>
        <v>805.3199999999999</v>
      </c>
      <c r="S12" s="69"/>
      <c r="T12" s="67"/>
      <c r="U12" s="66">
        <f>'6. Avg Nt Fix Ass &amp;UCC'!I78</f>
        <v>0</v>
      </c>
      <c r="V12" s="69"/>
      <c r="W12" s="67"/>
    </row>
    <row r="13" spans="1:23" ht="12.75">
      <c r="A13" s="5"/>
      <c r="B13" s="62" t="s">
        <v>135</v>
      </c>
      <c r="C13" s="70">
        <f>SUM(C8:C12)</f>
        <v>0</v>
      </c>
      <c r="D13" s="69">
        <f>C13</f>
        <v>0</v>
      </c>
      <c r="E13" s="67"/>
      <c r="F13" s="70">
        <f>SUM(F8:F12)</f>
        <v>0</v>
      </c>
      <c r="G13" s="69">
        <f>F13</f>
        <v>0</v>
      </c>
      <c r="H13" s="67"/>
      <c r="I13" s="70">
        <f>SUM(I8:I12)</f>
        <v>0</v>
      </c>
      <c r="J13" s="69">
        <f>I13</f>
        <v>0</v>
      </c>
      <c r="K13" s="67"/>
      <c r="L13" s="70">
        <f>SUM(L8:L12)</f>
        <v>189254.32590000003</v>
      </c>
      <c r="M13" s="69">
        <f>L13</f>
        <v>189254.32590000003</v>
      </c>
      <c r="N13" s="67"/>
      <c r="O13" s="70">
        <f>SUM(O8:O12)</f>
        <v>362955.9526</v>
      </c>
      <c r="P13" s="69">
        <f>O13</f>
        <v>362955.9526</v>
      </c>
      <c r="Q13" s="67"/>
      <c r="R13" s="70">
        <f>SUM(R8:R12)</f>
        <v>331850.5542000001</v>
      </c>
      <c r="S13" s="69">
        <f>R13</f>
        <v>331850.5542000001</v>
      </c>
      <c r="T13" s="67"/>
      <c r="U13" s="70">
        <f>SUM(U8:U12)</f>
        <v>0</v>
      </c>
      <c r="V13" s="69">
        <f>U13</f>
        <v>0</v>
      </c>
      <c r="W13" s="67"/>
    </row>
    <row r="14" spans="1:23" ht="12.75">
      <c r="A14" s="5"/>
      <c r="B14" s="62"/>
      <c r="C14" s="71"/>
      <c r="D14" s="6"/>
      <c r="E14" s="67"/>
      <c r="F14" s="71"/>
      <c r="G14" s="6"/>
      <c r="H14" s="67"/>
      <c r="I14" s="71"/>
      <c r="J14" s="6"/>
      <c r="K14" s="67"/>
      <c r="L14" s="71"/>
      <c r="M14" s="6"/>
      <c r="N14" s="67"/>
      <c r="O14" s="71"/>
      <c r="P14" s="6"/>
      <c r="Q14" s="67"/>
      <c r="R14" s="71"/>
      <c r="S14" s="6"/>
      <c r="T14" s="67"/>
      <c r="U14" s="71"/>
      <c r="V14" s="6"/>
      <c r="W14" s="67"/>
    </row>
    <row r="15" spans="1:23" ht="18">
      <c r="A15" s="5"/>
      <c r="B15" s="28" t="s">
        <v>136</v>
      </c>
      <c r="C15" s="71"/>
      <c r="D15" s="6"/>
      <c r="E15" s="67"/>
      <c r="F15" s="71"/>
      <c r="G15" s="6"/>
      <c r="H15" s="67"/>
      <c r="I15" s="71"/>
      <c r="J15" s="6"/>
      <c r="K15" s="67"/>
      <c r="L15" s="71"/>
      <c r="M15" s="6"/>
      <c r="N15" s="67"/>
      <c r="O15" s="71"/>
      <c r="P15" s="6"/>
      <c r="Q15" s="67"/>
      <c r="R15" s="71"/>
      <c r="S15" s="6"/>
      <c r="T15" s="67"/>
      <c r="U15" s="71"/>
      <c r="V15" s="6"/>
      <c r="W15" s="67"/>
    </row>
    <row r="16" spans="1:23" ht="12.75">
      <c r="A16" s="5"/>
      <c r="B16" s="62" t="s">
        <v>118</v>
      </c>
      <c r="C16" s="72">
        <f>E31</f>
        <v>0</v>
      </c>
      <c r="D16" s="69"/>
      <c r="E16" s="73"/>
      <c r="F16" s="72">
        <f>H31</f>
        <v>0</v>
      </c>
      <c r="G16" s="69"/>
      <c r="H16" s="73"/>
      <c r="I16" s="72">
        <f>K31</f>
        <v>0</v>
      </c>
      <c r="J16" s="69"/>
      <c r="K16" s="73"/>
      <c r="L16" s="72">
        <f>N31</f>
        <v>48942.01</v>
      </c>
      <c r="M16" s="69"/>
      <c r="N16" s="73"/>
      <c r="O16" s="72">
        <f>Q31</f>
        <v>42558.72</v>
      </c>
      <c r="P16" s="69"/>
      <c r="Q16" s="67"/>
      <c r="R16" s="72">
        <f>T31</f>
        <v>42558.72</v>
      </c>
      <c r="S16" s="69"/>
      <c r="T16" s="67"/>
      <c r="U16" s="72">
        <f>W31</f>
        <v>0</v>
      </c>
      <c r="V16" s="69"/>
      <c r="W16" s="67"/>
    </row>
    <row r="17" spans="1:23" ht="12.75">
      <c r="A17" s="5"/>
      <c r="B17" s="62" t="str">
        <f>"Working Capital  %"</f>
        <v>Working Capital  %</v>
      </c>
      <c r="C17" s="72">
        <f>C16*'3.  LDC Assumptions and Data'!$C$20</f>
        <v>0</v>
      </c>
      <c r="D17" s="69">
        <f>C17</f>
        <v>0</v>
      </c>
      <c r="E17" s="73"/>
      <c r="F17" s="72">
        <f>F16*'3.  LDC Assumptions and Data'!$D$20</f>
        <v>0</v>
      </c>
      <c r="G17" s="69">
        <f>F17</f>
        <v>0</v>
      </c>
      <c r="H17" s="73"/>
      <c r="I17" s="72">
        <f>I16*'3.  LDC Assumptions and Data'!$E$20</f>
        <v>0</v>
      </c>
      <c r="J17" s="69">
        <f>I17</f>
        <v>0</v>
      </c>
      <c r="K17" s="73"/>
      <c r="L17" s="72">
        <f>L16*'3.  LDC Assumptions and Data'!$F$20</f>
        <v>7341.3015000000005</v>
      </c>
      <c r="M17" s="69">
        <f>L17</f>
        <v>7341.3015000000005</v>
      </c>
      <c r="N17" s="73"/>
      <c r="O17" s="72">
        <f>O16*'3.  LDC Assumptions and Data'!$G$20</f>
        <v>6383.808</v>
      </c>
      <c r="P17" s="69">
        <f>O17</f>
        <v>6383.808</v>
      </c>
      <c r="Q17" s="67"/>
      <c r="R17" s="72">
        <f>R16*'3.  LDC Assumptions and Data'!$H$20</f>
        <v>6383.808</v>
      </c>
      <c r="S17" s="69">
        <f>R17</f>
        <v>6383.808</v>
      </c>
      <c r="T17" s="67"/>
      <c r="U17" s="72">
        <f>U16*'3.  LDC Assumptions and Data'!$I$20</f>
        <v>0</v>
      </c>
      <c r="V17" s="69">
        <f>U17</f>
        <v>0</v>
      </c>
      <c r="W17" s="67"/>
    </row>
    <row r="18" spans="1:23" ht="12.75">
      <c r="A18" s="5"/>
      <c r="B18" s="62"/>
      <c r="C18" s="72"/>
      <c r="D18" s="69"/>
      <c r="E18" s="73"/>
      <c r="F18" s="72"/>
      <c r="G18" s="69"/>
      <c r="H18" s="73"/>
      <c r="I18" s="72"/>
      <c r="J18" s="69"/>
      <c r="K18" s="73"/>
      <c r="L18" s="72"/>
      <c r="M18" s="69"/>
      <c r="N18" s="73"/>
      <c r="O18" s="72"/>
      <c r="P18" s="69"/>
      <c r="Q18" s="67"/>
      <c r="R18" s="72"/>
      <c r="S18" s="69"/>
      <c r="T18" s="67"/>
      <c r="U18" s="72"/>
      <c r="V18" s="69"/>
      <c r="W18" s="67"/>
    </row>
    <row r="19" spans="1:23" ht="15.75">
      <c r="A19" s="5"/>
      <c r="B19" s="49" t="s">
        <v>137</v>
      </c>
      <c r="C19" s="72"/>
      <c r="D19" s="74">
        <f>SUM(D9:D17)</f>
        <v>0</v>
      </c>
      <c r="E19" s="73"/>
      <c r="F19" s="72"/>
      <c r="G19" s="74">
        <f>SUM(G9:G17)</f>
        <v>0</v>
      </c>
      <c r="H19" s="73"/>
      <c r="I19" s="72"/>
      <c r="J19" s="74">
        <f>SUM(J9:J17)</f>
        <v>0</v>
      </c>
      <c r="K19" s="73"/>
      <c r="L19" s="72"/>
      <c r="M19" s="74">
        <f>SUM(M9:M17)</f>
        <v>196595.62740000003</v>
      </c>
      <c r="N19" s="73"/>
      <c r="O19" s="72"/>
      <c r="P19" s="74">
        <f>SUM(P9:P17)</f>
        <v>369339.76060000004</v>
      </c>
      <c r="Q19" s="67"/>
      <c r="R19" s="72"/>
      <c r="S19" s="74">
        <f>SUM(S9:S17)</f>
        <v>338234.3622000001</v>
      </c>
      <c r="T19" s="67"/>
      <c r="U19" s="72"/>
      <c r="V19" s="74">
        <f>SUM(V9:V17)</f>
        <v>0</v>
      </c>
      <c r="W19" s="67"/>
    </row>
    <row r="20" spans="1:23" ht="12.75">
      <c r="A20" s="5"/>
      <c r="B20" s="62"/>
      <c r="C20" s="71"/>
      <c r="D20" s="6"/>
      <c r="E20" s="67"/>
      <c r="F20" s="71"/>
      <c r="G20" s="6"/>
      <c r="H20" s="67"/>
      <c r="I20" s="71"/>
      <c r="J20" s="6"/>
      <c r="K20" s="67"/>
      <c r="L20" s="71"/>
      <c r="M20" s="6"/>
      <c r="N20" s="67"/>
      <c r="O20" s="71"/>
      <c r="P20" s="6"/>
      <c r="Q20" s="67"/>
      <c r="R20" s="71"/>
      <c r="S20" s="6"/>
      <c r="T20" s="67"/>
      <c r="U20" s="71"/>
      <c r="V20" s="6"/>
      <c r="W20" s="67"/>
    </row>
    <row r="21" spans="1:23" ht="18">
      <c r="A21" s="5"/>
      <c r="B21" s="28" t="s">
        <v>119</v>
      </c>
      <c r="C21" s="71"/>
      <c r="D21" s="6"/>
      <c r="E21" s="67"/>
      <c r="F21" s="71"/>
      <c r="G21" s="6"/>
      <c r="H21" s="67"/>
      <c r="I21" s="71"/>
      <c r="J21" s="6"/>
      <c r="K21" s="67"/>
      <c r="L21" s="71"/>
      <c r="M21" s="6"/>
      <c r="N21" s="67"/>
      <c r="O21" s="71"/>
      <c r="P21" s="6"/>
      <c r="Q21" s="67"/>
      <c r="R21" s="71"/>
      <c r="S21" s="6"/>
      <c r="T21" s="67"/>
      <c r="U21" s="71"/>
      <c r="V21" s="6"/>
      <c r="W21" s="67"/>
    </row>
    <row r="22" spans="1:23" ht="12.75">
      <c r="A22" s="5"/>
      <c r="B22" s="62" t="s">
        <v>197</v>
      </c>
      <c r="C22" s="75">
        <f>'3.  LDC Assumptions and Data'!$C$14</f>
        <v>0.5</v>
      </c>
      <c r="D22" s="69">
        <f>D19*C22</f>
        <v>0</v>
      </c>
      <c r="E22" s="67"/>
      <c r="F22" s="75">
        <f>'3.  LDC Assumptions and Data'!$D$14</f>
        <v>0.5</v>
      </c>
      <c r="G22" s="69">
        <f>G19*F22</f>
        <v>0</v>
      </c>
      <c r="H22" s="67"/>
      <c r="I22" s="75">
        <f>'3.  LDC Assumptions and Data'!$E$14</f>
        <v>0.533</v>
      </c>
      <c r="J22" s="69">
        <f>J19*I22</f>
        <v>0</v>
      </c>
      <c r="K22" s="67"/>
      <c r="L22" s="75">
        <f>'3.  LDC Assumptions and Data'!$F$14</f>
        <v>0.567</v>
      </c>
      <c r="M22" s="69">
        <f>M19*L22</f>
        <v>111469.7207358</v>
      </c>
      <c r="N22" s="67"/>
      <c r="O22" s="75">
        <f>'3.  LDC Assumptions and Data'!$G$14</f>
        <v>0.6</v>
      </c>
      <c r="P22" s="69">
        <f>P19*O22</f>
        <v>221603.85636</v>
      </c>
      <c r="Q22" s="67"/>
      <c r="R22" s="75">
        <f>'3.  LDC Assumptions and Data'!$H$14</f>
        <v>0.6</v>
      </c>
      <c r="S22" s="69">
        <f>S19*R22</f>
        <v>202940.61732000005</v>
      </c>
      <c r="T22" s="67"/>
      <c r="U22" s="75">
        <f>'3.  LDC Assumptions and Data'!$I$14</f>
        <v>0.6</v>
      </c>
      <c r="V22" s="69">
        <f>V19*U22</f>
        <v>0</v>
      </c>
      <c r="W22" s="67"/>
    </row>
    <row r="23" spans="1:23" ht="12.75">
      <c r="A23" s="5"/>
      <c r="B23" s="62" t="s">
        <v>198</v>
      </c>
      <c r="C23" s="75">
        <f>'3.  LDC Assumptions and Data'!$C$15</f>
        <v>0.5</v>
      </c>
      <c r="D23" s="69">
        <f>D19*C23</f>
        <v>0</v>
      </c>
      <c r="E23" s="67"/>
      <c r="F23" s="75">
        <f>'3.  LDC Assumptions and Data'!$D$15</f>
        <v>0.5</v>
      </c>
      <c r="G23" s="69">
        <f>G19*F23</f>
        <v>0</v>
      </c>
      <c r="H23" s="67"/>
      <c r="I23" s="75">
        <f>'3.  LDC Assumptions and Data'!$E$15</f>
        <v>0.46699999999999997</v>
      </c>
      <c r="J23" s="69">
        <f>J19*I23</f>
        <v>0</v>
      </c>
      <c r="K23" s="67"/>
      <c r="L23" s="75">
        <f>'3.  LDC Assumptions and Data'!$F$15</f>
        <v>0.43300000000000005</v>
      </c>
      <c r="M23" s="69">
        <f>M19*L23</f>
        <v>85125.90666420003</v>
      </c>
      <c r="N23" s="67"/>
      <c r="O23" s="75">
        <f>'3.  LDC Assumptions and Data'!$G$15</f>
        <v>0.4</v>
      </c>
      <c r="P23" s="69">
        <f>P19*O23</f>
        <v>147735.90424000003</v>
      </c>
      <c r="Q23" s="67"/>
      <c r="R23" s="75">
        <f>'3.  LDC Assumptions and Data'!$H$15</f>
        <v>0.4</v>
      </c>
      <c r="S23" s="69">
        <f>S19*R23</f>
        <v>135293.74488000004</v>
      </c>
      <c r="T23" s="67"/>
      <c r="U23" s="75">
        <f>'3.  LDC Assumptions and Data'!$I$15</f>
        <v>0.4</v>
      </c>
      <c r="V23" s="69">
        <f>V19*U23</f>
        <v>0</v>
      </c>
      <c r="W23" s="67"/>
    </row>
    <row r="24" spans="1:23" ht="12.75">
      <c r="A24" s="5"/>
      <c r="B24" s="62"/>
      <c r="C24" s="76"/>
      <c r="D24" s="74">
        <f>SUM(D22:D23)</f>
        <v>0</v>
      </c>
      <c r="E24" s="67"/>
      <c r="F24" s="76"/>
      <c r="G24" s="74">
        <f>SUM(G22:G23)</f>
        <v>0</v>
      </c>
      <c r="H24" s="67"/>
      <c r="I24" s="76"/>
      <c r="J24" s="74">
        <f>SUM(J22:J23)</f>
        <v>0</v>
      </c>
      <c r="K24" s="67"/>
      <c r="L24" s="76"/>
      <c r="M24" s="74">
        <f>SUM(M22:M23)</f>
        <v>196595.62740000003</v>
      </c>
      <c r="N24" s="67"/>
      <c r="O24" s="76"/>
      <c r="P24" s="74">
        <f>SUM(P22:P23)</f>
        <v>369339.76060000004</v>
      </c>
      <c r="Q24" s="67"/>
      <c r="R24" s="76"/>
      <c r="S24" s="74">
        <f>SUM(S22:S23)</f>
        <v>338234.3622000001</v>
      </c>
      <c r="T24" s="67"/>
      <c r="U24" s="76"/>
      <c r="V24" s="74">
        <f>SUM(V22:V23)</f>
        <v>0</v>
      </c>
      <c r="W24" s="67"/>
    </row>
    <row r="25" spans="1:23" ht="12.75">
      <c r="A25" s="5"/>
      <c r="B25" s="62"/>
      <c r="C25" s="76"/>
      <c r="D25" s="6"/>
      <c r="E25" s="67"/>
      <c r="F25" s="76"/>
      <c r="G25" s="6"/>
      <c r="H25" s="67"/>
      <c r="I25" s="76"/>
      <c r="J25" s="6"/>
      <c r="K25" s="67"/>
      <c r="L25" s="76"/>
      <c r="M25" s="6"/>
      <c r="N25" s="67"/>
      <c r="O25" s="76"/>
      <c r="P25" s="6"/>
      <c r="Q25" s="67"/>
      <c r="R25" s="76"/>
      <c r="S25" s="6"/>
      <c r="T25" s="67"/>
      <c r="U25" s="76"/>
      <c r="V25" s="6"/>
      <c r="W25" s="67"/>
    </row>
    <row r="26" spans="1:23" ht="12.75">
      <c r="A26" s="5"/>
      <c r="B26" s="62" t="s">
        <v>199</v>
      </c>
      <c r="C26" s="75">
        <f>'3.  LDC Assumptions and Data'!$C$16</f>
        <v>0.05</v>
      </c>
      <c r="D26" s="69">
        <f>D22*C26</f>
        <v>0</v>
      </c>
      <c r="E26" s="73"/>
      <c r="F26" s="75">
        <f>'3.  LDC Assumptions and Data'!$D$16</f>
        <v>0.05</v>
      </c>
      <c r="G26" s="69">
        <f>G22*F26</f>
        <v>0</v>
      </c>
      <c r="H26" s="73"/>
      <c r="I26" s="75">
        <f>'3.  LDC Assumptions and Data'!$E$16</f>
        <v>0.05098968105065666</v>
      </c>
      <c r="J26" s="69">
        <f>J22*I26</f>
        <v>0</v>
      </c>
      <c r="K26" s="73"/>
      <c r="L26" s="75">
        <f>'3.  LDC Assumptions and Data'!$F$16</f>
        <v>0.05098968105065666</v>
      </c>
      <c r="M26" s="69">
        <f>M22*L26</f>
        <v>5683.8055071242115</v>
      </c>
      <c r="N26" s="73"/>
      <c r="O26" s="75">
        <f>'3.  LDC Assumptions and Data'!$G$16</f>
        <v>0.05098968105065666</v>
      </c>
      <c r="P26" s="69">
        <f>P22*O26</f>
        <v>11299.509955391934</v>
      </c>
      <c r="Q26" s="73"/>
      <c r="R26" s="75">
        <f>'3.  LDC Assumptions and Data'!$H$16</f>
        <v>0.05098968105065666</v>
      </c>
      <c r="S26" s="69">
        <f>S22*R26</f>
        <v>10347.877349370172</v>
      </c>
      <c r="T26" s="73"/>
      <c r="U26" s="75">
        <f>'3.  LDC Assumptions and Data'!$I$16</f>
        <v>0.05</v>
      </c>
      <c r="V26" s="69">
        <f>V22*U26</f>
        <v>0</v>
      </c>
      <c r="W26" s="73"/>
    </row>
    <row r="27" spans="1:23" ht="12.75">
      <c r="A27" s="5"/>
      <c r="B27" s="62" t="s">
        <v>200</v>
      </c>
      <c r="C27" s="75">
        <f>'3.  LDC Assumptions and Data'!$C$17</f>
        <v>0.09</v>
      </c>
      <c r="D27" s="69">
        <f>D23*C27</f>
        <v>0</v>
      </c>
      <c r="E27" s="73"/>
      <c r="F27" s="75">
        <f>'3.  LDC Assumptions and Data'!$D$17</f>
        <v>0.09</v>
      </c>
      <c r="G27" s="69">
        <f>G23*F27</f>
        <v>0</v>
      </c>
      <c r="H27" s="73"/>
      <c r="I27" s="75">
        <f>'3.  LDC Assumptions and Data'!$E$17</f>
        <v>0.0857</v>
      </c>
      <c r="J27" s="69">
        <f>J23*I27</f>
        <v>0</v>
      </c>
      <c r="K27" s="73"/>
      <c r="L27" s="75">
        <f>'3.  LDC Assumptions and Data'!$F$17</f>
        <v>0.0857</v>
      </c>
      <c r="M27" s="69">
        <f>M23*L27</f>
        <v>7295.290201121942</v>
      </c>
      <c r="N27" s="73"/>
      <c r="O27" s="75">
        <f>'3.  LDC Assumptions and Data'!$G$17</f>
        <v>0.0857</v>
      </c>
      <c r="P27" s="69">
        <f>P23*O27</f>
        <v>12660.966993368003</v>
      </c>
      <c r="Q27" s="73"/>
      <c r="R27" s="75">
        <f>'3.  LDC Assumptions and Data'!$H$17</f>
        <v>0.0857</v>
      </c>
      <c r="S27" s="69">
        <f>S23*R27</f>
        <v>11594.673936216004</v>
      </c>
      <c r="T27" s="73"/>
      <c r="U27" s="75">
        <f>'3.  LDC Assumptions and Data'!$I$17</f>
        <v>0.0857</v>
      </c>
      <c r="V27" s="69">
        <f>V23*U27</f>
        <v>0</v>
      </c>
      <c r="W27" s="73"/>
    </row>
    <row r="28" spans="1:23" ht="15.75">
      <c r="A28" s="5"/>
      <c r="B28" s="49" t="s">
        <v>119</v>
      </c>
      <c r="C28" s="71"/>
      <c r="D28" s="74">
        <f>SUM(D26:D27)</f>
        <v>0</v>
      </c>
      <c r="E28" s="73">
        <f>D28</f>
        <v>0</v>
      </c>
      <c r="F28" s="71"/>
      <c r="G28" s="74">
        <f>SUM(G26:G27)</f>
        <v>0</v>
      </c>
      <c r="H28" s="73">
        <f>G28</f>
        <v>0</v>
      </c>
      <c r="I28" s="71"/>
      <c r="J28" s="74">
        <f>SUM(J26:J27)</f>
        <v>0</v>
      </c>
      <c r="K28" s="73">
        <f>J28</f>
        <v>0</v>
      </c>
      <c r="L28" s="71"/>
      <c r="M28" s="74">
        <f>SUM(M26:M27)</f>
        <v>12979.095708246154</v>
      </c>
      <c r="N28" s="73">
        <f>M28</f>
        <v>12979.095708246154</v>
      </c>
      <c r="O28" s="71"/>
      <c r="P28" s="74">
        <f>SUM(P26:P27)</f>
        <v>23960.476948759937</v>
      </c>
      <c r="Q28" s="73">
        <f>P28</f>
        <v>23960.476948759937</v>
      </c>
      <c r="R28" s="71"/>
      <c r="S28" s="74">
        <f>SUM(S26:S27)</f>
        <v>21942.551285586174</v>
      </c>
      <c r="T28" s="73">
        <f>S28</f>
        <v>21942.551285586174</v>
      </c>
      <c r="U28" s="71"/>
      <c r="V28" s="74">
        <f>SUM(V26:V27)</f>
        <v>0</v>
      </c>
      <c r="W28" s="73">
        <f>V28</f>
        <v>0</v>
      </c>
    </row>
    <row r="29" spans="1:23" ht="15.75">
      <c r="A29" s="5"/>
      <c r="B29" s="49"/>
      <c r="C29" s="71"/>
      <c r="D29" s="68"/>
      <c r="E29" s="77"/>
      <c r="F29" s="71"/>
      <c r="G29" s="68"/>
      <c r="H29" s="77"/>
      <c r="I29" s="71"/>
      <c r="J29" s="68"/>
      <c r="K29" s="77"/>
      <c r="L29" s="71"/>
      <c r="M29" s="68"/>
      <c r="N29" s="77"/>
      <c r="O29" s="71"/>
      <c r="P29" s="68"/>
      <c r="Q29" s="77"/>
      <c r="R29" s="71"/>
      <c r="S29" s="68"/>
      <c r="T29" s="77"/>
      <c r="U29" s="71"/>
      <c r="V29" s="68"/>
      <c r="W29" s="77"/>
    </row>
    <row r="30" spans="1:23" ht="18">
      <c r="A30" s="5"/>
      <c r="B30" s="28" t="s">
        <v>120</v>
      </c>
      <c r="C30" s="71"/>
      <c r="D30" s="68"/>
      <c r="E30" s="77"/>
      <c r="F30" s="71"/>
      <c r="G30" s="68"/>
      <c r="H30" s="77"/>
      <c r="I30" s="71"/>
      <c r="J30" s="68"/>
      <c r="K30" s="77"/>
      <c r="L30" s="71"/>
      <c r="M30" s="68"/>
      <c r="N30" s="77"/>
      <c r="O30" s="71"/>
      <c r="P30" s="68"/>
      <c r="Q30" s="77"/>
      <c r="R30" s="71"/>
      <c r="S30" s="68"/>
      <c r="T30" s="77"/>
      <c r="U30" s="71"/>
      <c r="V30" s="68"/>
      <c r="W30" s="77"/>
    </row>
    <row r="31" spans="1:23" ht="12.75">
      <c r="A31" s="5"/>
      <c r="B31" s="54" t="s">
        <v>201</v>
      </c>
      <c r="C31" s="71"/>
      <c r="D31" s="69"/>
      <c r="E31" s="78">
        <f>'3.  LDC Assumptions and Data'!C43</f>
        <v>0</v>
      </c>
      <c r="F31" s="72"/>
      <c r="G31" s="69"/>
      <c r="H31" s="78">
        <f>'3.  LDC Assumptions and Data'!D43</f>
        <v>0</v>
      </c>
      <c r="I31" s="72"/>
      <c r="J31" s="69"/>
      <c r="K31" s="78">
        <f>'3.  LDC Assumptions and Data'!E43</f>
        <v>0</v>
      </c>
      <c r="L31" s="72"/>
      <c r="M31" s="69"/>
      <c r="N31" s="78">
        <f>'3.  LDC Assumptions and Data'!F43</f>
        <v>48942.01</v>
      </c>
      <c r="O31" s="72"/>
      <c r="P31" s="69"/>
      <c r="Q31" s="78">
        <f>'3.  LDC Assumptions and Data'!G43</f>
        <v>42558.72</v>
      </c>
      <c r="R31" s="72"/>
      <c r="S31" s="69"/>
      <c r="T31" s="78">
        <f>'3.  LDC Assumptions and Data'!H43</f>
        <v>42558.72</v>
      </c>
      <c r="U31" s="72"/>
      <c r="V31" s="69"/>
      <c r="W31" s="78">
        <f>'3.  LDC Assumptions and Data'!I43</f>
        <v>0</v>
      </c>
    </row>
    <row r="32" spans="1:23" ht="12.75">
      <c r="A32" s="5"/>
      <c r="B32" s="62"/>
      <c r="C32" s="71"/>
      <c r="D32" s="68"/>
      <c r="E32" s="77"/>
      <c r="F32" s="71"/>
      <c r="G32" s="68"/>
      <c r="H32" s="77"/>
      <c r="I32" s="71"/>
      <c r="J32" s="68"/>
      <c r="K32" s="77"/>
      <c r="L32" s="71"/>
      <c r="M32" s="68"/>
      <c r="N32" s="77"/>
      <c r="O32" s="71"/>
      <c r="P32" s="68"/>
      <c r="Q32" s="77"/>
      <c r="R32" s="71"/>
      <c r="S32" s="68"/>
      <c r="T32" s="77"/>
      <c r="U32" s="71"/>
      <c r="V32" s="68"/>
      <c r="W32" s="77"/>
    </row>
    <row r="33" spans="1:23" ht="18">
      <c r="A33" s="5"/>
      <c r="B33" s="28" t="s">
        <v>122</v>
      </c>
      <c r="C33" s="71"/>
      <c r="D33" s="68"/>
      <c r="E33" s="77"/>
      <c r="F33" s="71"/>
      <c r="G33" s="68"/>
      <c r="H33" s="77"/>
      <c r="I33" s="71"/>
      <c r="J33" s="68"/>
      <c r="K33" s="77"/>
      <c r="L33" s="71"/>
      <c r="M33" s="68"/>
      <c r="N33" s="77"/>
      <c r="O33" s="71"/>
      <c r="P33" s="68"/>
      <c r="Q33" s="77"/>
      <c r="R33" s="71"/>
      <c r="S33" s="68"/>
      <c r="T33" s="77"/>
      <c r="U33" s="71"/>
      <c r="V33" s="68"/>
      <c r="W33" s="77"/>
    </row>
    <row r="34" spans="1:23" ht="12.75">
      <c r="A34" s="5"/>
      <c r="B34" s="54" t="s">
        <v>138</v>
      </c>
      <c r="C34" s="71"/>
      <c r="D34" s="79">
        <f>SUM('6. Avg Nt Fix Ass &amp;UCC'!C13:C13)</f>
        <v>0</v>
      </c>
      <c r="E34" s="73"/>
      <c r="F34" s="72"/>
      <c r="G34" s="79">
        <f>SUM('6. Avg Nt Fix Ass &amp;UCC'!D13:D13)</f>
        <v>0</v>
      </c>
      <c r="H34" s="73"/>
      <c r="I34" s="72"/>
      <c r="J34" s="79">
        <f>SUM('6. Avg Nt Fix Ass &amp;UCC'!E13:E13)</f>
        <v>0</v>
      </c>
      <c r="K34" s="73"/>
      <c r="L34" s="72"/>
      <c r="M34" s="79">
        <f>SUM('6. Avg Nt Fix Ass &amp;UCC'!F13:F13)</f>
        <v>11901.551700000002</v>
      </c>
      <c r="N34" s="73"/>
      <c r="O34" s="72"/>
      <c r="P34" s="79">
        <f>SUM('6. Avg Nt Fix Ass &amp;UCC'!G13:G13)</f>
        <v>23803.103400000004</v>
      </c>
      <c r="Q34" s="73"/>
      <c r="R34" s="72"/>
      <c r="S34" s="79">
        <f>SUM('6. Avg Nt Fix Ass &amp;UCC'!H13:H13)</f>
        <v>23803.103400000004</v>
      </c>
      <c r="T34" s="73"/>
      <c r="U34" s="72"/>
      <c r="V34" s="79">
        <f>SUM('6. Avg Nt Fix Ass &amp;UCC'!I13:I13)</f>
        <v>0</v>
      </c>
      <c r="W34" s="73"/>
    </row>
    <row r="35" spans="1:23" ht="12.75">
      <c r="A35" s="5"/>
      <c r="B35" s="54" t="s">
        <v>139</v>
      </c>
      <c r="C35" s="71"/>
      <c r="D35" s="79">
        <f>SUM('6. Avg Nt Fix Ass &amp;UCC'!C28:C28)</f>
        <v>0</v>
      </c>
      <c r="E35" s="73"/>
      <c r="F35" s="72"/>
      <c r="G35" s="79">
        <f>SUM('6. Avg Nt Fix Ass &amp;UCC'!D28:D28)</f>
        <v>0</v>
      </c>
      <c r="H35" s="73"/>
      <c r="I35" s="72"/>
      <c r="J35" s="79">
        <f>SUM('6. Avg Nt Fix Ass &amp;UCC'!E28:E28)</f>
        <v>0</v>
      </c>
      <c r="K35" s="73"/>
      <c r="L35" s="72"/>
      <c r="M35" s="79">
        <f>SUM('6. Avg Nt Fix Ass &amp;UCC'!F28:F28)</f>
        <v>1285.968</v>
      </c>
      <c r="N35" s="73"/>
      <c r="O35" s="72"/>
      <c r="P35" s="79">
        <f>SUM('6. Avg Nt Fix Ass &amp;UCC'!G28:G28)</f>
        <v>2571.936</v>
      </c>
      <c r="Q35" s="73"/>
      <c r="R35" s="72"/>
      <c r="S35" s="79">
        <f>SUM('6. Avg Nt Fix Ass &amp;UCC'!H28:H28)</f>
        <v>2571.936</v>
      </c>
      <c r="T35" s="73"/>
      <c r="U35" s="72"/>
      <c r="V35" s="79">
        <f>SUM('6. Avg Nt Fix Ass &amp;UCC'!I28:I28)</f>
        <v>0</v>
      </c>
      <c r="W35" s="73"/>
    </row>
    <row r="36" spans="1:23" ht="12.75">
      <c r="A36" s="5"/>
      <c r="B36" s="54" t="s">
        <v>140</v>
      </c>
      <c r="C36" s="71"/>
      <c r="D36" s="79">
        <f>SUM('6. Avg Nt Fix Ass &amp;UCC'!C43:C43)</f>
        <v>0</v>
      </c>
      <c r="E36" s="73"/>
      <c r="F36" s="72"/>
      <c r="G36" s="79">
        <f>SUM('6. Avg Nt Fix Ass &amp;UCC'!D43:D43)</f>
        <v>0</v>
      </c>
      <c r="H36" s="73"/>
      <c r="I36" s="72"/>
      <c r="J36" s="79">
        <f>SUM('6. Avg Nt Fix Ass &amp;UCC'!E43:E43)</f>
        <v>0</v>
      </c>
      <c r="K36" s="73"/>
      <c r="L36" s="72"/>
      <c r="M36" s="79">
        <f>SUM('6. Avg Nt Fix Ass &amp;UCC'!F43:F43)</f>
        <v>2314.847</v>
      </c>
      <c r="N36" s="73"/>
      <c r="O36" s="72"/>
      <c r="P36" s="79">
        <f>SUM('6. Avg Nt Fix Ass &amp;UCC'!G43:G43)</f>
        <v>4629.694</v>
      </c>
      <c r="Q36" s="73"/>
      <c r="R36" s="72"/>
      <c r="S36" s="79">
        <f>SUM('6. Avg Nt Fix Ass &amp;UCC'!H43:H43)</f>
        <v>4629.694</v>
      </c>
      <c r="T36" s="73"/>
      <c r="U36" s="72"/>
      <c r="V36" s="79">
        <f>SUM('6. Avg Nt Fix Ass &amp;UCC'!I43:I43)</f>
        <v>0</v>
      </c>
      <c r="W36" s="73"/>
    </row>
    <row r="37" spans="1:23" ht="12.75">
      <c r="A37" s="5"/>
      <c r="B37" s="54" t="s">
        <v>141</v>
      </c>
      <c r="C37" s="71"/>
      <c r="D37" s="79">
        <f>SUM('6. Avg Nt Fix Ass &amp;UCC'!C58:C58)</f>
        <v>0</v>
      </c>
      <c r="E37" s="73"/>
      <c r="F37" s="72"/>
      <c r="G37" s="79">
        <f>SUM('6. Avg Nt Fix Ass &amp;UCC'!D58:D58)</f>
        <v>0</v>
      </c>
      <c r="H37" s="73"/>
      <c r="I37" s="72"/>
      <c r="J37" s="79">
        <f>SUM('6. Avg Nt Fix Ass &amp;UCC'!E58:E58)</f>
        <v>0</v>
      </c>
      <c r="K37" s="73"/>
      <c r="L37" s="72"/>
      <c r="M37" s="79">
        <f>SUM('6. Avg Nt Fix Ass &amp;UCC'!F58:F58)</f>
        <v>0</v>
      </c>
      <c r="N37" s="73"/>
      <c r="O37" s="72"/>
      <c r="P37" s="79">
        <f>SUM('6. Avg Nt Fix Ass &amp;UCC'!G58:G58)</f>
        <v>0</v>
      </c>
      <c r="Q37" s="73"/>
      <c r="R37" s="72"/>
      <c r="S37" s="79">
        <f>SUM('6. Avg Nt Fix Ass &amp;UCC'!H58:H58)</f>
        <v>0</v>
      </c>
      <c r="T37" s="73"/>
      <c r="U37" s="72"/>
      <c r="V37" s="79">
        <f>SUM('6. Avg Nt Fix Ass &amp;UCC'!I58:I58)</f>
        <v>0</v>
      </c>
      <c r="W37" s="73"/>
    </row>
    <row r="38" spans="1:23" ht="12.75">
      <c r="A38" s="5"/>
      <c r="B38" s="54" t="s">
        <v>142</v>
      </c>
      <c r="C38" s="71"/>
      <c r="D38" s="79">
        <f>SUM('6. Avg Nt Fix Ass &amp;UCC'!C73:C73)</f>
        <v>0</v>
      </c>
      <c r="E38" s="73"/>
      <c r="F38" s="72"/>
      <c r="G38" s="79">
        <f>SUM('6. Avg Nt Fix Ass &amp;UCC'!D73:D73)</f>
        <v>0</v>
      </c>
      <c r="H38" s="73"/>
      <c r="I38" s="72"/>
      <c r="J38" s="79">
        <f>SUM('6. Avg Nt Fix Ass &amp;UCC'!E73:E73)</f>
        <v>0</v>
      </c>
      <c r="K38" s="73"/>
      <c r="L38" s="72"/>
      <c r="M38" s="79">
        <f>SUM('6. Avg Nt Fix Ass &amp;UCC'!F73:F73)</f>
        <v>50.332499999999996</v>
      </c>
      <c r="N38" s="73"/>
      <c r="O38" s="72"/>
      <c r="P38" s="79">
        <f>SUM('6. Avg Nt Fix Ass &amp;UCC'!G73:G73)</f>
        <v>100.66499999999999</v>
      </c>
      <c r="Q38" s="73"/>
      <c r="R38" s="72"/>
      <c r="S38" s="79">
        <f>SUM('6. Avg Nt Fix Ass &amp;UCC'!H73:H73)</f>
        <v>100.66499999999999</v>
      </c>
      <c r="T38" s="73"/>
      <c r="U38" s="72"/>
      <c r="V38" s="79">
        <f>SUM('6. Avg Nt Fix Ass &amp;UCC'!I73:I73)</f>
        <v>0</v>
      </c>
      <c r="W38" s="73"/>
    </row>
    <row r="39" spans="1:23" ht="15.75">
      <c r="A39" s="5"/>
      <c r="B39" s="49" t="s">
        <v>143</v>
      </c>
      <c r="C39" s="71"/>
      <c r="D39" s="69"/>
      <c r="E39" s="80">
        <f>SUM(D34:D38)</f>
        <v>0</v>
      </c>
      <c r="F39" s="72"/>
      <c r="G39" s="69"/>
      <c r="H39" s="80">
        <f>SUM(G34:G38)</f>
        <v>0</v>
      </c>
      <c r="I39" s="72"/>
      <c r="J39" s="69"/>
      <c r="K39" s="80">
        <f>SUM(J34:J38)</f>
        <v>0</v>
      </c>
      <c r="L39" s="72"/>
      <c r="M39" s="69"/>
      <c r="N39" s="80">
        <f>SUM(M34:M38)</f>
        <v>15552.699200000003</v>
      </c>
      <c r="O39" s="72"/>
      <c r="P39" s="69"/>
      <c r="Q39" s="80">
        <f>SUM(P34:P38)</f>
        <v>31105.398400000005</v>
      </c>
      <c r="R39" s="72"/>
      <c r="S39" s="69"/>
      <c r="T39" s="80">
        <f>SUM(S34:S38)</f>
        <v>31105.398400000005</v>
      </c>
      <c r="U39" s="72"/>
      <c r="V39" s="69"/>
      <c r="W39" s="80">
        <f>SUM(V34:V38)</f>
        <v>0</v>
      </c>
    </row>
    <row r="40" spans="1:23" ht="12.75">
      <c r="A40" s="5"/>
      <c r="B40" s="62"/>
      <c r="C40" s="71"/>
      <c r="D40" s="69"/>
      <c r="E40" s="73"/>
      <c r="F40" s="71"/>
      <c r="G40" s="6"/>
      <c r="H40" s="81"/>
      <c r="I40" s="71"/>
      <c r="J40" s="6"/>
      <c r="K40" s="81"/>
      <c r="L40" s="71"/>
      <c r="M40" s="6"/>
      <c r="N40" s="81"/>
      <c r="O40" s="71"/>
      <c r="P40" s="6"/>
      <c r="Q40" s="81"/>
      <c r="R40" s="71"/>
      <c r="S40" s="6"/>
      <c r="T40" s="81"/>
      <c r="U40" s="71"/>
      <c r="V40" s="6"/>
      <c r="W40" s="81"/>
    </row>
    <row r="41" spans="1:23" ht="15.75">
      <c r="A41" s="5"/>
      <c r="B41" s="49" t="s">
        <v>123</v>
      </c>
      <c r="C41" s="71"/>
      <c r="D41" s="69"/>
      <c r="E41" s="82">
        <f>SUM(E28,E39,E31)</f>
        <v>0</v>
      </c>
      <c r="F41" s="72"/>
      <c r="G41" s="69"/>
      <c r="H41" s="82">
        <f>SUM(H28,H39,H31)</f>
        <v>0</v>
      </c>
      <c r="I41" s="72"/>
      <c r="J41" s="69"/>
      <c r="K41" s="82">
        <f>SUM(K28,K39,K31)</f>
        <v>0</v>
      </c>
      <c r="L41" s="72"/>
      <c r="M41" s="69"/>
      <c r="N41" s="82">
        <f>SUM(N28,N39,N31)</f>
        <v>77473.80490824615</v>
      </c>
      <c r="O41" s="72"/>
      <c r="P41" s="69"/>
      <c r="Q41" s="82">
        <f>SUM(Q28,Q39,Q31)</f>
        <v>97624.59534875995</v>
      </c>
      <c r="R41" s="72"/>
      <c r="S41" s="69"/>
      <c r="T41" s="82">
        <f>SUM(T28,T39,T31)</f>
        <v>95606.66968558618</v>
      </c>
      <c r="U41" s="72"/>
      <c r="V41" s="69"/>
      <c r="W41" s="82">
        <f>SUM(W28,W39,W31)</f>
        <v>0</v>
      </c>
    </row>
    <row r="42" spans="1:23" ht="15.75">
      <c r="A42" s="5"/>
      <c r="B42" s="49"/>
      <c r="C42" s="71"/>
      <c r="D42" s="69"/>
      <c r="E42" s="73"/>
      <c r="F42" s="72"/>
      <c r="G42" s="69"/>
      <c r="H42" s="73"/>
      <c r="I42" s="72"/>
      <c r="J42" s="69"/>
      <c r="K42" s="73"/>
      <c r="L42" s="72"/>
      <c r="M42" s="69"/>
      <c r="N42" s="73"/>
      <c r="O42" s="72"/>
      <c r="P42" s="69"/>
      <c r="Q42" s="73"/>
      <c r="R42" s="72"/>
      <c r="S42" s="69"/>
      <c r="T42" s="73"/>
      <c r="U42" s="72"/>
      <c r="V42" s="69"/>
      <c r="W42" s="73"/>
    </row>
    <row r="43" spans="1:23" ht="18">
      <c r="A43" s="5"/>
      <c r="B43" s="28" t="s">
        <v>144</v>
      </c>
      <c r="C43" s="71"/>
      <c r="D43" s="69"/>
      <c r="E43" s="73"/>
      <c r="F43" s="72"/>
      <c r="G43" s="69"/>
      <c r="H43" s="73"/>
      <c r="I43" s="72"/>
      <c r="J43" s="69"/>
      <c r="K43" s="73"/>
      <c r="L43" s="72"/>
      <c r="M43" s="69"/>
      <c r="N43" s="73"/>
      <c r="O43" s="72"/>
      <c r="P43" s="69"/>
      <c r="Q43" s="73"/>
      <c r="R43" s="72"/>
      <c r="S43" s="69"/>
      <c r="T43" s="73"/>
      <c r="U43" s="72"/>
      <c r="V43" s="69"/>
      <c r="W43" s="73"/>
    </row>
    <row r="44" spans="1:23" ht="12.75">
      <c r="A44" s="5"/>
      <c r="B44" s="54" t="s">
        <v>121</v>
      </c>
      <c r="C44" s="71"/>
      <c r="D44" s="69"/>
      <c r="E44" s="73">
        <f>-E31</f>
        <v>0</v>
      </c>
      <c r="F44" s="72"/>
      <c r="G44" s="69"/>
      <c r="H44" s="73">
        <f>-H31</f>
        <v>0</v>
      </c>
      <c r="I44" s="72"/>
      <c r="J44" s="69"/>
      <c r="K44" s="73">
        <f>-K31</f>
        <v>0</v>
      </c>
      <c r="L44" s="72"/>
      <c r="M44" s="69"/>
      <c r="N44" s="73">
        <f>-N31</f>
        <v>-48942.01</v>
      </c>
      <c r="O44" s="72"/>
      <c r="P44" s="69"/>
      <c r="Q44" s="73">
        <f>-Q31</f>
        <v>-42558.72</v>
      </c>
      <c r="R44" s="72"/>
      <c r="S44" s="69"/>
      <c r="T44" s="73">
        <f>-T31</f>
        <v>-42558.72</v>
      </c>
      <c r="U44" s="72"/>
      <c r="V44" s="69"/>
      <c r="W44" s="73">
        <f>-W31</f>
        <v>0</v>
      </c>
    </row>
    <row r="45" spans="1:23" ht="12.75">
      <c r="A45" s="5"/>
      <c r="B45" s="54" t="s">
        <v>145</v>
      </c>
      <c r="C45" s="71"/>
      <c r="D45" s="69"/>
      <c r="E45" s="73">
        <f>-E39</f>
        <v>0</v>
      </c>
      <c r="F45" s="72"/>
      <c r="G45" s="69"/>
      <c r="H45" s="73">
        <f>-H39</f>
        <v>0</v>
      </c>
      <c r="I45" s="72"/>
      <c r="J45" s="69"/>
      <c r="K45" s="73">
        <f>-K39</f>
        <v>0</v>
      </c>
      <c r="L45" s="72"/>
      <c r="M45" s="69"/>
      <c r="N45" s="73">
        <f>-N39</f>
        <v>-15552.699200000003</v>
      </c>
      <c r="O45" s="72"/>
      <c r="P45" s="69"/>
      <c r="Q45" s="73">
        <f>-Q39</f>
        <v>-31105.398400000005</v>
      </c>
      <c r="R45" s="72"/>
      <c r="S45" s="69"/>
      <c r="T45" s="73">
        <f>-T39</f>
        <v>-31105.398400000005</v>
      </c>
      <c r="U45" s="72"/>
      <c r="V45" s="69"/>
      <c r="W45" s="73">
        <f>-W39</f>
        <v>0</v>
      </c>
    </row>
    <row r="46" spans="1:23" ht="12.75">
      <c r="A46" s="5"/>
      <c r="B46" s="54" t="s">
        <v>146</v>
      </c>
      <c r="C46" s="71"/>
      <c r="D46" s="69"/>
      <c r="E46" s="73">
        <f>-D26</f>
        <v>0</v>
      </c>
      <c r="F46" s="72"/>
      <c r="G46" s="69"/>
      <c r="H46" s="73">
        <f>-G26</f>
        <v>0</v>
      </c>
      <c r="I46" s="72"/>
      <c r="J46" s="69"/>
      <c r="K46" s="73">
        <f>-J26</f>
        <v>0</v>
      </c>
      <c r="L46" s="72"/>
      <c r="M46" s="69"/>
      <c r="N46" s="73">
        <f>-M26</f>
        <v>-5683.8055071242115</v>
      </c>
      <c r="O46" s="72"/>
      <c r="P46" s="69"/>
      <c r="Q46" s="73">
        <f>-P26</f>
        <v>-11299.509955391934</v>
      </c>
      <c r="R46" s="72"/>
      <c r="S46" s="69"/>
      <c r="T46" s="73">
        <f>-S26</f>
        <v>-10347.877349370172</v>
      </c>
      <c r="U46" s="72"/>
      <c r="V46" s="69"/>
      <c r="W46" s="73">
        <f>-V26</f>
        <v>0</v>
      </c>
    </row>
    <row r="47" spans="1:23" ht="15.75">
      <c r="A47" s="5"/>
      <c r="B47" s="49" t="s">
        <v>147</v>
      </c>
      <c r="C47" s="71"/>
      <c r="D47" s="69"/>
      <c r="E47" s="83">
        <f>SUM(E41:E46)</f>
        <v>0</v>
      </c>
      <c r="F47" s="72"/>
      <c r="G47" s="69"/>
      <c r="H47" s="83">
        <f>SUM(H41:H46)</f>
        <v>0</v>
      </c>
      <c r="I47" s="72"/>
      <c r="J47" s="69"/>
      <c r="K47" s="83">
        <f>SUM(K41:K46)</f>
        <v>0</v>
      </c>
      <c r="L47" s="72"/>
      <c r="M47" s="69"/>
      <c r="N47" s="83">
        <f>SUM(N41:N46)</f>
        <v>7295.290201121935</v>
      </c>
      <c r="O47" s="72"/>
      <c r="P47" s="69"/>
      <c r="Q47" s="83">
        <f>SUM(Q41:Q46)</f>
        <v>12660.966993368007</v>
      </c>
      <c r="R47" s="72"/>
      <c r="S47" s="69"/>
      <c r="T47" s="83">
        <f>SUM(T41:T46)</f>
        <v>11594.673936216002</v>
      </c>
      <c r="U47" s="72"/>
      <c r="V47" s="69"/>
      <c r="W47" s="83">
        <f>SUM(W41:W46)</f>
        <v>0</v>
      </c>
    </row>
    <row r="48" spans="1:23" ht="15.75">
      <c r="A48" s="5"/>
      <c r="B48" s="49"/>
      <c r="C48" s="71"/>
      <c r="D48" s="69"/>
      <c r="E48" s="84"/>
      <c r="F48" s="72"/>
      <c r="G48" s="69"/>
      <c r="H48" s="84"/>
      <c r="I48" s="72"/>
      <c r="J48" s="69"/>
      <c r="K48" s="84"/>
      <c r="L48" s="72"/>
      <c r="M48" s="69"/>
      <c r="N48" s="84"/>
      <c r="O48" s="72"/>
      <c r="P48" s="69"/>
      <c r="Q48" s="84"/>
      <c r="R48" s="72"/>
      <c r="S48" s="69"/>
      <c r="T48" s="84"/>
      <c r="U48" s="72"/>
      <c r="V48" s="69"/>
      <c r="W48" s="84"/>
    </row>
    <row r="49" spans="1:23" ht="15.75">
      <c r="A49" s="5"/>
      <c r="B49" s="49" t="s">
        <v>202</v>
      </c>
      <c r="C49" s="71"/>
      <c r="D49" s="69"/>
      <c r="E49" s="78">
        <f>'5. PILs'!C42</f>
        <v>0</v>
      </c>
      <c r="F49" s="72"/>
      <c r="G49" s="69"/>
      <c r="H49" s="78">
        <f>'5. PILs'!D42</f>
        <v>0</v>
      </c>
      <c r="I49" s="72"/>
      <c r="J49" s="69"/>
      <c r="K49" s="78">
        <f>'5. PILs'!E42</f>
        <v>0</v>
      </c>
      <c r="L49" s="72"/>
      <c r="M49" s="69"/>
      <c r="N49" s="78">
        <f>'5. PILs'!F42</f>
        <v>71.85475549116066</v>
      </c>
      <c r="O49" s="72"/>
      <c r="P49" s="69"/>
      <c r="Q49" s="78">
        <f>'5. PILs'!G42</f>
        <v>712.5927054745162</v>
      </c>
      <c r="R49" s="72"/>
      <c r="S49" s="69"/>
      <c r="T49" s="78">
        <f>'5. PILs'!H42</f>
        <v>2059.2040226179947</v>
      </c>
      <c r="U49" s="72"/>
      <c r="V49" s="69"/>
      <c r="W49" s="78">
        <f>'5. PILs'!I42</f>
        <v>0</v>
      </c>
    </row>
    <row r="50" spans="1:23" ht="12.75">
      <c r="A50" s="5"/>
      <c r="B50" s="62"/>
      <c r="C50" s="71"/>
      <c r="D50" s="69"/>
      <c r="E50" s="84"/>
      <c r="F50" s="72"/>
      <c r="G50" s="69"/>
      <c r="H50" s="84"/>
      <c r="I50" s="72"/>
      <c r="J50" s="69"/>
      <c r="K50" s="84"/>
      <c r="L50" s="72"/>
      <c r="M50" s="69"/>
      <c r="N50" s="84"/>
      <c r="O50" s="72"/>
      <c r="P50" s="69"/>
      <c r="Q50" s="84"/>
      <c r="R50" s="72"/>
      <c r="S50" s="69"/>
      <c r="T50" s="84"/>
      <c r="U50" s="72"/>
      <c r="V50" s="69"/>
      <c r="W50" s="84"/>
    </row>
    <row r="51" spans="1:23" ht="12.75">
      <c r="A51" s="5"/>
      <c r="B51" s="62" t="str">
        <f>B41</f>
        <v>Revenue Requirement Before PILs</v>
      </c>
      <c r="C51" s="71"/>
      <c r="D51" s="69"/>
      <c r="E51" s="84">
        <f>E41</f>
        <v>0</v>
      </c>
      <c r="F51" s="72"/>
      <c r="G51" s="69"/>
      <c r="H51" s="84">
        <f>H41</f>
        <v>0</v>
      </c>
      <c r="I51" s="72"/>
      <c r="J51" s="69"/>
      <c r="K51" s="84">
        <f>K41</f>
        <v>0</v>
      </c>
      <c r="L51" s="72"/>
      <c r="M51" s="69"/>
      <c r="N51" s="84">
        <f>N41</f>
        <v>77473.80490824615</v>
      </c>
      <c r="O51" s="72"/>
      <c r="P51" s="69"/>
      <c r="Q51" s="84">
        <f>Q41</f>
        <v>97624.59534875995</v>
      </c>
      <c r="R51" s="72"/>
      <c r="S51" s="69"/>
      <c r="T51" s="84">
        <f>T41</f>
        <v>95606.66968558618</v>
      </c>
      <c r="U51" s="72"/>
      <c r="V51" s="69"/>
      <c r="W51" s="84">
        <f>W41</f>
        <v>0</v>
      </c>
    </row>
    <row r="52" spans="1:23" ht="12.75">
      <c r="A52" s="5"/>
      <c r="B52" s="62" t="s">
        <v>148</v>
      </c>
      <c r="C52" s="71"/>
      <c r="D52" s="69"/>
      <c r="E52" s="84">
        <f>E49</f>
        <v>0</v>
      </c>
      <c r="F52" s="72"/>
      <c r="G52" s="69"/>
      <c r="H52" s="84">
        <f>H49</f>
        <v>0</v>
      </c>
      <c r="I52" s="72"/>
      <c r="J52" s="69"/>
      <c r="K52" s="84">
        <f>K49</f>
        <v>0</v>
      </c>
      <c r="L52" s="72"/>
      <c r="M52" s="69"/>
      <c r="N52" s="84">
        <f>N49</f>
        <v>71.85475549116066</v>
      </c>
      <c r="O52" s="72"/>
      <c r="P52" s="69"/>
      <c r="Q52" s="84">
        <f>Q49</f>
        <v>712.5927054745162</v>
      </c>
      <c r="R52" s="72"/>
      <c r="S52" s="69"/>
      <c r="T52" s="84">
        <f>T49</f>
        <v>2059.2040226179947</v>
      </c>
      <c r="U52" s="72"/>
      <c r="V52" s="69"/>
      <c r="W52" s="84">
        <f>W49</f>
        <v>0</v>
      </c>
    </row>
    <row r="53" spans="1:23" ht="16.5" thickBot="1">
      <c r="A53" s="5"/>
      <c r="B53" s="49" t="s">
        <v>124</v>
      </c>
      <c r="C53" s="71"/>
      <c r="D53" s="69"/>
      <c r="E53" s="85">
        <f>SUM(E51:E52)</f>
        <v>0</v>
      </c>
      <c r="F53" s="72"/>
      <c r="G53" s="69"/>
      <c r="H53" s="85">
        <f>SUM(H51:H52)</f>
        <v>0</v>
      </c>
      <c r="I53" s="157" t="s">
        <v>249</v>
      </c>
      <c r="J53" s="69"/>
      <c r="K53" s="85">
        <f>SUM(K51:K52)</f>
        <v>0</v>
      </c>
      <c r="L53" s="157" t="s">
        <v>249</v>
      </c>
      <c r="M53" s="69"/>
      <c r="N53" s="85">
        <f>SUM(N51:N52)</f>
        <v>77545.65966373731</v>
      </c>
      <c r="O53" s="157" t="s">
        <v>249</v>
      </c>
      <c r="P53" s="69"/>
      <c r="Q53" s="85">
        <f>SUM(Q51:Q52)</f>
        <v>98337.18805423446</v>
      </c>
      <c r="R53" s="72"/>
      <c r="S53" s="69"/>
      <c r="T53" s="85">
        <f>SUM(T51:T52)</f>
        <v>97665.87370820418</v>
      </c>
      <c r="U53" s="72"/>
      <c r="V53" s="69"/>
      <c r="W53" s="85">
        <f>SUM(W51:W52)</f>
        <v>0</v>
      </c>
    </row>
    <row r="54" spans="1:23" ht="13.5" thickBot="1">
      <c r="A54" s="5"/>
      <c r="B54" s="62"/>
      <c r="C54" s="86"/>
      <c r="D54" s="88"/>
      <c r="E54" s="140"/>
      <c r="F54" s="87"/>
      <c r="G54" s="88"/>
      <c r="H54" s="140"/>
      <c r="I54" s="72"/>
      <c r="J54" s="88"/>
      <c r="K54" s="140"/>
      <c r="L54" s="72"/>
      <c r="M54" s="69"/>
      <c r="N54" s="73"/>
      <c r="O54" s="72"/>
      <c r="P54" s="69"/>
      <c r="Q54" s="73"/>
      <c r="R54" s="72"/>
      <c r="S54" s="69"/>
      <c r="T54" s="73"/>
      <c r="U54" s="72"/>
      <c r="V54" s="69"/>
      <c r="W54" s="73"/>
    </row>
    <row r="55" spans="1:15" ht="67.5" customHeight="1">
      <c r="A55" s="5"/>
      <c r="B55" s="62"/>
      <c r="C55" s="5"/>
      <c r="D55" s="5"/>
      <c r="E55" s="5"/>
      <c r="F55"/>
      <c r="G55" s="60"/>
      <c r="H55" s="155"/>
      <c r="K55" s="155"/>
      <c r="N55" s="155"/>
      <c r="O55" s="163"/>
    </row>
    <row r="56" spans="1:20" ht="12.75">
      <c r="A56" s="5"/>
      <c r="B56" s="5"/>
      <c r="C56" s="5"/>
      <c r="D56" s="5"/>
      <c r="E56" s="5"/>
      <c r="F56" s="5"/>
      <c r="G56" s="60"/>
      <c r="H56" s="152"/>
      <c r="K56" s="152"/>
      <c r="N56" s="152"/>
      <c r="O56" s="164"/>
      <c r="S56" s="134">
        <v>2009</v>
      </c>
      <c r="T56" s="183">
        <f>N53</f>
        <v>77545.65966373731</v>
      </c>
    </row>
    <row r="57" spans="1:20" ht="12.75">
      <c r="A57" s="5"/>
      <c r="B57" s="5"/>
      <c r="C57" s="5"/>
      <c r="D57" s="5"/>
      <c r="E57" s="5"/>
      <c r="F57" s="5"/>
      <c r="G57" s="60"/>
      <c r="H57" s="156"/>
      <c r="K57" s="156"/>
      <c r="N57" s="156"/>
      <c r="O57" s="163"/>
      <c r="S57" s="134">
        <v>2010</v>
      </c>
      <c r="T57" s="183">
        <f>Q53</f>
        <v>98337.18805423446</v>
      </c>
    </row>
    <row r="58" spans="1:20" ht="21.75" customHeight="1">
      <c r="A58" s="5"/>
      <c r="B58" s="5"/>
      <c r="C58" s="5"/>
      <c r="D58" s="5"/>
      <c r="E58" s="5"/>
      <c r="F58" s="5"/>
      <c r="G58" s="7"/>
      <c r="O58" s="163"/>
      <c r="S58" s="134">
        <v>2011</v>
      </c>
      <c r="T58" s="183">
        <f>T53</f>
        <v>97665.87370820418</v>
      </c>
    </row>
    <row r="59" spans="1:20" ht="45.75" customHeight="1">
      <c r="A59" s="5"/>
      <c r="B59" s="62"/>
      <c r="C59" s="5"/>
      <c r="D59" s="5"/>
      <c r="E59" s="5"/>
      <c r="F59" s="5"/>
      <c r="G59" s="60"/>
      <c r="H59" s="156"/>
      <c r="K59" s="156"/>
      <c r="N59" s="156"/>
      <c r="S59" s="134" t="s">
        <v>16</v>
      </c>
      <c r="T59" s="183">
        <f>SUM(T56:T58)</f>
        <v>273548.72142617597</v>
      </c>
    </row>
    <row r="60" ht="12.75">
      <c r="T60" s="183"/>
    </row>
    <row r="61" spans="19:20" ht="12.75">
      <c r="S61" s="184" t="s">
        <v>261</v>
      </c>
      <c r="T61" s="183">
        <f>'7. Funding Adder Collected'!G57</f>
        <v>31790.929025750007</v>
      </c>
    </row>
    <row r="62" ht="12.75">
      <c r="S62" s="184"/>
    </row>
    <row r="63" spans="19:21" ht="12.75">
      <c r="S63" s="184" t="s">
        <v>262</v>
      </c>
      <c r="T63" s="155">
        <f>T59-T61</f>
        <v>241757.79240042597</v>
      </c>
      <c r="U63" s="155">
        <f>T58</f>
        <v>97665.87370820418</v>
      </c>
    </row>
    <row r="64" ht="12.75">
      <c r="S64" s="184"/>
    </row>
    <row r="65" ht="12.75">
      <c r="S65" s="184"/>
    </row>
    <row r="66" spans="19:21" ht="12.75">
      <c r="S66" s="184" t="s">
        <v>263</v>
      </c>
      <c r="T66" s="7">
        <f>'2. Smart Meter Data'!F10</f>
        <v>1679</v>
      </c>
      <c r="U66" s="7">
        <f>T66</f>
        <v>1679</v>
      </c>
    </row>
    <row r="67" ht="12.75">
      <c r="S67" s="184"/>
    </row>
    <row r="68" spans="19:21" ht="12.75">
      <c r="S68" s="184" t="s">
        <v>264</v>
      </c>
      <c r="T68" s="7">
        <v>22</v>
      </c>
      <c r="U68" s="7">
        <v>12</v>
      </c>
    </row>
    <row r="69" ht="12.75">
      <c r="S69" s="184"/>
    </row>
    <row r="70" spans="19:21" ht="12.75">
      <c r="S70" s="184" t="s">
        <v>232</v>
      </c>
      <c r="T70" s="155">
        <f>T63/T66/T68</f>
        <v>6.544961622189235</v>
      </c>
      <c r="U70" s="155">
        <f>U63/U66/U68</f>
        <v>4.847422757008347</v>
      </c>
    </row>
  </sheetData>
  <sheetProtection formatColumns="0" selectLockedCells="1"/>
  <mergeCells count="15">
    <mergeCell ref="U6:W6"/>
    <mergeCell ref="U7:W7"/>
    <mergeCell ref="L7:N7"/>
    <mergeCell ref="O7:Q7"/>
    <mergeCell ref="R6:T6"/>
    <mergeCell ref="R7:T7"/>
    <mergeCell ref="L6:N6"/>
    <mergeCell ref="O6:Q6"/>
    <mergeCell ref="B1:D1"/>
    <mergeCell ref="C7:E7"/>
    <mergeCell ref="F7:H7"/>
    <mergeCell ref="I7:K7"/>
    <mergeCell ref="I6:K6"/>
    <mergeCell ref="C6:E6"/>
    <mergeCell ref="F6:H6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B14">
      <selection activeCell="C12" sqref="C12"/>
    </sheetView>
  </sheetViews>
  <sheetFormatPr defaultColWidth="9.140625" defaultRowHeight="12.75"/>
  <cols>
    <col min="1" max="1" width="16.28125" style="7" customWidth="1"/>
    <col min="2" max="2" width="33.00390625" style="7" bestFit="1" customWidth="1"/>
    <col min="3" max="4" width="13.28125" style="7" bestFit="1" customWidth="1"/>
    <col min="5" max="5" width="13.57421875" style="7" customWidth="1"/>
    <col min="6" max="6" width="13.8515625" style="7" customWidth="1"/>
    <col min="7" max="7" width="14.140625" style="7" customWidth="1"/>
    <col min="8" max="8" width="14.57421875" style="7" customWidth="1"/>
    <col min="9" max="9" width="15.28125" style="7" bestFit="1" customWidth="1"/>
    <col min="10" max="16384" width="9.140625" style="7" customWidth="1"/>
  </cols>
  <sheetData>
    <row r="1" spans="1:6" s="3" customFormat="1" ht="21" customHeight="1">
      <c r="A1" s="1"/>
      <c r="B1" s="196" t="s">
        <v>149</v>
      </c>
      <c r="C1" s="196"/>
      <c r="D1" s="196"/>
      <c r="E1" s="196"/>
      <c r="F1" s="1"/>
    </row>
    <row r="2" spans="1:7" s="3" customFormat="1" ht="6" customHeight="1">
      <c r="A2" s="27"/>
      <c r="B2" s="27"/>
      <c r="C2" s="27"/>
      <c r="D2" s="27"/>
      <c r="E2" s="27"/>
      <c r="F2" s="27"/>
      <c r="G2" s="27"/>
    </row>
    <row r="3" spans="1:6" ht="12.75">
      <c r="A3" s="5"/>
      <c r="B3" s="5"/>
      <c r="C3" s="5"/>
      <c r="D3" s="5"/>
      <c r="E3" s="5"/>
      <c r="F3" s="5"/>
    </row>
    <row r="4" spans="1:6" ht="26.25">
      <c r="A4" s="5"/>
      <c r="B4" s="61" t="s">
        <v>150</v>
      </c>
      <c r="C4" s="5"/>
      <c r="D4" s="5"/>
      <c r="E4" s="5"/>
      <c r="F4" s="5"/>
    </row>
    <row r="5" spans="1:6" ht="12.75">
      <c r="A5" s="5"/>
      <c r="B5" s="5"/>
      <c r="C5" s="5"/>
      <c r="D5" s="5"/>
      <c r="E5" s="5"/>
      <c r="F5" s="5"/>
    </row>
    <row r="6" spans="1:9" ht="12.75">
      <c r="A6" s="5"/>
      <c r="B6" s="5"/>
      <c r="C6" s="24">
        <f>'2. Smart Meter Data'!C4</f>
        <v>2006</v>
      </c>
      <c r="D6" s="24">
        <f>'2. Smart Meter Data'!D4</f>
        <v>2007</v>
      </c>
      <c r="E6" s="24">
        <f>'2. Smart Meter Data'!E4</f>
        <v>2008</v>
      </c>
      <c r="F6" s="24">
        <f>'2. Smart Meter Data'!F4</f>
        <v>2009</v>
      </c>
      <c r="G6" s="24">
        <f>'2. Smart Meter Data'!G4</f>
        <v>2010</v>
      </c>
      <c r="H6" s="24">
        <f>'2. Smart Meter Data'!H4</f>
        <v>2011</v>
      </c>
      <c r="I6" s="24" t="str">
        <f>'2. Smart Meter Data'!I4</f>
        <v>Later</v>
      </c>
    </row>
    <row r="7" spans="1:9" ht="12.75">
      <c r="A7" s="5"/>
      <c r="B7" s="34" t="s">
        <v>151</v>
      </c>
      <c r="C7" s="24" t="str">
        <f>'2. Smart Meter Data'!C5</f>
        <v>Actual</v>
      </c>
      <c r="D7" s="24" t="str">
        <f>'2. Smart Meter Data'!D5</f>
        <v>Actual</v>
      </c>
      <c r="E7" s="24" t="str">
        <f>'2. Smart Meter Data'!E5</f>
        <v>Actual</v>
      </c>
      <c r="F7" s="24" t="str">
        <f>'2. Smart Meter Data'!F5</f>
        <v>Actual</v>
      </c>
      <c r="G7" s="24" t="str">
        <f>'2. Smart Meter Data'!G5</f>
        <v>Forecasted</v>
      </c>
      <c r="H7" s="24" t="str">
        <f>'2. Smart Meter Data'!H5</f>
        <v>Forecasted</v>
      </c>
      <c r="I7" s="24" t="str">
        <f>'2. Smart Meter Data'!I5</f>
        <v>Forecasted</v>
      </c>
    </row>
    <row r="8" spans="1:9" ht="12.75">
      <c r="A8" s="5"/>
      <c r="B8" s="5" t="s">
        <v>152</v>
      </c>
      <c r="C8" s="90">
        <f>'4. Smart Meter Rev Req'!E47</f>
        <v>0</v>
      </c>
      <c r="D8" s="90">
        <f>'4. Smart Meter Rev Req'!H47</f>
        <v>0</v>
      </c>
      <c r="E8" s="90">
        <f>'4. Smart Meter Rev Req'!K47</f>
        <v>0</v>
      </c>
      <c r="F8" s="90">
        <f>'4. Smart Meter Rev Req'!N47</f>
        <v>7295.290201121935</v>
      </c>
      <c r="G8" s="90">
        <f>'4. Smart Meter Rev Req'!Q47</f>
        <v>12660.966993368007</v>
      </c>
      <c r="H8" s="90">
        <f>'4. Smart Meter Rev Req'!T47</f>
        <v>11594.673936216002</v>
      </c>
      <c r="I8" s="90">
        <f>'4. Smart Meter Rev Req'!S47</f>
        <v>0</v>
      </c>
    </row>
    <row r="9" spans="1:9" ht="12.75">
      <c r="A9" s="5"/>
      <c r="B9" s="5" t="s">
        <v>203</v>
      </c>
      <c r="C9" s="90">
        <f>-'4. Smart Meter Rev Req'!E45</f>
        <v>0</v>
      </c>
      <c r="D9" s="90">
        <f>-'4. Smart Meter Rev Req'!H45</f>
        <v>0</v>
      </c>
      <c r="E9" s="90">
        <f>-'4. Smart Meter Rev Req'!K45</f>
        <v>0</v>
      </c>
      <c r="F9" s="90">
        <f>-'4. Smart Meter Rev Req'!N45</f>
        <v>15552.699200000003</v>
      </c>
      <c r="G9" s="90">
        <f>-'4. Smart Meter Rev Req'!Q45</f>
        <v>31105.398400000005</v>
      </c>
      <c r="H9" s="90">
        <f>-'4. Smart Meter Rev Req'!T45</f>
        <v>31105.398400000005</v>
      </c>
      <c r="I9" s="90">
        <f>-'4. Smart Meter Rev Req'!S45</f>
        <v>0</v>
      </c>
    </row>
    <row r="10" spans="1:9" ht="12.75">
      <c r="A10" s="5"/>
      <c r="B10" s="5" t="s">
        <v>226</v>
      </c>
      <c r="C10" s="90">
        <f>-'6. Avg Nt Fix Ass &amp;UCC'!C93</f>
        <v>0</v>
      </c>
      <c r="D10" s="90">
        <f>-'6. Avg Nt Fix Ass &amp;UCC'!D93</f>
        <v>0</v>
      </c>
      <c r="E10" s="90">
        <f>-'6. Avg Nt Fix Ass &amp;UCC'!E93</f>
        <v>0</v>
      </c>
      <c r="F10" s="90">
        <f>-'6. Avg Nt Fix Ass &amp;UCC'!F93</f>
        <v>-14281.862040000002</v>
      </c>
      <c r="G10" s="90">
        <f>-'6. Avg Nt Fix Ass &amp;UCC'!G93</f>
        <v>-27421.175116800005</v>
      </c>
      <c r="H10" s="90">
        <f>-'6. Avg Nt Fix Ass &amp;UCC'!H93</f>
        <v>-25227.481107456006</v>
      </c>
      <c r="I10" s="90">
        <f>-'6. Avg Nt Fix Ass &amp;UCC'!I93</f>
        <v>0</v>
      </c>
    </row>
    <row r="11" spans="1:9" ht="12.75">
      <c r="A11" s="5"/>
      <c r="B11" s="5" t="s">
        <v>228</v>
      </c>
      <c r="C11" s="90">
        <f>-'6. Avg Nt Fix Ass &amp;UCC'!C107</f>
        <v>0</v>
      </c>
      <c r="D11" s="90">
        <f>-'6. Avg Nt Fix Ass &amp;UCC'!D107</f>
        <v>0</v>
      </c>
      <c r="E11" s="90">
        <f>-'6. Avg Nt Fix Ass &amp;UCC'!E107</f>
        <v>0</v>
      </c>
      <c r="F11" s="90">
        <f>-'6. Avg Nt Fix Ass &amp;UCC'!F107</f>
        <v>-8101.833750000001</v>
      </c>
      <c r="G11" s="90">
        <f>-'6. Avg Nt Fix Ass &amp;UCC'!G107</f>
        <v>-12557.8423125</v>
      </c>
      <c r="H11" s="90">
        <f>-'6. Avg Nt Fix Ass &amp;UCC'!H107</f>
        <v>-6906.813271874999</v>
      </c>
      <c r="I11" s="90">
        <f>-'6. Avg Nt Fix Ass &amp;UCC'!I107</f>
        <v>0</v>
      </c>
    </row>
    <row r="12" spans="1:9" ht="12.75">
      <c r="A12" s="5"/>
      <c r="B12" s="5" t="s">
        <v>227</v>
      </c>
      <c r="C12" s="90">
        <f>-'6. Avg Nt Fix Ass &amp;UCC'!C121</f>
        <v>0</v>
      </c>
      <c r="D12" s="90">
        <f>-'6. Avg Nt Fix Ass &amp;UCC'!D121</f>
        <v>0</v>
      </c>
      <c r="E12" s="90">
        <f>-'6. Avg Nt Fix Ass &amp;UCC'!E121</f>
        <v>0</v>
      </c>
      <c r="F12" s="90">
        <f>-'6. Avg Nt Fix Ass &amp;UCC'!F121</f>
        <v>-100.665</v>
      </c>
      <c r="G12" s="90">
        <f>-'6. Avg Nt Fix Ass &amp;UCC'!G121</f>
        <v>-181.197</v>
      </c>
      <c r="H12" s="90">
        <f>-'6. Avg Nt Fix Ass &amp;UCC'!H121</f>
        <v>-144.9576</v>
      </c>
      <c r="I12" s="90">
        <f>-'6. Avg Nt Fix Ass &amp;UCC'!I121</f>
        <v>0</v>
      </c>
    </row>
    <row r="13" spans="1:9" ht="12.75">
      <c r="A13" s="5"/>
      <c r="B13" s="5" t="s">
        <v>153</v>
      </c>
      <c r="C13" s="74">
        <f aca="true" t="shared" si="0" ref="C13:I13">SUM(C8:C12)</f>
        <v>0</v>
      </c>
      <c r="D13" s="74">
        <f t="shared" si="0"/>
        <v>0</v>
      </c>
      <c r="E13" s="74">
        <f t="shared" si="0"/>
        <v>0</v>
      </c>
      <c r="F13" s="74">
        <f t="shared" si="0"/>
        <v>363.62861112193417</v>
      </c>
      <c r="G13" s="74">
        <f t="shared" si="0"/>
        <v>3606.150964068005</v>
      </c>
      <c r="H13" s="74">
        <f t="shared" si="0"/>
        <v>10420.820356885002</v>
      </c>
      <c r="I13" s="74">
        <f t="shared" si="0"/>
        <v>0</v>
      </c>
    </row>
    <row r="14" spans="1:9" ht="12.75">
      <c r="A14" s="5"/>
      <c r="B14" s="5" t="s">
        <v>204</v>
      </c>
      <c r="C14" s="139">
        <f>'3.  LDC Assumptions and Data'!C23</f>
        <v>0.165</v>
      </c>
      <c r="D14" s="139">
        <f>'3.  LDC Assumptions and Data'!D23</f>
        <v>0.165</v>
      </c>
      <c r="E14" s="139">
        <f>'3.  LDC Assumptions and Data'!E23</f>
        <v>0.165</v>
      </c>
      <c r="F14" s="139">
        <f>'3.  LDC Assumptions and Data'!F23</f>
        <v>0.165</v>
      </c>
      <c r="G14" s="139">
        <f>'3.  LDC Assumptions and Data'!G23</f>
        <v>0.165</v>
      </c>
      <c r="H14" s="139">
        <f>'3.  LDC Assumptions and Data'!H23</f>
        <v>0.165</v>
      </c>
      <c r="I14" s="139">
        <f>'3.  LDC Assumptions and Data'!I23</f>
        <v>0.165</v>
      </c>
    </row>
    <row r="15" spans="1:9" ht="12.75">
      <c r="A15" s="5"/>
      <c r="B15" s="5" t="s">
        <v>154</v>
      </c>
      <c r="C15" s="74">
        <f aca="true" t="shared" si="1" ref="C15:I15">C13*C14</f>
        <v>0</v>
      </c>
      <c r="D15" s="74">
        <f t="shared" si="1"/>
        <v>0</v>
      </c>
      <c r="E15" s="74">
        <f t="shared" si="1"/>
        <v>0</v>
      </c>
      <c r="F15" s="74">
        <f t="shared" si="1"/>
        <v>59.998720835119144</v>
      </c>
      <c r="G15" s="74">
        <f t="shared" si="1"/>
        <v>595.0149090712209</v>
      </c>
      <c r="H15" s="74">
        <f t="shared" si="1"/>
        <v>1719.4353588860254</v>
      </c>
      <c r="I15" s="74">
        <f t="shared" si="1"/>
        <v>0</v>
      </c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34" t="s">
        <v>155</v>
      </c>
      <c r="C17" s="5"/>
      <c r="D17" s="5"/>
      <c r="E17" s="5"/>
      <c r="F17" s="5"/>
      <c r="G17" s="5"/>
    </row>
    <row r="18" spans="1:9" ht="12.75">
      <c r="A18" s="5"/>
      <c r="B18" s="62" t="s">
        <v>117</v>
      </c>
      <c r="C18" s="90">
        <f>'6. Avg Nt Fix Ass &amp;UCC'!C17</f>
        <v>0</v>
      </c>
      <c r="D18" s="90">
        <f>'6. Avg Nt Fix Ass &amp;UCC'!D17</f>
        <v>0</v>
      </c>
      <c r="E18" s="90">
        <f>'6. Avg Nt Fix Ass &amp;UCC'!E17</f>
        <v>0</v>
      </c>
      <c r="F18" s="90">
        <f>'6. Avg Nt Fix Ass &amp;UCC'!F17</f>
        <v>345144.9993</v>
      </c>
      <c r="G18" s="90">
        <f>'6. Avg Nt Fix Ass &amp;UCC'!G17</f>
        <v>321341.8959</v>
      </c>
      <c r="H18" s="90">
        <f>'6. Avg Nt Fix Ass &amp;UCC'!H17</f>
        <v>297538.79250000004</v>
      </c>
      <c r="I18" s="90">
        <f>'6. Avg Nt Fix Ass &amp;UCC'!I17</f>
        <v>0</v>
      </c>
    </row>
    <row r="19" spans="1:9" ht="12.75">
      <c r="A19" s="5"/>
      <c r="B19" s="62" t="s">
        <v>99</v>
      </c>
      <c r="C19" s="90">
        <f>'6. Avg Nt Fix Ass &amp;UCC'!C32</f>
        <v>0</v>
      </c>
      <c r="D19" s="90">
        <f>'6. Avg Nt Fix Ass &amp;UCC'!D32</f>
        <v>0</v>
      </c>
      <c r="E19" s="90">
        <f>'6. Avg Nt Fix Ass &amp;UCC'!E32</f>
        <v>0</v>
      </c>
      <c r="F19" s="90">
        <f>'6. Avg Nt Fix Ass &amp;UCC'!F32</f>
        <v>11573.712</v>
      </c>
      <c r="G19" s="90">
        <f>'6. Avg Nt Fix Ass &amp;UCC'!G32</f>
        <v>9001.776</v>
      </c>
      <c r="H19" s="90">
        <f>'6. Avg Nt Fix Ass &amp;UCC'!H32</f>
        <v>6429.84</v>
      </c>
      <c r="I19" s="90">
        <f>'6. Avg Nt Fix Ass &amp;UCC'!I32</f>
        <v>0</v>
      </c>
    </row>
    <row r="20" spans="1:9" ht="12.75">
      <c r="A20" s="5"/>
      <c r="B20" s="62" t="s">
        <v>100</v>
      </c>
      <c r="C20" s="79">
        <f>'6. Avg Nt Fix Ass &amp;UCC'!C47</f>
        <v>0</v>
      </c>
      <c r="D20" s="79">
        <f>'6. Avg Nt Fix Ass &amp;UCC'!D47</f>
        <v>0</v>
      </c>
      <c r="E20" s="79">
        <f>'6. Avg Nt Fix Ass &amp;UCC'!E47</f>
        <v>0</v>
      </c>
      <c r="F20" s="79">
        <f>'6. Avg Nt Fix Ass &amp;UCC'!F47</f>
        <v>20833.623</v>
      </c>
      <c r="G20" s="79">
        <f>'6. Avg Nt Fix Ass &amp;UCC'!G47</f>
        <v>16203.929</v>
      </c>
      <c r="H20" s="79">
        <f>'6. Avg Nt Fix Ass &amp;UCC'!H47</f>
        <v>11574.235</v>
      </c>
      <c r="I20" s="79">
        <f>'6. Avg Nt Fix Ass &amp;UCC'!I47</f>
        <v>0</v>
      </c>
    </row>
    <row r="21" spans="1:9" ht="12.75">
      <c r="A21" s="5"/>
      <c r="B21" s="62" t="s">
        <v>11</v>
      </c>
      <c r="C21" s="79">
        <f>'6. Avg Nt Fix Ass &amp;UCC'!C62</f>
        <v>0</v>
      </c>
      <c r="D21" s="79">
        <f>'6. Avg Nt Fix Ass &amp;UCC'!D62</f>
        <v>0</v>
      </c>
      <c r="E21" s="79">
        <f>'6. Avg Nt Fix Ass &amp;UCC'!E62</f>
        <v>0</v>
      </c>
      <c r="F21" s="79">
        <f>'6. Avg Nt Fix Ass &amp;UCC'!F62</f>
        <v>0</v>
      </c>
      <c r="G21" s="79">
        <f>'6. Avg Nt Fix Ass &amp;UCC'!G62</f>
        <v>0</v>
      </c>
      <c r="H21" s="79">
        <f>'6. Avg Nt Fix Ass &amp;UCC'!H62</f>
        <v>0</v>
      </c>
      <c r="I21" s="79">
        <f>'6. Avg Nt Fix Ass &amp;UCC'!I62</f>
        <v>0</v>
      </c>
    </row>
    <row r="22" spans="1:9" ht="12.75">
      <c r="A22" s="5"/>
      <c r="B22" s="62" t="s">
        <v>13</v>
      </c>
      <c r="C22" s="91">
        <f>'6. Avg Nt Fix Ass &amp;UCC'!C77</f>
        <v>0</v>
      </c>
      <c r="D22" s="91">
        <f>'6. Avg Nt Fix Ass &amp;UCC'!D77</f>
        <v>0</v>
      </c>
      <c r="E22" s="91">
        <f>'6. Avg Nt Fix Ass &amp;UCC'!E77</f>
        <v>0</v>
      </c>
      <c r="F22" s="91">
        <f>'6. Avg Nt Fix Ass &amp;UCC'!F77</f>
        <v>956.3175</v>
      </c>
      <c r="G22" s="91">
        <f>'6. Avg Nt Fix Ass &amp;UCC'!G77</f>
        <v>855.6524999999999</v>
      </c>
      <c r="H22" s="91">
        <f>'6. Avg Nt Fix Ass &amp;UCC'!H77</f>
        <v>754.9875</v>
      </c>
      <c r="I22" s="91">
        <f>'6. Avg Nt Fix Ass &amp;UCC'!I77</f>
        <v>0</v>
      </c>
    </row>
    <row r="23" spans="1:9" ht="12.75">
      <c r="A23" s="5"/>
      <c r="B23" s="5" t="s">
        <v>156</v>
      </c>
      <c r="C23" s="55">
        <f aca="true" t="shared" si="2" ref="C23:I23">SUM(C18:C20)</f>
        <v>0</v>
      </c>
      <c r="D23" s="55">
        <f t="shared" si="2"/>
        <v>0</v>
      </c>
      <c r="E23" s="55">
        <f t="shared" si="2"/>
        <v>0</v>
      </c>
      <c r="F23" s="55">
        <f t="shared" si="2"/>
        <v>377552.33430000005</v>
      </c>
      <c r="G23" s="55">
        <f t="shared" si="2"/>
        <v>346547.6009</v>
      </c>
      <c r="H23" s="55">
        <f t="shared" si="2"/>
        <v>315542.86750000005</v>
      </c>
      <c r="I23" s="55">
        <f t="shared" si="2"/>
        <v>0</v>
      </c>
    </row>
    <row r="24" spans="1:9" ht="12.75">
      <c r="A24" s="5"/>
      <c r="B24" s="5" t="s">
        <v>157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</row>
    <row r="25" spans="1:9" ht="12.75">
      <c r="A25" s="5"/>
      <c r="B25" s="5" t="s">
        <v>158</v>
      </c>
      <c r="C25" s="74">
        <f aca="true" t="shared" si="3" ref="C25:I25">C23-C24</f>
        <v>0</v>
      </c>
      <c r="D25" s="74">
        <f t="shared" si="3"/>
        <v>0</v>
      </c>
      <c r="E25" s="74">
        <f t="shared" si="3"/>
        <v>0</v>
      </c>
      <c r="F25" s="74">
        <f t="shared" si="3"/>
        <v>377552.33430000005</v>
      </c>
      <c r="G25" s="74">
        <f t="shared" si="3"/>
        <v>346547.6009</v>
      </c>
      <c r="H25" s="74">
        <f t="shared" si="3"/>
        <v>315542.86750000005</v>
      </c>
      <c r="I25" s="74">
        <f t="shared" si="3"/>
        <v>0</v>
      </c>
    </row>
    <row r="26" spans="1:9" ht="12.75">
      <c r="A26" s="5"/>
      <c r="B26" s="5" t="s">
        <v>159</v>
      </c>
      <c r="C26" s="92"/>
      <c r="D26" s="149"/>
      <c r="E26" s="149"/>
      <c r="F26" s="149"/>
      <c r="G26" s="149"/>
      <c r="H26" s="92"/>
      <c r="I26" s="92"/>
    </row>
    <row r="27" spans="1:9" ht="12.75">
      <c r="A27" s="5"/>
      <c r="B27" s="5" t="s">
        <v>160</v>
      </c>
      <c r="C27" s="74">
        <f aca="true" t="shared" si="4" ref="C27:I27">C25*C26</f>
        <v>0</v>
      </c>
      <c r="D27" s="74">
        <f t="shared" si="4"/>
        <v>0</v>
      </c>
      <c r="E27" s="74">
        <f t="shared" si="4"/>
        <v>0</v>
      </c>
      <c r="F27" s="74">
        <f t="shared" si="4"/>
        <v>0</v>
      </c>
      <c r="G27" s="74">
        <f t="shared" si="4"/>
        <v>0</v>
      </c>
      <c r="H27" s="74">
        <f t="shared" si="4"/>
        <v>0</v>
      </c>
      <c r="I27" s="74">
        <f t="shared" si="4"/>
        <v>0</v>
      </c>
    </row>
    <row r="28" spans="1:7" ht="12.75">
      <c r="A28" s="5"/>
      <c r="B28" s="5"/>
      <c r="C28" s="5"/>
      <c r="D28" s="5"/>
      <c r="E28" s="5"/>
      <c r="F28" s="5"/>
      <c r="G28" s="5"/>
    </row>
    <row r="29" spans="1:7" ht="12.75">
      <c r="A29" s="5"/>
      <c r="B29" s="5"/>
      <c r="C29" s="5"/>
      <c r="D29" s="5"/>
      <c r="E29" s="5"/>
      <c r="F29" s="5"/>
      <c r="G29" s="5"/>
    </row>
    <row r="30" spans="1:7" ht="15.75">
      <c r="A30" s="5"/>
      <c r="B30" s="93" t="s">
        <v>161</v>
      </c>
      <c r="C30" s="5"/>
      <c r="D30" s="5"/>
      <c r="E30" s="5"/>
      <c r="F30" s="5"/>
      <c r="G30" s="5"/>
    </row>
    <row r="31" spans="1:9" ht="12.75">
      <c r="A31" s="5"/>
      <c r="B31" s="5"/>
      <c r="C31" s="24" t="s">
        <v>162</v>
      </c>
      <c r="D31" s="24" t="s">
        <v>162</v>
      </c>
      <c r="E31" s="24" t="s">
        <v>162</v>
      </c>
      <c r="F31" s="24" t="s">
        <v>162</v>
      </c>
      <c r="G31" s="24" t="s">
        <v>162</v>
      </c>
      <c r="H31" s="24" t="s">
        <v>162</v>
      </c>
      <c r="I31" s="24" t="s">
        <v>162</v>
      </c>
    </row>
    <row r="32" spans="1:9" ht="12.75">
      <c r="A32" s="5"/>
      <c r="B32" s="5" t="s">
        <v>163</v>
      </c>
      <c r="C32" s="55">
        <f aca="true" t="shared" si="5" ref="C32:I32">C15</f>
        <v>0</v>
      </c>
      <c r="D32" s="55">
        <f t="shared" si="5"/>
        <v>0</v>
      </c>
      <c r="E32" s="55">
        <f t="shared" si="5"/>
        <v>0</v>
      </c>
      <c r="F32" s="55">
        <f t="shared" si="5"/>
        <v>59.998720835119144</v>
      </c>
      <c r="G32" s="55">
        <f t="shared" si="5"/>
        <v>595.0149090712209</v>
      </c>
      <c r="H32" s="55">
        <f t="shared" si="5"/>
        <v>1719.4353588860254</v>
      </c>
      <c r="I32" s="55">
        <f t="shared" si="5"/>
        <v>0</v>
      </c>
    </row>
    <row r="33" spans="1:9" ht="12.75">
      <c r="A33" s="5"/>
      <c r="B33" s="5" t="s">
        <v>164</v>
      </c>
      <c r="C33" s="55">
        <f aca="true" t="shared" si="6" ref="C33:I33">C27</f>
        <v>0</v>
      </c>
      <c r="D33" s="55">
        <f t="shared" si="6"/>
        <v>0</v>
      </c>
      <c r="E33" s="55">
        <f t="shared" si="6"/>
        <v>0</v>
      </c>
      <c r="F33" s="55">
        <f t="shared" si="6"/>
        <v>0</v>
      </c>
      <c r="G33" s="55">
        <f t="shared" si="6"/>
        <v>0</v>
      </c>
      <c r="H33" s="55">
        <f t="shared" si="6"/>
        <v>0</v>
      </c>
      <c r="I33" s="55">
        <f t="shared" si="6"/>
        <v>0</v>
      </c>
    </row>
    <row r="34" spans="1:9" ht="12.75">
      <c r="A34" s="5"/>
      <c r="B34" s="5" t="s">
        <v>165</v>
      </c>
      <c r="C34" s="74">
        <f aca="true" t="shared" si="7" ref="C34:I34">SUM(C32:C33)</f>
        <v>0</v>
      </c>
      <c r="D34" s="74">
        <f t="shared" si="7"/>
        <v>0</v>
      </c>
      <c r="E34" s="74">
        <f t="shared" si="7"/>
        <v>0</v>
      </c>
      <c r="F34" s="74">
        <f t="shared" si="7"/>
        <v>59.998720835119144</v>
      </c>
      <c r="G34" s="74">
        <f t="shared" si="7"/>
        <v>595.0149090712209</v>
      </c>
      <c r="H34" s="74">
        <f t="shared" si="7"/>
        <v>1719.4353588860254</v>
      </c>
      <c r="I34" s="74">
        <f t="shared" si="7"/>
        <v>0</v>
      </c>
    </row>
    <row r="35" ht="13.5" customHeight="1"/>
    <row r="36" spans="3:9" ht="12.75">
      <c r="C36" s="24" t="s">
        <v>161</v>
      </c>
      <c r="D36" s="24" t="s">
        <v>161</v>
      </c>
      <c r="E36" s="24" t="s">
        <v>161</v>
      </c>
      <c r="F36" s="24" t="s">
        <v>161</v>
      </c>
      <c r="G36" s="24" t="s">
        <v>161</v>
      </c>
      <c r="H36" s="24" t="s">
        <v>161</v>
      </c>
      <c r="I36" s="24" t="s">
        <v>161</v>
      </c>
    </row>
    <row r="37" spans="3:9" ht="12.75">
      <c r="C37" s="94">
        <f>C14</f>
        <v>0.165</v>
      </c>
      <c r="D37" s="94">
        <f aca="true" t="shared" si="8" ref="D37:I37">D14</f>
        <v>0.165</v>
      </c>
      <c r="E37" s="94">
        <f t="shared" si="8"/>
        <v>0.165</v>
      </c>
      <c r="F37" s="94">
        <f t="shared" si="8"/>
        <v>0.165</v>
      </c>
      <c r="G37" s="94">
        <f t="shared" si="8"/>
        <v>0.165</v>
      </c>
      <c r="H37" s="94">
        <f t="shared" si="8"/>
        <v>0.165</v>
      </c>
      <c r="I37" s="94">
        <f t="shared" si="8"/>
        <v>0.165</v>
      </c>
    </row>
    <row r="39" spans="3:9" ht="25.5">
      <c r="C39" s="95" t="s">
        <v>166</v>
      </c>
      <c r="D39" s="95" t="s">
        <v>166</v>
      </c>
      <c r="E39" s="95" t="s">
        <v>166</v>
      </c>
      <c r="F39" s="95" t="s">
        <v>166</v>
      </c>
      <c r="G39" s="95" t="s">
        <v>166</v>
      </c>
      <c r="H39" s="95" t="s">
        <v>166</v>
      </c>
      <c r="I39" s="95" t="s">
        <v>166</v>
      </c>
    </row>
    <row r="40" spans="2:9" ht="12.75">
      <c r="B40" s="5" t="s">
        <v>163</v>
      </c>
      <c r="C40" s="55">
        <f aca="true" t="shared" si="9" ref="C40:I40">C32/(1-C37)</f>
        <v>0</v>
      </c>
      <c r="D40" s="55">
        <f t="shared" si="9"/>
        <v>0</v>
      </c>
      <c r="E40" s="55">
        <f t="shared" si="9"/>
        <v>0</v>
      </c>
      <c r="F40" s="55">
        <f t="shared" si="9"/>
        <v>71.85475549116066</v>
      </c>
      <c r="G40" s="55">
        <f t="shared" si="9"/>
        <v>712.5927054745162</v>
      </c>
      <c r="H40" s="55">
        <f t="shared" si="9"/>
        <v>2059.2040226179947</v>
      </c>
      <c r="I40" s="55">
        <f t="shared" si="9"/>
        <v>0</v>
      </c>
    </row>
    <row r="41" spans="2:9" ht="12.75">
      <c r="B41" s="5" t="s">
        <v>164</v>
      </c>
      <c r="C41" s="55">
        <f aca="true" t="shared" si="10" ref="C41:I41">C33</f>
        <v>0</v>
      </c>
      <c r="D41" s="55">
        <f t="shared" si="10"/>
        <v>0</v>
      </c>
      <c r="E41" s="55">
        <f t="shared" si="10"/>
        <v>0</v>
      </c>
      <c r="F41" s="55">
        <f t="shared" si="10"/>
        <v>0</v>
      </c>
      <c r="G41" s="55">
        <f t="shared" si="10"/>
        <v>0</v>
      </c>
      <c r="H41" s="55">
        <f t="shared" si="10"/>
        <v>0</v>
      </c>
      <c r="I41" s="55">
        <f t="shared" si="10"/>
        <v>0</v>
      </c>
    </row>
    <row r="42" spans="2:9" ht="12.75">
      <c r="B42" s="5" t="s">
        <v>165</v>
      </c>
      <c r="C42" s="96">
        <f aca="true" t="shared" si="11" ref="C42:I42">SUM(C40:C41)</f>
        <v>0</v>
      </c>
      <c r="D42" s="96">
        <f t="shared" si="11"/>
        <v>0</v>
      </c>
      <c r="E42" s="96">
        <f t="shared" si="11"/>
        <v>0</v>
      </c>
      <c r="F42" s="96">
        <f t="shared" si="11"/>
        <v>71.85475549116066</v>
      </c>
      <c r="G42" s="96">
        <f t="shared" si="11"/>
        <v>712.5927054745162</v>
      </c>
      <c r="H42" s="96">
        <f t="shared" si="11"/>
        <v>2059.2040226179947</v>
      </c>
      <c r="I42" s="96">
        <f t="shared" si="11"/>
        <v>0</v>
      </c>
    </row>
  </sheetData>
  <sheetProtection formatColumns="0" selectLockedCells="1"/>
  <mergeCells count="1">
    <mergeCell ref="B1:E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15">
      <selection activeCell="C12" sqref="C12"/>
    </sheetView>
  </sheetViews>
  <sheetFormatPr defaultColWidth="9.140625" defaultRowHeight="12.75"/>
  <cols>
    <col min="1" max="1" width="16.57421875" style="7" customWidth="1"/>
    <col min="2" max="2" width="75.28125" style="7" bestFit="1" customWidth="1"/>
    <col min="3" max="7" width="15.00390625" style="7" bestFit="1" customWidth="1"/>
    <col min="8" max="8" width="14.7109375" style="7" customWidth="1"/>
    <col min="9" max="16384" width="9.140625" style="7" customWidth="1"/>
  </cols>
  <sheetData>
    <row r="1" spans="1:9" s="3" customFormat="1" ht="21" customHeight="1">
      <c r="A1" s="1"/>
      <c r="B1" s="195" t="s">
        <v>220</v>
      </c>
      <c r="C1" s="195"/>
      <c r="D1" s="195"/>
      <c r="E1" s="195"/>
      <c r="F1" s="26"/>
      <c r="G1" s="26"/>
      <c r="H1" s="1"/>
      <c r="I1" s="1"/>
    </row>
    <row r="2" spans="1:9" s="3" customFormat="1" ht="6" customHeight="1">
      <c r="A2" s="27"/>
      <c r="B2" s="27"/>
      <c r="C2" s="27"/>
      <c r="D2" s="27"/>
      <c r="E2" s="27"/>
      <c r="F2" s="27"/>
      <c r="G2" s="1"/>
      <c r="H2" s="1"/>
      <c r="I2" s="1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26.25">
      <c r="A4" s="5"/>
      <c r="B4" s="61" t="s">
        <v>167</v>
      </c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24">
        <f>'2. Smart Meter Data'!C4</f>
        <v>2006</v>
      </c>
      <c r="D5" s="24">
        <f>'2. Smart Meter Data'!D4</f>
        <v>2007</v>
      </c>
      <c r="E5" s="24">
        <f>'2. Smart Meter Data'!E4</f>
        <v>2008</v>
      </c>
      <c r="F5" s="24">
        <f>'2. Smart Meter Data'!F4</f>
        <v>2009</v>
      </c>
      <c r="G5" s="24">
        <f>'2. Smart Meter Data'!G4</f>
        <v>2010</v>
      </c>
      <c r="H5" s="24">
        <f>'2. Smart Meter Data'!H4</f>
        <v>2011</v>
      </c>
      <c r="I5" s="5"/>
    </row>
    <row r="6" spans="1:9" ht="18">
      <c r="A6" s="5"/>
      <c r="B6" s="28" t="s">
        <v>168</v>
      </c>
      <c r="C6" s="24" t="str">
        <f>'2. Smart Meter Data'!C5</f>
        <v>Actual</v>
      </c>
      <c r="D6" s="24" t="str">
        <f>'2. Smart Meter Data'!D5</f>
        <v>Actual</v>
      </c>
      <c r="E6" s="24" t="str">
        <f>'2. Smart Meter Data'!E5</f>
        <v>Actual</v>
      </c>
      <c r="F6" s="24" t="str">
        <f>'2. Smart Meter Data'!F5</f>
        <v>Actual</v>
      </c>
      <c r="G6" s="24" t="str">
        <f>'2. Smart Meter Data'!G5</f>
        <v>Forecasted</v>
      </c>
      <c r="H6" s="24" t="str">
        <f>'2. Smart Meter Data'!H5</f>
        <v>Forecasted</v>
      </c>
      <c r="I6" s="97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 t="s">
        <v>169</v>
      </c>
      <c r="C8" s="74">
        <v>0</v>
      </c>
      <c r="D8" s="74">
        <f>C10</f>
        <v>0</v>
      </c>
      <c r="E8" s="74">
        <f>D10</f>
        <v>0</v>
      </c>
      <c r="F8" s="74">
        <f>E10</f>
        <v>0</v>
      </c>
      <c r="G8" s="74">
        <f>F10</f>
        <v>357046.55100000004</v>
      </c>
      <c r="H8" s="74">
        <f>G10</f>
        <v>357046.55100000004</v>
      </c>
      <c r="I8" s="5"/>
    </row>
    <row r="9" spans="1:9" ht="12.75">
      <c r="A9" s="5"/>
      <c r="B9" s="5" t="s">
        <v>205</v>
      </c>
      <c r="C9" s="79">
        <f>'3.  LDC Assumptions and Data'!C28</f>
        <v>0</v>
      </c>
      <c r="D9" s="79">
        <f>'3.  LDC Assumptions and Data'!D28</f>
        <v>0</v>
      </c>
      <c r="E9" s="79">
        <f>'3.  LDC Assumptions and Data'!E28</f>
        <v>0</v>
      </c>
      <c r="F9" s="79">
        <f>'3.  LDC Assumptions and Data'!F28</f>
        <v>357046.55100000004</v>
      </c>
      <c r="G9" s="79">
        <f>'3.  LDC Assumptions and Data'!G28</f>
        <v>0</v>
      </c>
      <c r="H9" s="79">
        <f>'3.  LDC Assumptions and Data'!H28</f>
        <v>0</v>
      </c>
      <c r="I9" s="5"/>
    </row>
    <row r="10" spans="1:9" ht="12.75">
      <c r="A10" s="5"/>
      <c r="B10" s="5" t="s">
        <v>170</v>
      </c>
      <c r="C10" s="74">
        <f aca="true" t="shared" si="0" ref="C10:H10">SUM(C8:C9)</f>
        <v>0</v>
      </c>
      <c r="D10" s="74">
        <f t="shared" si="0"/>
        <v>0</v>
      </c>
      <c r="E10" s="74">
        <f t="shared" si="0"/>
        <v>0</v>
      </c>
      <c r="F10" s="74">
        <f t="shared" si="0"/>
        <v>357046.55100000004</v>
      </c>
      <c r="G10" s="74">
        <f t="shared" si="0"/>
        <v>357046.55100000004</v>
      </c>
      <c r="H10" s="74">
        <f t="shared" si="0"/>
        <v>357046.55100000004</v>
      </c>
      <c r="I10" s="5"/>
    </row>
    <row r="11" spans="1:9" ht="12.75">
      <c r="A11" s="5"/>
      <c r="B11" s="5"/>
      <c r="C11" s="68"/>
      <c r="D11" s="68"/>
      <c r="E11" s="68"/>
      <c r="F11" s="68"/>
      <c r="G11" s="68"/>
      <c r="H11" s="5"/>
      <c r="I11" s="5"/>
    </row>
    <row r="12" spans="1:9" ht="12.75">
      <c r="A12" s="5"/>
      <c r="B12" s="5" t="s">
        <v>171</v>
      </c>
      <c r="C12" s="74">
        <v>0</v>
      </c>
      <c r="D12" s="74">
        <f>C14</f>
        <v>0</v>
      </c>
      <c r="E12" s="74">
        <f>D14</f>
        <v>0</v>
      </c>
      <c r="F12" s="74">
        <f>E14</f>
        <v>0</v>
      </c>
      <c r="G12" s="74">
        <f>F14</f>
        <v>11901.551700000002</v>
      </c>
      <c r="H12" s="74">
        <f>G14</f>
        <v>35704.6551</v>
      </c>
      <c r="I12" s="5"/>
    </row>
    <row r="13" spans="1:9" ht="12.75">
      <c r="A13" s="5"/>
      <c r="B13" s="5" t="str">
        <f>"Amortization ("&amp;'3.  LDC Assumptions and Data'!C57&amp;" Years  Straight Line)"</f>
        <v>Amortization (15 Years  Straight Line)</v>
      </c>
      <c r="C13" s="55">
        <f>IF(C12+(C8/'3.  LDC Assumptions and Data'!C57)+(C9/'3.  LDC Assumptions and Data'!C57/2)&lt;C10,(C8/'3.  LDC Assumptions and Data'!C57)+(C9/'3.  LDC Assumptions and Data'!C57/2),C10-C12)</f>
        <v>0</v>
      </c>
      <c r="D13" s="55">
        <f>IF(D12+(D8/'3.  LDC Assumptions and Data'!D57)+(D9/'3.  LDC Assumptions and Data'!D57/2)&lt;D10,(D8/'3.  LDC Assumptions and Data'!D57)+(D9/'3.  LDC Assumptions and Data'!D57/2),D10-D12)</f>
        <v>0</v>
      </c>
      <c r="E13" s="55">
        <f>IF(E12+(E8/'3.  LDC Assumptions and Data'!E57)+(E9/'3.  LDC Assumptions and Data'!E57/2)&lt;E10,(E8/'3.  LDC Assumptions and Data'!E57)+(E9/'3.  LDC Assumptions and Data'!E57/2),E10-E12)</f>
        <v>0</v>
      </c>
      <c r="F13" s="55">
        <f>IF(F12+(F8/'3.  LDC Assumptions and Data'!F57)+(F9/'3.  LDC Assumptions and Data'!F57/2)&lt;F10,(F8/'3.  LDC Assumptions and Data'!F57)+(F9/'3.  LDC Assumptions and Data'!F57/2),F10-F12)</f>
        <v>11901.551700000002</v>
      </c>
      <c r="G13" s="55">
        <f>IF(G12+(G8/'3.  LDC Assumptions and Data'!G57)+(G9/'3.  LDC Assumptions and Data'!G57/2)&lt;G10,(G8/'3.  LDC Assumptions and Data'!G57)+(G9/'3.  LDC Assumptions and Data'!G57/2),G10-G12)</f>
        <v>23803.103400000004</v>
      </c>
      <c r="H13" s="55">
        <f>IF(H12+(H8/'3.  LDC Assumptions and Data'!H57)+(H9/'3.  LDC Assumptions and Data'!H57/2)&lt;H10,(H8/'3.  LDC Assumptions and Data'!H57)+(H9/'3.  LDC Assumptions and Data'!H57/2),H10-H12)</f>
        <v>23803.103400000004</v>
      </c>
      <c r="I13" s="5"/>
    </row>
    <row r="14" spans="1:9" ht="12.75">
      <c r="A14" s="5"/>
      <c r="B14" s="5" t="s">
        <v>172</v>
      </c>
      <c r="C14" s="74">
        <f aca="true" t="shared" si="1" ref="C14:H14">SUM(C12:C13)</f>
        <v>0</v>
      </c>
      <c r="D14" s="74">
        <f t="shared" si="1"/>
        <v>0</v>
      </c>
      <c r="E14" s="74">
        <f t="shared" si="1"/>
        <v>0</v>
      </c>
      <c r="F14" s="74">
        <f t="shared" si="1"/>
        <v>11901.551700000002</v>
      </c>
      <c r="G14" s="74">
        <f t="shared" si="1"/>
        <v>35704.6551</v>
      </c>
      <c r="H14" s="74">
        <f t="shared" si="1"/>
        <v>59507.75850000001</v>
      </c>
      <c r="I14" s="5"/>
    </row>
    <row r="15" spans="1:9" ht="12.75">
      <c r="A15" s="5"/>
      <c r="B15" s="5"/>
      <c r="H15" s="5"/>
      <c r="I15" s="5"/>
    </row>
    <row r="16" spans="1:9" ht="16.5" customHeight="1">
      <c r="A16" s="5"/>
      <c r="B16" s="5" t="s">
        <v>173</v>
      </c>
      <c r="C16" s="55">
        <f>0</f>
        <v>0</v>
      </c>
      <c r="D16" s="55">
        <f>0</f>
        <v>0</v>
      </c>
      <c r="E16" s="55">
        <f>0</f>
        <v>0</v>
      </c>
      <c r="F16" s="55">
        <f>E17</f>
        <v>0</v>
      </c>
      <c r="G16" s="55">
        <f>F17</f>
        <v>345144.9993</v>
      </c>
      <c r="H16" s="55">
        <f>G17</f>
        <v>321341.8959</v>
      </c>
      <c r="I16" s="5"/>
    </row>
    <row r="17" spans="1:8" ht="12.75">
      <c r="A17" s="5"/>
      <c r="B17" s="5" t="s">
        <v>174</v>
      </c>
      <c r="C17" s="74">
        <f aca="true" t="shared" si="2" ref="C17:H17">C10-C14</f>
        <v>0</v>
      </c>
      <c r="D17" s="74">
        <f t="shared" si="2"/>
        <v>0</v>
      </c>
      <c r="E17" s="74">
        <f t="shared" si="2"/>
        <v>0</v>
      </c>
      <c r="F17" s="74">
        <f t="shared" si="2"/>
        <v>345144.9993</v>
      </c>
      <c r="G17" s="74">
        <f t="shared" si="2"/>
        <v>321341.8959</v>
      </c>
      <c r="H17" s="74">
        <f t="shared" si="2"/>
        <v>297538.79250000004</v>
      </c>
    </row>
    <row r="18" spans="1:8" ht="13.5" thickBot="1">
      <c r="A18" s="5"/>
      <c r="B18" s="5" t="s">
        <v>175</v>
      </c>
      <c r="C18" s="99">
        <f aca="true" t="shared" si="3" ref="C18:H18">(C17+C16)/2</f>
        <v>0</v>
      </c>
      <c r="D18" s="99">
        <f t="shared" si="3"/>
        <v>0</v>
      </c>
      <c r="E18" s="99">
        <f t="shared" si="3"/>
        <v>0</v>
      </c>
      <c r="F18" s="99">
        <f t="shared" si="3"/>
        <v>172572.49965</v>
      </c>
      <c r="G18" s="99">
        <f t="shared" si="3"/>
        <v>333243.4476</v>
      </c>
      <c r="H18" s="99">
        <f t="shared" si="3"/>
        <v>309440.34420000005</v>
      </c>
    </row>
    <row r="19" spans="1:8" ht="12.75">
      <c r="A19" s="5"/>
      <c r="B19" s="5"/>
      <c r="C19" s="69"/>
      <c r="D19" s="69"/>
      <c r="E19" s="69"/>
      <c r="F19" s="69"/>
      <c r="G19" s="69"/>
      <c r="H19" s="69"/>
    </row>
    <row r="20" spans="1:9" ht="12.75">
      <c r="A20" s="5"/>
      <c r="B20" s="5"/>
      <c r="C20" s="24">
        <f aca="true" t="shared" si="4" ref="C20:H21">C5</f>
        <v>2006</v>
      </c>
      <c r="D20" s="24">
        <f t="shared" si="4"/>
        <v>2007</v>
      </c>
      <c r="E20" s="24">
        <f t="shared" si="4"/>
        <v>2008</v>
      </c>
      <c r="F20" s="24">
        <f t="shared" si="4"/>
        <v>2009</v>
      </c>
      <c r="G20" s="24">
        <f t="shared" si="4"/>
        <v>2010</v>
      </c>
      <c r="H20" s="24">
        <f t="shared" si="4"/>
        <v>2011</v>
      </c>
      <c r="I20" s="5"/>
    </row>
    <row r="21" spans="1:9" ht="18">
      <c r="A21" s="5"/>
      <c r="B21" s="28" t="s">
        <v>176</v>
      </c>
      <c r="C21" s="24" t="str">
        <f t="shared" si="4"/>
        <v>Actual</v>
      </c>
      <c r="D21" s="24" t="str">
        <f t="shared" si="4"/>
        <v>Actual</v>
      </c>
      <c r="E21" s="24" t="str">
        <f t="shared" si="4"/>
        <v>Actual</v>
      </c>
      <c r="F21" s="24" t="str">
        <f t="shared" si="4"/>
        <v>Actual</v>
      </c>
      <c r="G21" s="24" t="str">
        <f t="shared" si="4"/>
        <v>Forecasted</v>
      </c>
      <c r="H21" s="24" t="str">
        <f t="shared" si="4"/>
        <v>Forecasted</v>
      </c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 t="s">
        <v>169</v>
      </c>
      <c r="C23" s="74">
        <v>0</v>
      </c>
      <c r="D23" s="74">
        <f>C25</f>
        <v>0</v>
      </c>
      <c r="E23" s="74">
        <f>D25</f>
        <v>0</v>
      </c>
      <c r="F23" s="74">
        <f>E25</f>
        <v>0</v>
      </c>
      <c r="G23" s="74">
        <f>F25</f>
        <v>12859.68</v>
      </c>
      <c r="H23" s="74">
        <f>G25</f>
        <v>12859.68</v>
      </c>
      <c r="I23" s="5"/>
    </row>
    <row r="24" spans="1:9" ht="12.75">
      <c r="A24" s="5"/>
      <c r="B24" s="5" t="s">
        <v>206</v>
      </c>
      <c r="C24" s="79">
        <f>'3.  LDC Assumptions and Data'!C29</f>
        <v>0</v>
      </c>
      <c r="D24" s="79">
        <f>'3.  LDC Assumptions and Data'!D29</f>
        <v>0</v>
      </c>
      <c r="E24" s="79">
        <f>'3.  LDC Assumptions and Data'!E29</f>
        <v>0</v>
      </c>
      <c r="F24" s="79">
        <f>'3.  LDC Assumptions and Data'!F29</f>
        <v>12859.68</v>
      </c>
      <c r="G24" s="79">
        <f>'3.  LDC Assumptions and Data'!G29</f>
        <v>0</v>
      </c>
      <c r="H24" s="79">
        <f>'3.  LDC Assumptions and Data'!H29</f>
        <v>0</v>
      </c>
      <c r="I24" s="5"/>
    </row>
    <row r="25" spans="1:9" ht="12.75">
      <c r="A25" s="5"/>
      <c r="B25" s="5" t="s">
        <v>170</v>
      </c>
      <c r="C25" s="74">
        <f aca="true" t="shared" si="5" ref="C25:H25">SUM(C23:C24)</f>
        <v>0</v>
      </c>
      <c r="D25" s="74">
        <f t="shared" si="5"/>
        <v>0</v>
      </c>
      <c r="E25" s="74">
        <f t="shared" si="5"/>
        <v>0</v>
      </c>
      <c r="F25" s="74">
        <f t="shared" si="5"/>
        <v>12859.68</v>
      </c>
      <c r="G25" s="74">
        <f t="shared" si="5"/>
        <v>12859.68</v>
      </c>
      <c r="H25" s="74">
        <f t="shared" si="5"/>
        <v>12859.68</v>
      </c>
      <c r="I25" s="5"/>
    </row>
    <row r="26" spans="1:9" ht="12.75">
      <c r="A26" s="5"/>
      <c r="B26" s="5"/>
      <c r="C26" s="69"/>
      <c r="D26" s="69"/>
      <c r="E26" s="69"/>
      <c r="F26" s="69"/>
      <c r="G26" s="69"/>
      <c r="H26" s="5"/>
      <c r="I26" s="5"/>
    </row>
    <row r="27" spans="1:9" ht="12.75">
      <c r="A27" s="5"/>
      <c r="B27" s="5" t="s">
        <v>171</v>
      </c>
      <c r="C27" s="74">
        <v>0</v>
      </c>
      <c r="D27" s="74">
        <f>C29</f>
        <v>0</v>
      </c>
      <c r="E27" s="74">
        <f>D29</f>
        <v>0</v>
      </c>
      <c r="F27" s="74">
        <f>E29</f>
        <v>0</v>
      </c>
      <c r="G27" s="74">
        <f>F29</f>
        <v>1285.968</v>
      </c>
      <c r="H27" s="74">
        <f>G29</f>
        <v>3857.9040000000005</v>
      </c>
      <c r="I27" s="5"/>
    </row>
    <row r="28" spans="1:9" ht="12.75">
      <c r="A28" s="5"/>
      <c r="B28" s="5" t="str">
        <f>"Amortization ("&amp;'3.  LDC Assumptions and Data'!C58&amp;" Years  Straight Line)"</f>
        <v>Amortization (5 Years  Straight Line)</v>
      </c>
      <c r="C28" s="55">
        <f>IF(C27+(C23/'3.  LDC Assumptions and Data'!C58)+(C24/'3.  LDC Assumptions and Data'!C58/2)&lt;C25,(C23/'3.  LDC Assumptions and Data'!C58)+(C24/'3.  LDC Assumptions and Data'!C58/2),C25-C27)</f>
        <v>0</v>
      </c>
      <c r="D28" s="55">
        <f>IF(D27+(D23/'3.  LDC Assumptions and Data'!C58)+(D24/'3.  LDC Assumptions and Data'!C58/2)&lt;D25,(D23/'3.  LDC Assumptions and Data'!C58)+(D24/'3.  LDC Assumptions and Data'!C58/2),D25-D27)</f>
        <v>0</v>
      </c>
      <c r="E28" s="55">
        <f>IF(E27+(E23/'3.  LDC Assumptions and Data'!C58)+(E24/'3.  LDC Assumptions and Data'!C58/2)&lt;E25,(E23/'3.  LDC Assumptions and Data'!C58)+(E24/'3.  LDC Assumptions and Data'!C58/2),E25-E27)</f>
        <v>0</v>
      </c>
      <c r="F28" s="55">
        <f>IF(F27+(F23/'3.  LDC Assumptions and Data'!C58)+(F24/'3.  LDC Assumptions and Data'!C58/2)&lt;F25,(F23/'3.  LDC Assumptions and Data'!C58)+(F24/'3.  LDC Assumptions and Data'!C58/2),F25-F27)</f>
        <v>1285.968</v>
      </c>
      <c r="G28" s="55">
        <f>IF(G27+(G23/'3.  LDC Assumptions and Data'!C58)+(G24/'3.  LDC Assumptions and Data'!C58/2)&lt;G25,(G23/'3.  LDC Assumptions and Data'!C58)+(G24/'3.  LDC Assumptions and Data'!C58/2),G25-G27)</f>
        <v>2571.936</v>
      </c>
      <c r="H28" s="55">
        <f>IF(H27+(H23/'3.  LDC Assumptions and Data'!D58)+(H24/'3.  LDC Assumptions and Data'!D58/2)&lt;H25,(H23/'3.  LDC Assumptions and Data'!D58)+(H24/'3.  LDC Assumptions and Data'!D58/2),H25-H27)</f>
        <v>2571.936</v>
      </c>
      <c r="I28" s="5"/>
    </row>
    <row r="29" spans="1:9" ht="12.75">
      <c r="A29" s="5"/>
      <c r="B29" s="5" t="s">
        <v>172</v>
      </c>
      <c r="C29" s="74">
        <f aca="true" t="shared" si="6" ref="C29:H29">SUM(C27:C28)</f>
        <v>0</v>
      </c>
      <c r="D29" s="74">
        <f t="shared" si="6"/>
        <v>0</v>
      </c>
      <c r="E29" s="74">
        <f t="shared" si="6"/>
        <v>0</v>
      </c>
      <c r="F29" s="74">
        <f t="shared" si="6"/>
        <v>1285.968</v>
      </c>
      <c r="G29" s="74">
        <f t="shared" si="6"/>
        <v>3857.9040000000005</v>
      </c>
      <c r="H29" s="74">
        <f t="shared" si="6"/>
        <v>6429.84</v>
      </c>
      <c r="I29" s="5"/>
    </row>
    <row r="30" spans="1:9" ht="12.75">
      <c r="A30" s="5"/>
      <c r="B30" s="5"/>
      <c r="H30" s="5"/>
      <c r="I30" s="5"/>
    </row>
    <row r="31" spans="1:9" ht="12.75">
      <c r="A31" s="5"/>
      <c r="B31" s="5" t="s">
        <v>173</v>
      </c>
      <c r="C31" s="55">
        <f>0</f>
        <v>0</v>
      </c>
      <c r="D31" s="55">
        <f>C32</f>
        <v>0</v>
      </c>
      <c r="E31" s="55">
        <f>D32</f>
        <v>0</v>
      </c>
      <c r="F31" s="185">
        <f>E32</f>
        <v>0</v>
      </c>
      <c r="G31" s="185">
        <f>F32</f>
        <v>11573.712</v>
      </c>
      <c r="H31" s="185">
        <f>G32</f>
        <v>9001.776</v>
      </c>
      <c r="I31" s="5"/>
    </row>
    <row r="32" spans="1:9" ht="12.75">
      <c r="A32" s="5"/>
      <c r="B32" s="5" t="s">
        <v>174</v>
      </c>
      <c r="C32" s="74">
        <f aca="true" t="shared" si="7" ref="C32:H32">C25-C29</f>
        <v>0</v>
      </c>
      <c r="D32" s="98">
        <f t="shared" si="7"/>
        <v>0</v>
      </c>
      <c r="E32" s="98">
        <f t="shared" si="7"/>
        <v>0</v>
      </c>
      <c r="F32" s="186">
        <f t="shared" si="7"/>
        <v>11573.712</v>
      </c>
      <c r="G32" s="186">
        <f t="shared" si="7"/>
        <v>9001.776</v>
      </c>
      <c r="H32" s="186">
        <f t="shared" si="7"/>
        <v>6429.84</v>
      </c>
      <c r="I32" s="5"/>
    </row>
    <row r="33" spans="1:9" ht="13.5" thickBot="1">
      <c r="A33" s="5"/>
      <c r="B33" s="5" t="s">
        <v>175</v>
      </c>
      <c r="C33" s="99">
        <f aca="true" t="shared" si="8" ref="C33:H33">(C32+C31)/2</f>
        <v>0</v>
      </c>
      <c r="D33" s="100">
        <f t="shared" si="8"/>
        <v>0</v>
      </c>
      <c r="E33" s="100">
        <f t="shared" si="8"/>
        <v>0</v>
      </c>
      <c r="F33" s="187">
        <f t="shared" si="8"/>
        <v>5786.856</v>
      </c>
      <c r="G33" s="187">
        <f t="shared" si="8"/>
        <v>10287.743999999999</v>
      </c>
      <c r="H33" s="187">
        <f t="shared" si="8"/>
        <v>7715.808</v>
      </c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24">
        <f aca="true" t="shared" si="9" ref="C35:H36">C20</f>
        <v>2006</v>
      </c>
      <c r="D35" s="24">
        <f t="shared" si="9"/>
        <v>2007</v>
      </c>
      <c r="E35" s="24">
        <f t="shared" si="9"/>
        <v>2008</v>
      </c>
      <c r="F35" s="24">
        <f t="shared" si="9"/>
        <v>2009</v>
      </c>
      <c r="G35" s="24">
        <f t="shared" si="9"/>
        <v>2010</v>
      </c>
      <c r="H35" s="24">
        <f t="shared" si="9"/>
        <v>2011</v>
      </c>
      <c r="I35" s="5"/>
    </row>
    <row r="36" spans="1:9" ht="18">
      <c r="A36" s="5"/>
      <c r="B36" s="28" t="s">
        <v>177</v>
      </c>
      <c r="C36" s="24" t="str">
        <f t="shared" si="9"/>
        <v>Actual</v>
      </c>
      <c r="D36" s="24" t="str">
        <f t="shared" si="9"/>
        <v>Actual</v>
      </c>
      <c r="E36" s="24" t="str">
        <f t="shared" si="9"/>
        <v>Actual</v>
      </c>
      <c r="F36" s="24" t="str">
        <f t="shared" si="9"/>
        <v>Actual</v>
      </c>
      <c r="G36" s="24" t="str">
        <f t="shared" si="9"/>
        <v>Forecasted</v>
      </c>
      <c r="H36" s="24" t="str">
        <f t="shared" si="9"/>
        <v>Forecasted</v>
      </c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 t="s">
        <v>169</v>
      </c>
      <c r="C38" s="74">
        <v>0</v>
      </c>
      <c r="D38" s="74">
        <f>C40</f>
        <v>0</v>
      </c>
      <c r="E38" s="74">
        <f>D40</f>
        <v>0</v>
      </c>
      <c r="F38" s="74">
        <f>E40</f>
        <v>0</v>
      </c>
      <c r="G38" s="74">
        <f>F40</f>
        <v>23148.47</v>
      </c>
      <c r="H38" s="74">
        <f>G40</f>
        <v>23148.47</v>
      </c>
      <c r="I38" s="5"/>
    </row>
    <row r="39" spans="1:9" ht="12.75">
      <c r="A39" s="5"/>
      <c r="B39" s="5" t="s">
        <v>205</v>
      </c>
      <c r="C39" s="79">
        <f>'3.  LDC Assumptions and Data'!C30</f>
        <v>0</v>
      </c>
      <c r="D39" s="79">
        <f>'3.  LDC Assumptions and Data'!D30</f>
        <v>0</v>
      </c>
      <c r="E39" s="79">
        <f>'3.  LDC Assumptions and Data'!E30</f>
        <v>0</v>
      </c>
      <c r="F39" s="79">
        <f>'3.  LDC Assumptions and Data'!F30</f>
        <v>23148.47</v>
      </c>
      <c r="G39" s="79">
        <f>'3.  LDC Assumptions and Data'!G30</f>
        <v>0</v>
      </c>
      <c r="H39" s="79">
        <f>'3.  LDC Assumptions and Data'!H30</f>
        <v>0</v>
      </c>
      <c r="I39" s="5"/>
    </row>
    <row r="40" spans="1:9" ht="12.75">
      <c r="A40" s="5"/>
      <c r="B40" s="5" t="s">
        <v>170</v>
      </c>
      <c r="C40" s="74">
        <f aca="true" t="shared" si="10" ref="C40:H40">SUM(C38:C39)</f>
        <v>0</v>
      </c>
      <c r="D40" s="74">
        <f t="shared" si="10"/>
        <v>0</v>
      </c>
      <c r="E40" s="74">
        <f t="shared" si="10"/>
        <v>0</v>
      </c>
      <c r="F40" s="74">
        <f t="shared" si="10"/>
        <v>23148.47</v>
      </c>
      <c r="G40" s="74">
        <f t="shared" si="10"/>
        <v>23148.47</v>
      </c>
      <c r="H40" s="74">
        <f t="shared" si="10"/>
        <v>23148.47</v>
      </c>
      <c r="I40" s="5"/>
    </row>
    <row r="41" spans="1:9" ht="12.75">
      <c r="A41" s="5"/>
      <c r="B41" s="5"/>
      <c r="C41" s="69"/>
      <c r="D41" s="69"/>
      <c r="E41" s="69"/>
      <c r="F41" s="69"/>
      <c r="G41" s="69"/>
      <c r="H41" s="5"/>
      <c r="I41" s="5"/>
    </row>
    <row r="42" spans="1:9" ht="12.75">
      <c r="A42" s="5"/>
      <c r="B42" s="5" t="s">
        <v>171</v>
      </c>
      <c r="C42" s="74">
        <v>0</v>
      </c>
      <c r="D42" s="74">
        <f>C44</f>
        <v>0</v>
      </c>
      <c r="E42" s="74">
        <f>D44</f>
        <v>0</v>
      </c>
      <c r="F42" s="74">
        <f>E44</f>
        <v>0</v>
      </c>
      <c r="G42" s="74">
        <f>F44</f>
        <v>2314.847</v>
      </c>
      <c r="H42" s="74">
        <f>G44</f>
        <v>6944.541000000001</v>
      </c>
      <c r="I42" s="5"/>
    </row>
    <row r="43" spans="1:9" ht="12.75">
      <c r="A43" s="5"/>
      <c r="B43" s="5" t="str">
        <f>"Amortization Year 1 ("&amp;'3.  LDC Assumptions and Data'!C59&amp;" Years Straight Line)"</f>
        <v>Amortization Year 1 (5 Years Straight Line)</v>
      </c>
      <c r="C43" s="55">
        <f>IF(C42+(C38/'3.  LDC Assumptions and Data'!C59)+(C39/'3.  LDC Assumptions and Data'!C59/2)&lt;C40,(C38/'3.  LDC Assumptions and Data'!C59)+(C39/'3.  LDC Assumptions and Data'!C59/2),C40-C42)</f>
        <v>0</v>
      </c>
      <c r="D43" s="55">
        <f>IF(D42+(D38/'3.  LDC Assumptions and Data'!C59)+(D39/'3.  LDC Assumptions and Data'!C59/2)&lt;D40,(D38/'3.  LDC Assumptions and Data'!C59)+(D39/'3.  LDC Assumptions and Data'!C59/2),D40-D42)</f>
        <v>0</v>
      </c>
      <c r="E43" s="55">
        <f>IF(E42+(E38/'3.  LDC Assumptions and Data'!C59)+(E39/'3.  LDC Assumptions and Data'!C59/2)&lt;E40,(E38/'3.  LDC Assumptions and Data'!C59)+(E39/'3.  LDC Assumptions and Data'!C59/2),E40-E42)</f>
        <v>0</v>
      </c>
      <c r="F43" s="55">
        <f>IF(F42+(F38/'3.  LDC Assumptions and Data'!C59)+(F39/'3.  LDC Assumptions and Data'!C59/2)&lt;F40,(F38/'3.  LDC Assumptions and Data'!C59)+(F39/'3.  LDC Assumptions and Data'!C59/2),F40-F42)</f>
        <v>2314.847</v>
      </c>
      <c r="G43" s="55">
        <f>IF(G42+(G38/'3.  LDC Assumptions and Data'!C59)+(G39/'3.  LDC Assumptions and Data'!C59/2)&lt;G40,(G38/'3.  LDC Assumptions and Data'!C59)+(G39/'3.  LDC Assumptions and Data'!C59/2),G40-G42)</f>
        <v>4629.694</v>
      </c>
      <c r="H43" s="55">
        <f>IF(H42+(H38/'3.  LDC Assumptions and Data'!D59)+(H39/'3.  LDC Assumptions and Data'!D59/2)&lt;H40,(H38/'3.  LDC Assumptions and Data'!D59)+(H39/'3.  LDC Assumptions and Data'!D59/2),H40-H42)</f>
        <v>4629.694</v>
      </c>
      <c r="I43" s="5"/>
    </row>
    <row r="44" spans="1:9" ht="12.75">
      <c r="A44" s="5"/>
      <c r="B44" s="5" t="s">
        <v>172</v>
      </c>
      <c r="C44" s="74">
        <f aca="true" t="shared" si="11" ref="C44:H44">SUM(C42:C43)</f>
        <v>0</v>
      </c>
      <c r="D44" s="74">
        <f t="shared" si="11"/>
        <v>0</v>
      </c>
      <c r="E44" s="74">
        <f t="shared" si="11"/>
        <v>0</v>
      </c>
      <c r="F44" s="74">
        <f t="shared" si="11"/>
        <v>2314.847</v>
      </c>
      <c r="G44" s="74">
        <f t="shared" si="11"/>
        <v>6944.541000000001</v>
      </c>
      <c r="H44" s="74">
        <f t="shared" si="11"/>
        <v>11574.235</v>
      </c>
      <c r="I44" s="5"/>
    </row>
    <row r="45" spans="1:9" ht="12.75">
      <c r="A45" s="5"/>
      <c r="B45" s="5"/>
      <c r="H45" s="5"/>
      <c r="I45" s="5"/>
    </row>
    <row r="46" spans="1:9" ht="12.75">
      <c r="A46" s="5"/>
      <c r="B46" s="5" t="s">
        <v>173</v>
      </c>
      <c r="C46" s="55">
        <f>0</f>
        <v>0</v>
      </c>
      <c r="D46" s="55">
        <f>C47</f>
        <v>0</v>
      </c>
      <c r="E46" s="55">
        <f>D47</f>
        <v>0</v>
      </c>
      <c r="F46" s="55">
        <f>E47</f>
        <v>0</v>
      </c>
      <c r="G46" s="55">
        <f>F47</f>
        <v>20833.623</v>
      </c>
      <c r="H46" s="55">
        <f>G47</f>
        <v>16203.929</v>
      </c>
      <c r="I46" s="5"/>
    </row>
    <row r="47" spans="1:9" ht="12.75">
      <c r="A47" s="5"/>
      <c r="B47" s="5" t="s">
        <v>174</v>
      </c>
      <c r="C47" s="74">
        <f aca="true" t="shared" si="12" ref="C47:H47">C40-C44</f>
        <v>0</v>
      </c>
      <c r="D47" s="98">
        <f t="shared" si="12"/>
        <v>0</v>
      </c>
      <c r="E47" s="98">
        <f t="shared" si="12"/>
        <v>0</v>
      </c>
      <c r="F47" s="186">
        <f t="shared" si="12"/>
        <v>20833.623</v>
      </c>
      <c r="G47" s="186">
        <f t="shared" si="12"/>
        <v>16203.929</v>
      </c>
      <c r="H47" s="186">
        <f t="shared" si="12"/>
        <v>11574.235</v>
      </c>
      <c r="I47" s="5"/>
    </row>
    <row r="48" spans="1:9" ht="13.5" thickBot="1">
      <c r="A48" s="5"/>
      <c r="B48" s="5" t="s">
        <v>175</v>
      </c>
      <c r="C48" s="99">
        <f aca="true" t="shared" si="13" ref="C48:H48">(C47+C46)/2</f>
        <v>0</v>
      </c>
      <c r="D48" s="100">
        <f t="shared" si="13"/>
        <v>0</v>
      </c>
      <c r="E48" s="100">
        <f t="shared" si="13"/>
        <v>0</v>
      </c>
      <c r="F48" s="187">
        <f t="shared" si="13"/>
        <v>10416.8115</v>
      </c>
      <c r="G48" s="187">
        <f t="shared" si="13"/>
        <v>18518.775999999998</v>
      </c>
      <c r="H48" s="187">
        <f t="shared" si="13"/>
        <v>13889.082</v>
      </c>
      <c r="I48" s="5"/>
    </row>
    <row r="49" spans="1:9" ht="12.75">
      <c r="A49" s="5"/>
      <c r="B49" s="5"/>
      <c r="C49" s="68"/>
      <c r="D49" s="68"/>
      <c r="E49" s="5"/>
      <c r="F49" s="5"/>
      <c r="G49" s="5"/>
      <c r="H49" s="5"/>
      <c r="I49" s="5"/>
    </row>
    <row r="50" spans="1:9" ht="12.75">
      <c r="A50" s="5"/>
      <c r="B50" s="5"/>
      <c r="C50" s="24">
        <f aca="true" t="shared" si="14" ref="C50:H51">C35</f>
        <v>2006</v>
      </c>
      <c r="D50" s="24">
        <f t="shared" si="14"/>
        <v>2007</v>
      </c>
      <c r="E50" s="24">
        <f t="shared" si="14"/>
        <v>2008</v>
      </c>
      <c r="F50" s="24">
        <f t="shared" si="14"/>
        <v>2009</v>
      </c>
      <c r="G50" s="24">
        <f t="shared" si="14"/>
        <v>2010</v>
      </c>
      <c r="H50" s="24">
        <f t="shared" si="14"/>
        <v>2011</v>
      </c>
      <c r="I50" s="5"/>
    </row>
    <row r="51" spans="1:9" ht="18">
      <c r="A51" s="5"/>
      <c r="B51" s="28" t="s">
        <v>178</v>
      </c>
      <c r="C51" s="24" t="str">
        <f t="shared" si="14"/>
        <v>Actual</v>
      </c>
      <c r="D51" s="24" t="str">
        <f t="shared" si="14"/>
        <v>Actual</v>
      </c>
      <c r="E51" s="24" t="str">
        <f t="shared" si="14"/>
        <v>Actual</v>
      </c>
      <c r="F51" s="24" t="str">
        <f t="shared" si="14"/>
        <v>Actual</v>
      </c>
      <c r="G51" s="24" t="str">
        <f t="shared" si="14"/>
        <v>Forecasted</v>
      </c>
      <c r="H51" s="24" t="str">
        <f t="shared" si="14"/>
        <v>Forecasted</v>
      </c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 t="s">
        <v>169</v>
      </c>
      <c r="C53" s="74">
        <v>0</v>
      </c>
      <c r="D53" s="74">
        <f>C55</f>
        <v>0</v>
      </c>
      <c r="E53" s="74">
        <f>D55</f>
        <v>0</v>
      </c>
      <c r="F53" s="74">
        <f>E55</f>
        <v>0</v>
      </c>
      <c r="G53" s="74">
        <f>F55</f>
        <v>0</v>
      </c>
      <c r="H53" s="74">
        <f>G55</f>
        <v>0</v>
      </c>
      <c r="I53" s="5"/>
    </row>
    <row r="54" spans="1:9" ht="12.75">
      <c r="A54" s="5"/>
      <c r="B54" s="5" t="s">
        <v>205</v>
      </c>
      <c r="C54" s="79">
        <f>'3.  LDC Assumptions and Data'!C31</f>
        <v>0</v>
      </c>
      <c r="D54" s="79">
        <f>'3.  LDC Assumptions and Data'!D31</f>
        <v>0</v>
      </c>
      <c r="E54" s="79">
        <f>'3.  LDC Assumptions and Data'!F31</f>
        <v>0</v>
      </c>
      <c r="F54" s="79">
        <f>'3.  LDC Assumptions and Data'!G31</f>
        <v>0</v>
      </c>
      <c r="G54" s="79">
        <f>'3.  LDC Assumptions and Data'!H31</f>
        <v>0</v>
      </c>
      <c r="H54" s="79">
        <f>'3.  LDC Assumptions and Data'!I31</f>
        <v>0</v>
      </c>
      <c r="I54" s="5"/>
    </row>
    <row r="55" spans="1:9" ht="12.75">
      <c r="A55" s="5"/>
      <c r="B55" s="5" t="s">
        <v>170</v>
      </c>
      <c r="C55" s="74">
        <f aca="true" t="shared" si="15" ref="C55:H55">SUM(C53:C54)</f>
        <v>0</v>
      </c>
      <c r="D55" s="74">
        <f t="shared" si="15"/>
        <v>0</v>
      </c>
      <c r="E55" s="74">
        <f t="shared" si="15"/>
        <v>0</v>
      </c>
      <c r="F55" s="74">
        <f t="shared" si="15"/>
        <v>0</v>
      </c>
      <c r="G55" s="74">
        <f t="shared" si="15"/>
        <v>0</v>
      </c>
      <c r="H55" s="74">
        <f t="shared" si="15"/>
        <v>0</v>
      </c>
      <c r="I55" s="5"/>
    </row>
    <row r="56" spans="1:9" ht="12.75">
      <c r="A56" s="5"/>
      <c r="B56" s="5"/>
      <c r="C56" s="69"/>
      <c r="D56" s="69"/>
      <c r="E56" s="69"/>
      <c r="F56" s="69"/>
      <c r="G56" s="69"/>
      <c r="H56" s="5"/>
      <c r="I56" s="5"/>
    </row>
    <row r="57" spans="1:9" ht="12.75">
      <c r="A57" s="5"/>
      <c r="B57" s="5" t="s">
        <v>171</v>
      </c>
      <c r="C57" s="74">
        <v>0</v>
      </c>
      <c r="D57" s="74">
        <f>C59</f>
        <v>0</v>
      </c>
      <c r="E57" s="74">
        <f>D59</f>
        <v>0</v>
      </c>
      <c r="F57" s="74">
        <f>E59</f>
        <v>0</v>
      </c>
      <c r="G57" s="74">
        <f>F59</f>
        <v>0</v>
      </c>
      <c r="H57" s="74">
        <f>G59</f>
        <v>0</v>
      </c>
      <c r="I57" s="5"/>
    </row>
    <row r="58" spans="1:9" ht="12.75">
      <c r="A58" s="5"/>
      <c r="B58" s="5" t="str">
        <f>"Amortization Year 1 ("&amp;'3.  LDC Assumptions and Data'!C60&amp;" Years Straight Line)"</f>
        <v>Amortization Year 1 (10 Years Straight Line)</v>
      </c>
      <c r="C58" s="55">
        <f>IF(C57+(C53/'3.  LDC Assumptions and Data'!C60)+(C54/'3.  LDC Assumptions and Data'!C60/2)&lt;C55,(C53/'3.  LDC Assumptions and Data'!C60)+(C54/'3.  LDC Assumptions and Data'!C60/2),C55-C57)</f>
        <v>0</v>
      </c>
      <c r="D58" s="55">
        <f>IF(D57+(D53/'3.  LDC Assumptions and Data'!C60)+(D54/'3.  LDC Assumptions and Data'!C60/2)&lt;D55,(D53/'3.  LDC Assumptions and Data'!C60)+(D54/'3.  LDC Assumptions and Data'!C60/2),D55-D57)</f>
        <v>0</v>
      </c>
      <c r="E58" s="55">
        <f>IF(E57+(E53/'3.  LDC Assumptions and Data'!C60)+(E54/'3.  LDC Assumptions and Data'!C60/2)&lt;E55,(E53/'3.  LDC Assumptions and Data'!C60)+(E54/'3.  LDC Assumptions and Data'!C60/2),E55-E57)</f>
        <v>0</v>
      </c>
      <c r="F58" s="55">
        <f>IF(F57+(F53/'3.  LDC Assumptions and Data'!C60)+(F54/'3.  LDC Assumptions and Data'!C60/2)&lt;F55,(F53/'3.  LDC Assumptions and Data'!C60)+(F54/'3.  LDC Assumptions and Data'!C60/2),F55-F57)</f>
        <v>0</v>
      </c>
      <c r="G58" s="55">
        <f>IF(G57+(G53/'3.  LDC Assumptions and Data'!C60)+(G54/'3.  LDC Assumptions and Data'!C60/2)&lt;G55,(G53/'3.  LDC Assumptions and Data'!C60)+(G54/'3.  LDC Assumptions and Data'!C60/2),G55-G57)</f>
        <v>0</v>
      </c>
      <c r="H58" s="55">
        <f>IF(H57+(H53/'3.  LDC Assumptions and Data'!D60)+(H54/'3.  LDC Assumptions and Data'!D60/2)&lt;H55,(H53/'3.  LDC Assumptions and Data'!D60)+(H54/'3.  LDC Assumptions and Data'!D60/2),H55-H57)</f>
        <v>0</v>
      </c>
      <c r="I58" s="5"/>
    </row>
    <row r="59" spans="1:9" ht="12.75">
      <c r="A59" s="5"/>
      <c r="B59" s="5" t="s">
        <v>172</v>
      </c>
      <c r="C59" s="74">
        <f aca="true" t="shared" si="16" ref="C59:H59">SUM(C57:C58)</f>
        <v>0</v>
      </c>
      <c r="D59" s="74">
        <f t="shared" si="16"/>
        <v>0</v>
      </c>
      <c r="E59" s="74">
        <f t="shared" si="16"/>
        <v>0</v>
      </c>
      <c r="F59" s="74">
        <f t="shared" si="16"/>
        <v>0</v>
      </c>
      <c r="G59" s="74">
        <f t="shared" si="16"/>
        <v>0</v>
      </c>
      <c r="H59" s="74">
        <f t="shared" si="16"/>
        <v>0</v>
      </c>
      <c r="I59" s="5"/>
    </row>
    <row r="60" spans="1:9" ht="12.75">
      <c r="A60" s="5"/>
      <c r="B60" s="5"/>
      <c r="H60" s="5"/>
      <c r="I60" s="5"/>
    </row>
    <row r="61" spans="1:9" ht="12.75">
      <c r="A61" s="5"/>
      <c r="B61" s="5" t="s">
        <v>173</v>
      </c>
      <c r="C61" s="55">
        <f>0</f>
        <v>0</v>
      </c>
      <c r="D61" s="55">
        <f>C62</f>
        <v>0</v>
      </c>
      <c r="E61" s="55">
        <f>D62</f>
        <v>0</v>
      </c>
      <c r="F61" s="55">
        <f>E62</f>
        <v>0</v>
      </c>
      <c r="G61" s="55">
        <f>F62</f>
        <v>0</v>
      </c>
      <c r="H61" s="55">
        <f>G62</f>
        <v>0</v>
      </c>
      <c r="I61" s="5"/>
    </row>
    <row r="62" spans="1:9" ht="12.75">
      <c r="A62" s="5"/>
      <c r="B62" s="5" t="s">
        <v>174</v>
      </c>
      <c r="C62" s="74">
        <f aca="true" t="shared" si="17" ref="C62:H62">C55-C59</f>
        <v>0</v>
      </c>
      <c r="D62" s="98">
        <f t="shared" si="17"/>
        <v>0</v>
      </c>
      <c r="E62" s="98">
        <f t="shared" si="17"/>
        <v>0</v>
      </c>
      <c r="F62" s="98">
        <f t="shared" si="17"/>
        <v>0</v>
      </c>
      <c r="G62" s="98">
        <f t="shared" si="17"/>
        <v>0</v>
      </c>
      <c r="H62" s="98">
        <f t="shared" si="17"/>
        <v>0</v>
      </c>
      <c r="I62" s="5"/>
    </row>
    <row r="63" spans="1:9" ht="13.5" thickBot="1">
      <c r="A63" s="5"/>
      <c r="B63" s="5" t="s">
        <v>175</v>
      </c>
      <c r="C63" s="99">
        <f aca="true" t="shared" si="18" ref="C63:H63">(C62+C61)/2</f>
        <v>0</v>
      </c>
      <c r="D63" s="100">
        <f t="shared" si="18"/>
        <v>0</v>
      </c>
      <c r="E63" s="100">
        <f t="shared" si="18"/>
        <v>0</v>
      </c>
      <c r="F63" s="100">
        <f t="shared" si="18"/>
        <v>0</v>
      </c>
      <c r="G63" s="100">
        <f t="shared" si="18"/>
        <v>0</v>
      </c>
      <c r="H63" s="100">
        <f t="shared" si="18"/>
        <v>0</v>
      </c>
      <c r="I63" s="5"/>
    </row>
    <row r="64" spans="1:9" ht="12.75">
      <c r="A64" s="5"/>
      <c r="B64" s="5"/>
      <c r="C64" s="68"/>
      <c r="D64" s="68"/>
      <c r="E64" s="5"/>
      <c r="F64" s="5"/>
      <c r="G64" s="5"/>
      <c r="H64" s="5"/>
      <c r="I64" s="5"/>
    </row>
    <row r="65" spans="1:9" ht="12.75">
      <c r="A65" s="5"/>
      <c r="B65" s="5"/>
      <c r="C65" s="24">
        <f aca="true" t="shared" si="19" ref="C65:H66">C50</f>
        <v>2006</v>
      </c>
      <c r="D65" s="24">
        <f t="shared" si="19"/>
        <v>2007</v>
      </c>
      <c r="E65" s="24">
        <f t="shared" si="19"/>
        <v>2008</v>
      </c>
      <c r="F65" s="24">
        <f t="shared" si="19"/>
        <v>2009</v>
      </c>
      <c r="G65" s="24">
        <f t="shared" si="19"/>
        <v>2010</v>
      </c>
      <c r="H65" s="24">
        <f t="shared" si="19"/>
        <v>2011</v>
      </c>
      <c r="I65" s="5"/>
    </row>
    <row r="66" spans="1:9" ht="18">
      <c r="A66" s="5"/>
      <c r="B66" s="28" t="s">
        <v>179</v>
      </c>
      <c r="C66" s="24" t="str">
        <f t="shared" si="19"/>
        <v>Actual</v>
      </c>
      <c r="D66" s="24" t="str">
        <f t="shared" si="19"/>
        <v>Actual</v>
      </c>
      <c r="E66" s="24" t="str">
        <f t="shared" si="19"/>
        <v>Actual</v>
      </c>
      <c r="F66" s="24" t="str">
        <f t="shared" si="19"/>
        <v>Actual</v>
      </c>
      <c r="G66" s="24" t="str">
        <f t="shared" si="19"/>
        <v>Forecasted</v>
      </c>
      <c r="H66" s="24" t="str">
        <f t="shared" si="19"/>
        <v>Forecasted</v>
      </c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 t="s">
        <v>169</v>
      </c>
      <c r="C68" s="74">
        <v>0</v>
      </c>
      <c r="D68" s="74">
        <f>C70</f>
        <v>0</v>
      </c>
      <c r="E68" s="74">
        <f>D70</f>
        <v>0</v>
      </c>
      <c r="F68" s="74">
        <f>E70</f>
        <v>0</v>
      </c>
      <c r="G68" s="74">
        <f>F70</f>
        <v>1006.65</v>
      </c>
      <c r="H68" s="74">
        <f>G70</f>
        <v>1006.65</v>
      </c>
      <c r="I68" s="5"/>
    </row>
    <row r="69" spans="1:9" ht="12.75">
      <c r="A69" s="5"/>
      <c r="B69" s="5" t="s">
        <v>205</v>
      </c>
      <c r="C69" s="79">
        <f>'3.  LDC Assumptions and Data'!C32</f>
        <v>0</v>
      </c>
      <c r="D69" s="79">
        <f>'3.  LDC Assumptions and Data'!D32</f>
        <v>0</v>
      </c>
      <c r="E69" s="79">
        <f>'3.  LDC Assumptions and Data'!E32</f>
        <v>0</v>
      </c>
      <c r="F69" s="79">
        <f>'3.  LDC Assumptions and Data'!F32</f>
        <v>1006.65</v>
      </c>
      <c r="G69" s="79">
        <f>'3.  LDC Assumptions and Data'!G32</f>
        <v>0</v>
      </c>
      <c r="H69" s="79">
        <f>'3.  LDC Assumptions and Data'!H32</f>
        <v>0</v>
      </c>
      <c r="I69" s="5"/>
    </row>
    <row r="70" spans="1:9" ht="12.75">
      <c r="A70" s="5"/>
      <c r="B70" s="5" t="s">
        <v>170</v>
      </c>
      <c r="C70" s="74">
        <f aca="true" t="shared" si="20" ref="C70:H70">SUM(C68:C69)</f>
        <v>0</v>
      </c>
      <c r="D70" s="74">
        <f t="shared" si="20"/>
        <v>0</v>
      </c>
      <c r="E70" s="74">
        <f t="shared" si="20"/>
        <v>0</v>
      </c>
      <c r="F70" s="74">
        <f t="shared" si="20"/>
        <v>1006.65</v>
      </c>
      <c r="G70" s="74">
        <f t="shared" si="20"/>
        <v>1006.65</v>
      </c>
      <c r="H70" s="74">
        <f t="shared" si="20"/>
        <v>1006.65</v>
      </c>
      <c r="I70" s="5"/>
    </row>
    <row r="71" spans="1:9" ht="12.75">
      <c r="A71" s="5"/>
      <c r="B71" s="5"/>
      <c r="C71" s="69"/>
      <c r="D71" s="69"/>
      <c r="E71" s="69"/>
      <c r="F71" s="69"/>
      <c r="G71" s="69"/>
      <c r="H71" s="69"/>
      <c r="I71" s="5"/>
    </row>
    <row r="72" spans="1:9" ht="12.75">
      <c r="A72" s="5"/>
      <c r="B72" s="5" t="s">
        <v>171</v>
      </c>
      <c r="C72" s="74">
        <v>0</v>
      </c>
      <c r="D72" s="74">
        <f>C74</f>
        <v>0</v>
      </c>
      <c r="E72" s="74">
        <f>D74</f>
        <v>0</v>
      </c>
      <c r="F72" s="74">
        <f>E74</f>
        <v>0</v>
      </c>
      <c r="G72" s="74">
        <f>F74</f>
        <v>50.332499999999996</v>
      </c>
      <c r="H72" s="74">
        <f>G74</f>
        <v>150.9975</v>
      </c>
      <c r="I72" s="5"/>
    </row>
    <row r="73" spans="1:9" ht="12.75">
      <c r="A73" s="5"/>
      <c r="B73" s="5" t="str">
        <f>"Amortization Year 1 ("&amp;'3.  LDC Assumptions and Data'!C61&amp;" Years Straight Line)"</f>
        <v>Amortization Year 1 (10 Years Straight Line)</v>
      </c>
      <c r="C73" s="55">
        <f>IF(C72+(C68/'3.  LDC Assumptions and Data'!C61)+(C69/'3.  LDC Assumptions and Data'!C61/2)&lt;C70,(C68/'3.  LDC Assumptions and Data'!C61)+(C69/'3.  LDC Assumptions and Data'!C61/2),C70-C72)</f>
        <v>0</v>
      </c>
      <c r="D73" s="55">
        <f>IF(D72+(D68/'3.  LDC Assumptions and Data'!C61)+(D69/'3.  LDC Assumptions and Data'!C61/2)&lt;D70,(D68/'3.  LDC Assumptions and Data'!C61)+(D69/'3.  LDC Assumptions and Data'!C61/2),D70-D72)</f>
        <v>0</v>
      </c>
      <c r="E73" s="55">
        <f>IF(E72+(E68/'3.  LDC Assumptions and Data'!C61)+(E69/'3.  LDC Assumptions and Data'!C61/2)&lt;E70,(E68/'3.  LDC Assumptions and Data'!C61)+(E69/'3.  LDC Assumptions and Data'!C61/2),E70-E72)</f>
        <v>0</v>
      </c>
      <c r="F73" s="55">
        <f>IF(F72+(F68/'3.  LDC Assumptions and Data'!C61)+(F69/'3.  LDC Assumptions and Data'!C61/2)&lt;F70,(F68/'3.  LDC Assumptions and Data'!C61)+(F69/'3.  LDC Assumptions and Data'!C61/2),F70-F72)</f>
        <v>50.332499999999996</v>
      </c>
      <c r="G73" s="55">
        <f>IF(G72+(G68/'3.  LDC Assumptions and Data'!C61)+(G69/'3.  LDC Assumptions and Data'!C61/2)&lt;G70,(G68/'3.  LDC Assumptions and Data'!C61)+(G69/'3.  LDC Assumptions and Data'!C61/2),G70-G72)</f>
        <v>100.66499999999999</v>
      </c>
      <c r="H73" s="55">
        <f>IF(H72+(H68/'3.  LDC Assumptions and Data'!D61)+(H69/'3.  LDC Assumptions and Data'!D61/2)&lt;H70,(H68/'3.  LDC Assumptions and Data'!D61)+(H69/'3.  LDC Assumptions and Data'!D61/2),H70-H72)</f>
        <v>100.66499999999999</v>
      </c>
      <c r="I73" s="5"/>
    </row>
    <row r="74" spans="1:9" ht="12.75">
      <c r="A74" s="5"/>
      <c r="B74" s="5" t="s">
        <v>172</v>
      </c>
      <c r="C74" s="74">
        <f aca="true" t="shared" si="21" ref="C74:H74">SUM(C72:C73)</f>
        <v>0</v>
      </c>
      <c r="D74" s="74">
        <f t="shared" si="21"/>
        <v>0</v>
      </c>
      <c r="E74" s="74">
        <f t="shared" si="21"/>
        <v>0</v>
      </c>
      <c r="F74" s="74">
        <f t="shared" si="21"/>
        <v>50.332499999999996</v>
      </c>
      <c r="G74" s="74">
        <f t="shared" si="21"/>
        <v>150.9975</v>
      </c>
      <c r="H74" s="74">
        <f t="shared" si="21"/>
        <v>251.6625</v>
      </c>
      <c r="I74" s="5"/>
    </row>
    <row r="75" spans="1:9" ht="12.75">
      <c r="A75" s="5"/>
      <c r="B75" s="5"/>
      <c r="C75" s="69"/>
      <c r="D75" s="69"/>
      <c r="E75" s="69"/>
      <c r="F75" s="69"/>
      <c r="G75" s="69"/>
      <c r="H75" s="69"/>
      <c r="I75" s="5"/>
    </row>
    <row r="76" spans="1:9" ht="12.75">
      <c r="A76" s="5"/>
      <c r="B76" s="5" t="s">
        <v>173</v>
      </c>
      <c r="C76" s="55">
        <f>0</f>
        <v>0</v>
      </c>
      <c r="D76" s="55">
        <f>C77</f>
        <v>0</v>
      </c>
      <c r="E76" s="55">
        <f>D77</f>
        <v>0</v>
      </c>
      <c r="F76" s="55">
        <f>E77</f>
        <v>0</v>
      </c>
      <c r="G76" s="55">
        <f>F77</f>
        <v>956.3175</v>
      </c>
      <c r="H76" s="55">
        <f>G77</f>
        <v>855.6524999999999</v>
      </c>
      <c r="I76" s="5"/>
    </row>
    <row r="77" spans="1:9" ht="12.75">
      <c r="A77" s="5"/>
      <c r="B77" s="5" t="s">
        <v>174</v>
      </c>
      <c r="C77" s="74">
        <f aca="true" t="shared" si="22" ref="C77:H77">C70-C74</f>
        <v>0</v>
      </c>
      <c r="D77" s="98">
        <f t="shared" si="22"/>
        <v>0</v>
      </c>
      <c r="E77" s="98">
        <f t="shared" si="22"/>
        <v>0</v>
      </c>
      <c r="F77" s="186">
        <f t="shared" si="22"/>
        <v>956.3175</v>
      </c>
      <c r="G77" s="186">
        <f t="shared" si="22"/>
        <v>855.6524999999999</v>
      </c>
      <c r="H77" s="186">
        <f t="shared" si="22"/>
        <v>754.9875</v>
      </c>
      <c r="I77" s="5"/>
    </row>
    <row r="78" spans="1:9" ht="13.5" thickBot="1">
      <c r="A78" s="5"/>
      <c r="B78" s="5" t="s">
        <v>175</v>
      </c>
      <c r="C78" s="99">
        <f aca="true" t="shared" si="23" ref="C78:H78">(C77+C76)/2</f>
        <v>0</v>
      </c>
      <c r="D78" s="100">
        <f t="shared" si="23"/>
        <v>0</v>
      </c>
      <c r="E78" s="100">
        <f t="shared" si="23"/>
        <v>0</v>
      </c>
      <c r="F78" s="187">
        <f t="shared" si="23"/>
        <v>478.15875</v>
      </c>
      <c r="G78" s="187">
        <f t="shared" si="23"/>
        <v>905.9849999999999</v>
      </c>
      <c r="H78" s="187">
        <f t="shared" si="23"/>
        <v>805.3199999999999</v>
      </c>
      <c r="I78" s="5"/>
    </row>
    <row r="79" spans="1:9" ht="12.75">
      <c r="A79" s="5"/>
      <c r="B79" s="5"/>
      <c r="C79" s="68"/>
      <c r="D79" s="68"/>
      <c r="E79" s="5"/>
      <c r="F79" s="5"/>
      <c r="G79" s="5"/>
      <c r="H79" s="5"/>
      <c r="I79" s="5"/>
    </row>
    <row r="80" spans="1:9" ht="12.75">
      <c r="A80" s="5"/>
      <c r="B80" s="5"/>
      <c r="C80" s="68"/>
      <c r="D80" s="68"/>
      <c r="E80" s="5"/>
      <c r="F80" s="5"/>
      <c r="G80" s="5"/>
      <c r="H80" s="5"/>
      <c r="I80" s="5"/>
    </row>
    <row r="81" spans="1:9" ht="26.25">
      <c r="A81" s="5"/>
      <c r="B81" s="61" t="s">
        <v>180</v>
      </c>
      <c r="C81" s="68"/>
      <c r="D81" s="68"/>
      <c r="E81" s="5"/>
      <c r="F81" s="5"/>
      <c r="G81" s="5"/>
      <c r="H81" s="5"/>
      <c r="I81" s="5"/>
    </row>
    <row r="82" spans="1:9" ht="12.75">
      <c r="A82" s="5"/>
      <c r="B82" s="5"/>
      <c r="C82" s="68"/>
      <c r="D82" s="68"/>
      <c r="E82" s="5"/>
      <c r="F82" s="5"/>
      <c r="G82" s="5"/>
      <c r="H82" s="5"/>
      <c r="I82" s="5"/>
    </row>
    <row r="83" spans="1:8" ht="18">
      <c r="A83" s="5"/>
      <c r="B83" s="28" t="s">
        <v>181</v>
      </c>
      <c r="C83" s="24">
        <f aca="true" t="shared" si="24" ref="C83:H84">C65</f>
        <v>2006</v>
      </c>
      <c r="D83" s="24">
        <f t="shared" si="24"/>
        <v>2007</v>
      </c>
      <c r="E83" s="24">
        <f t="shared" si="24"/>
        <v>2008</v>
      </c>
      <c r="F83" s="24">
        <f t="shared" si="24"/>
        <v>2009</v>
      </c>
      <c r="G83" s="24">
        <f t="shared" si="24"/>
        <v>2010</v>
      </c>
      <c r="H83" s="24">
        <f t="shared" si="24"/>
        <v>2011</v>
      </c>
    </row>
    <row r="84" spans="1:8" ht="12.75">
      <c r="A84" s="5"/>
      <c r="B84" s="5"/>
      <c r="C84" s="24" t="str">
        <f t="shared" si="24"/>
        <v>Actual</v>
      </c>
      <c r="D84" s="24" t="str">
        <f t="shared" si="24"/>
        <v>Actual</v>
      </c>
      <c r="E84" s="24" t="str">
        <f t="shared" si="24"/>
        <v>Actual</v>
      </c>
      <c r="F84" s="24" t="str">
        <f t="shared" si="24"/>
        <v>Actual</v>
      </c>
      <c r="G84" s="24" t="str">
        <f t="shared" si="24"/>
        <v>Forecasted</v>
      </c>
      <c r="H84" s="24" t="str">
        <f t="shared" si="24"/>
        <v>Forecasted</v>
      </c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 t="s">
        <v>182</v>
      </c>
      <c r="C86" s="74">
        <v>0</v>
      </c>
      <c r="D86" s="74">
        <f>C88-C93</f>
        <v>0</v>
      </c>
      <c r="E86" s="74">
        <f>D88-D93</f>
        <v>0</v>
      </c>
      <c r="F86" s="74">
        <f>E88-E93</f>
        <v>0</v>
      </c>
      <c r="G86" s="74">
        <f>F88-F93</f>
        <v>342764.68896000006</v>
      </c>
      <c r="H86" s="74">
        <f>G88-G93</f>
        <v>315343.51384320005</v>
      </c>
      <c r="I86" s="5"/>
    </row>
    <row r="87" spans="1:9" ht="12.75">
      <c r="A87" s="5"/>
      <c r="B87" s="5" t="s">
        <v>183</v>
      </c>
      <c r="C87" s="55">
        <f aca="true" t="shared" si="25" ref="C87:H87">C9</f>
        <v>0</v>
      </c>
      <c r="D87" s="55">
        <f t="shared" si="25"/>
        <v>0</v>
      </c>
      <c r="E87" s="55">
        <f t="shared" si="25"/>
        <v>0</v>
      </c>
      <c r="F87" s="55">
        <f t="shared" si="25"/>
        <v>357046.55100000004</v>
      </c>
      <c r="G87" s="55">
        <f t="shared" si="25"/>
        <v>0</v>
      </c>
      <c r="H87" s="55">
        <f t="shared" si="25"/>
        <v>0</v>
      </c>
      <c r="I87" s="5"/>
    </row>
    <row r="88" spans="1:9" ht="12.75">
      <c r="A88" s="5"/>
      <c r="B88" s="5" t="s">
        <v>184</v>
      </c>
      <c r="C88" s="74">
        <f aca="true" t="shared" si="26" ref="C88:H88">SUM(C86:C87)</f>
        <v>0</v>
      </c>
      <c r="D88" s="74">
        <f t="shared" si="26"/>
        <v>0</v>
      </c>
      <c r="E88" s="74">
        <f t="shared" si="26"/>
        <v>0</v>
      </c>
      <c r="F88" s="74">
        <f t="shared" si="26"/>
        <v>357046.55100000004</v>
      </c>
      <c r="G88" s="74">
        <f t="shared" si="26"/>
        <v>342764.68896000006</v>
      </c>
      <c r="H88" s="74">
        <f t="shared" si="26"/>
        <v>315343.51384320005</v>
      </c>
      <c r="I88" s="5"/>
    </row>
    <row r="89" spans="1:9" ht="12.75">
      <c r="A89" s="5"/>
      <c r="B89" s="5" t="s">
        <v>185</v>
      </c>
      <c r="C89" s="55">
        <f aca="true" t="shared" si="27" ref="C89:H89">SUM(C87:C87)/2</f>
        <v>0</v>
      </c>
      <c r="D89" s="55">
        <f t="shared" si="27"/>
        <v>0</v>
      </c>
      <c r="E89" s="55">
        <f t="shared" si="27"/>
        <v>0</v>
      </c>
      <c r="F89" s="55">
        <f t="shared" si="27"/>
        <v>178523.27550000002</v>
      </c>
      <c r="G89" s="55">
        <f t="shared" si="27"/>
        <v>0</v>
      </c>
      <c r="H89" s="55">
        <f t="shared" si="27"/>
        <v>0</v>
      </c>
      <c r="I89" s="5"/>
    </row>
    <row r="90" spans="1:9" ht="12.75">
      <c r="A90" s="5"/>
      <c r="B90" s="5" t="s">
        <v>186</v>
      </c>
      <c r="C90" s="74">
        <f aca="true" t="shared" si="28" ref="C90:H90">C86+C89</f>
        <v>0</v>
      </c>
      <c r="D90" s="74">
        <f t="shared" si="28"/>
        <v>0</v>
      </c>
      <c r="E90" s="74">
        <f t="shared" si="28"/>
        <v>0</v>
      </c>
      <c r="F90" s="74">
        <f t="shared" si="28"/>
        <v>178523.27550000002</v>
      </c>
      <c r="G90" s="74">
        <f t="shared" si="28"/>
        <v>342764.68896000006</v>
      </c>
      <c r="H90" s="74">
        <f t="shared" si="28"/>
        <v>315343.51384320005</v>
      </c>
      <c r="I90" s="5"/>
    </row>
    <row r="91" spans="1:9" ht="12.75">
      <c r="A91" s="5"/>
      <c r="B91" s="5" t="s">
        <v>224</v>
      </c>
      <c r="C91" s="137">
        <f>'3.  LDC Assumptions and Data'!C65</f>
        <v>47</v>
      </c>
      <c r="D91" s="137">
        <f>'3.  LDC Assumptions and Data'!D65</f>
        <v>47</v>
      </c>
      <c r="E91" s="137">
        <f>'3.  LDC Assumptions and Data'!E65</f>
        <v>47</v>
      </c>
      <c r="F91" s="137">
        <f>'3.  LDC Assumptions and Data'!F65</f>
        <v>47</v>
      </c>
      <c r="G91" s="137">
        <f>'3.  LDC Assumptions and Data'!G65</f>
        <v>47</v>
      </c>
      <c r="H91" s="137">
        <f>'3.  LDC Assumptions and Data'!H65</f>
        <v>47</v>
      </c>
      <c r="I91" s="5"/>
    </row>
    <row r="92" spans="1:9" ht="12.75">
      <c r="A92" s="5"/>
      <c r="B92" s="5" t="s">
        <v>225</v>
      </c>
      <c r="C92" s="138">
        <f>'3.  LDC Assumptions and Data'!C66</f>
        <v>0.08</v>
      </c>
      <c r="D92" s="138">
        <f>'3.  LDC Assumptions and Data'!D66</f>
        <v>0.08</v>
      </c>
      <c r="E92" s="138">
        <f>'3.  LDC Assumptions and Data'!E66</f>
        <v>0.08</v>
      </c>
      <c r="F92" s="138">
        <f>'3.  LDC Assumptions and Data'!F66</f>
        <v>0.08</v>
      </c>
      <c r="G92" s="138">
        <f>'3.  LDC Assumptions and Data'!G66</f>
        <v>0.08</v>
      </c>
      <c r="H92" s="138">
        <f>'3.  LDC Assumptions and Data'!H66</f>
        <v>0.08</v>
      </c>
      <c r="I92" s="5"/>
    </row>
    <row r="93" spans="1:9" ht="12.75">
      <c r="A93" s="5"/>
      <c r="B93" s="5" t="s">
        <v>187</v>
      </c>
      <c r="C93" s="74">
        <f aca="true" t="shared" si="29" ref="C93:H93">IF((C90*C92)&lt;C90,(C90*C92),C90)</f>
        <v>0</v>
      </c>
      <c r="D93" s="74">
        <f t="shared" si="29"/>
        <v>0</v>
      </c>
      <c r="E93" s="74">
        <f t="shared" si="29"/>
        <v>0</v>
      </c>
      <c r="F93" s="74">
        <f t="shared" si="29"/>
        <v>14281.862040000002</v>
      </c>
      <c r="G93" s="74">
        <f t="shared" si="29"/>
        <v>27421.175116800005</v>
      </c>
      <c r="H93" s="74">
        <f t="shared" si="29"/>
        <v>25227.481107456006</v>
      </c>
      <c r="I93" s="5"/>
    </row>
    <row r="94" spans="1:9" ht="13.5" thickBot="1">
      <c r="A94" s="5"/>
      <c r="B94" s="5" t="s">
        <v>188</v>
      </c>
      <c r="C94" s="99">
        <f aca="true" t="shared" si="30" ref="C94:H94">IF((C88-C93)&lt;0,0,(C88-C93))</f>
        <v>0</v>
      </c>
      <c r="D94" s="99">
        <f t="shared" si="30"/>
        <v>0</v>
      </c>
      <c r="E94" s="99">
        <f t="shared" si="30"/>
        <v>0</v>
      </c>
      <c r="F94" s="99">
        <f t="shared" si="30"/>
        <v>342764.68896000006</v>
      </c>
      <c r="G94" s="99">
        <f t="shared" si="30"/>
        <v>315343.51384320005</v>
      </c>
      <c r="H94" s="99">
        <f t="shared" si="30"/>
        <v>290116.032735744</v>
      </c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8">
      <c r="A96" s="5"/>
      <c r="B96" s="28" t="s">
        <v>189</v>
      </c>
      <c r="C96" s="24">
        <f aca="true" t="shared" si="31" ref="C96:H97">C83</f>
        <v>2006</v>
      </c>
      <c r="D96" s="24">
        <f t="shared" si="31"/>
        <v>2007</v>
      </c>
      <c r="E96" s="24">
        <f t="shared" si="31"/>
        <v>2008</v>
      </c>
      <c r="F96" s="24">
        <f t="shared" si="31"/>
        <v>2009</v>
      </c>
      <c r="G96" s="24">
        <f t="shared" si="31"/>
        <v>2010</v>
      </c>
      <c r="H96" s="24">
        <f t="shared" si="31"/>
        <v>2011</v>
      </c>
      <c r="I96" s="5"/>
    </row>
    <row r="97" spans="1:9" ht="12.75">
      <c r="A97" s="5"/>
      <c r="B97" s="5"/>
      <c r="C97" s="24" t="str">
        <f t="shared" si="31"/>
        <v>Actual</v>
      </c>
      <c r="D97" s="24" t="str">
        <f t="shared" si="31"/>
        <v>Actual</v>
      </c>
      <c r="E97" s="24" t="str">
        <f t="shared" si="31"/>
        <v>Actual</v>
      </c>
      <c r="F97" s="24" t="str">
        <f t="shared" si="31"/>
        <v>Actual</v>
      </c>
      <c r="G97" s="24" t="str">
        <f t="shared" si="31"/>
        <v>Forecasted</v>
      </c>
      <c r="H97" s="24" t="str">
        <f t="shared" si="31"/>
        <v>Forecasted</v>
      </c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 t="s">
        <v>182</v>
      </c>
      <c r="C99" s="74">
        <v>0</v>
      </c>
      <c r="D99" s="74">
        <f>C108</f>
        <v>0</v>
      </c>
      <c r="E99" s="74">
        <f>D108</f>
        <v>0</v>
      </c>
      <c r="F99" s="74">
        <f>E108</f>
        <v>0</v>
      </c>
      <c r="G99" s="74">
        <f>F108</f>
        <v>27906.31625</v>
      </c>
      <c r="H99" s="74">
        <f>G108</f>
        <v>15348.473937499999</v>
      </c>
      <c r="I99" s="5"/>
    </row>
    <row r="100" spans="1:9" ht="12.75">
      <c r="A100" s="5"/>
      <c r="B100" s="5" t="s">
        <v>190</v>
      </c>
      <c r="C100" s="55">
        <f aca="true" t="shared" si="32" ref="C100:H100">C24</f>
        <v>0</v>
      </c>
      <c r="D100" s="55">
        <f t="shared" si="32"/>
        <v>0</v>
      </c>
      <c r="E100" s="55">
        <f t="shared" si="32"/>
        <v>0</v>
      </c>
      <c r="F100" s="55">
        <f t="shared" si="32"/>
        <v>12859.68</v>
      </c>
      <c r="G100" s="55">
        <f t="shared" si="32"/>
        <v>0</v>
      </c>
      <c r="H100" s="55">
        <f t="shared" si="32"/>
        <v>0</v>
      </c>
      <c r="I100" s="5"/>
    </row>
    <row r="101" spans="1:9" ht="12.75">
      <c r="A101" s="5"/>
      <c r="B101" s="5" t="s">
        <v>191</v>
      </c>
      <c r="C101" s="55">
        <f aca="true" t="shared" si="33" ref="C101:H101">C39</f>
        <v>0</v>
      </c>
      <c r="D101" s="55">
        <f t="shared" si="33"/>
        <v>0</v>
      </c>
      <c r="E101" s="55">
        <f t="shared" si="33"/>
        <v>0</v>
      </c>
      <c r="F101" s="55">
        <f t="shared" si="33"/>
        <v>23148.47</v>
      </c>
      <c r="G101" s="55">
        <f t="shared" si="33"/>
        <v>0</v>
      </c>
      <c r="H101" s="55">
        <f t="shared" si="33"/>
        <v>0</v>
      </c>
      <c r="I101" s="5"/>
    </row>
    <row r="102" spans="1:9" ht="12.75">
      <c r="A102" s="5"/>
      <c r="B102" s="5" t="s">
        <v>184</v>
      </c>
      <c r="C102" s="74">
        <f aca="true" t="shared" si="34" ref="C102:H102">SUM(C99:C101)</f>
        <v>0</v>
      </c>
      <c r="D102" s="74">
        <f t="shared" si="34"/>
        <v>0</v>
      </c>
      <c r="E102" s="74">
        <f t="shared" si="34"/>
        <v>0</v>
      </c>
      <c r="F102" s="74">
        <f t="shared" si="34"/>
        <v>36008.15</v>
      </c>
      <c r="G102" s="74">
        <f t="shared" si="34"/>
        <v>27906.31625</v>
      </c>
      <c r="H102" s="74">
        <f t="shared" si="34"/>
        <v>15348.473937499999</v>
      </c>
      <c r="I102" s="5"/>
    </row>
    <row r="103" spans="1:9" ht="12.75">
      <c r="A103" s="5"/>
      <c r="B103" s="5" t="s">
        <v>185</v>
      </c>
      <c r="C103" s="55">
        <f aca="true" t="shared" si="35" ref="C103:H103">SUM(C100:C101)/2</f>
        <v>0</v>
      </c>
      <c r="D103" s="55">
        <f t="shared" si="35"/>
        <v>0</v>
      </c>
      <c r="E103" s="55">
        <f t="shared" si="35"/>
        <v>0</v>
      </c>
      <c r="F103" s="55">
        <f t="shared" si="35"/>
        <v>18004.075</v>
      </c>
      <c r="G103" s="55">
        <f t="shared" si="35"/>
        <v>0</v>
      </c>
      <c r="H103" s="55">
        <f t="shared" si="35"/>
        <v>0</v>
      </c>
      <c r="I103" s="5"/>
    </row>
    <row r="104" spans="1:9" ht="12.75">
      <c r="A104" s="5"/>
      <c r="B104" s="5" t="s">
        <v>186</v>
      </c>
      <c r="C104" s="74">
        <f aca="true" t="shared" si="36" ref="C104:H104">C99+C103</f>
        <v>0</v>
      </c>
      <c r="D104" s="74">
        <f t="shared" si="36"/>
        <v>0</v>
      </c>
      <c r="E104" s="74">
        <f t="shared" si="36"/>
        <v>0</v>
      </c>
      <c r="F104" s="74">
        <f t="shared" si="36"/>
        <v>18004.075</v>
      </c>
      <c r="G104" s="74">
        <f t="shared" si="36"/>
        <v>27906.31625</v>
      </c>
      <c r="H104" s="74">
        <f t="shared" si="36"/>
        <v>15348.473937499999</v>
      </c>
      <c r="I104" s="5"/>
    </row>
    <row r="105" spans="1:9" ht="12.75">
      <c r="A105" s="5"/>
      <c r="B105" s="5" t="s">
        <v>224</v>
      </c>
      <c r="C105" s="137">
        <f>'3.  LDC Assumptions and Data'!C68</f>
        <v>45</v>
      </c>
      <c r="D105" s="137">
        <f>'3.  LDC Assumptions and Data'!D68</f>
        <v>45</v>
      </c>
      <c r="E105" s="137">
        <f>'3.  LDC Assumptions and Data'!E68</f>
        <v>45</v>
      </c>
      <c r="F105" s="137">
        <f>'3.  LDC Assumptions and Data'!F68</f>
        <v>45</v>
      </c>
      <c r="G105" s="137">
        <f>'3.  LDC Assumptions and Data'!G68</f>
        <v>45</v>
      </c>
      <c r="H105" s="137">
        <f>'3.  LDC Assumptions and Data'!H68</f>
        <v>45</v>
      </c>
      <c r="I105" s="5"/>
    </row>
    <row r="106" spans="1:9" ht="12.75">
      <c r="A106" s="5"/>
      <c r="B106" s="5" t="s">
        <v>225</v>
      </c>
      <c r="C106" s="138">
        <f>'3.  LDC Assumptions and Data'!C69</f>
        <v>0.45</v>
      </c>
      <c r="D106" s="138">
        <f>'3.  LDC Assumptions and Data'!D69</f>
        <v>0.45</v>
      </c>
      <c r="E106" s="138">
        <f>'3.  LDC Assumptions and Data'!E69</f>
        <v>0.45</v>
      </c>
      <c r="F106" s="138">
        <f>'3.  LDC Assumptions and Data'!F69</f>
        <v>0.45</v>
      </c>
      <c r="G106" s="138">
        <f>'3.  LDC Assumptions and Data'!G69</f>
        <v>0.45</v>
      </c>
      <c r="H106" s="138">
        <f>'3.  LDC Assumptions and Data'!H69</f>
        <v>0.45</v>
      </c>
      <c r="I106" s="5"/>
    </row>
    <row r="107" spans="1:9" ht="12.75">
      <c r="A107" s="5"/>
      <c r="B107" s="5" t="s">
        <v>187</v>
      </c>
      <c r="C107" s="74">
        <f aca="true" t="shared" si="37" ref="C107:H107">IF((C104*C106)&lt;C104,(C104*C106),C104)</f>
        <v>0</v>
      </c>
      <c r="D107" s="74">
        <f t="shared" si="37"/>
        <v>0</v>
      </c>
      <c r="E107" s="74">
        <f t="shared" si="37"/>
        <v>0</v>
      </c>
      <c r="F107" s="74">
        <f t="shared" si="37"/>
        <v>8101.833750000001</v>
      </c>
      <c r="G107" s="74">
        <f t="shared" si="37"/>
        <v>12557.8423125</v>
      </c>
      <c r="H107" s="74">
        <f t="shared" si="37"/>
        <v>6906.813271874999</v>
      </c>
      <c r="I107" s="5"/>
    </row>
    <row r="108" spans="1:9" ht="13.5" thickBot="1">
      <c r="A108" s="5"/>
      <c r="B108" s="5" t="s">
        <v>188</v>
      </c>
      <c r="C108" s="99">
        <f aca="true" t="shared" si="38" ref="C108:H108">IF((C102-C107)&lt;0,0,(C102-C107))</f>
        <v>0</v>
      </c>
      <c r="D108" s="99">
        <f t="shared" si="38"/>
        <v>0</v>
      </c>
      <c r="E108" s="99">
        <f t="shared" si="38"/>
        <v>0</v>
      </c>
      <c r="F108" s="99">
        <f t="shared" si="38"/>
        <v>27906.31625</v>
      </c>
      <c r="G108" s="99">
        <f t="shared" si="38"/>
        <v>15348.473937499999</v>
      </c>
      <c r="H108" s="99">
        <f t="shared" si="38"/>
        <v>8441.660665625</v>
      </c>
      <c r="I108" s="5"/>
    </row>
    <row r="110" spans="1:9" ht="18">
      <c r="A110" s="5"/>
      <c r="B110" s="28" t="s">
        <v>192</v>
      </c>
      <c r="C110" s="24">
        <f aca="true" t="shared" si="39" ref="C110:H111">C96</f>
        <v>2006</v>
      </c>
      <c r="D110" s="24">
        <f t="shared" si="39"/>
        <v>2007</v>
      </c>
      <c r="E110" s="24">
        <f t="shared" si="39"/>
        <v>2008</v>
      </c>
      <c r="F110" s="24">
        <f t="shared" si="39"/>
        <v>2009</v>
      </c>
      <c r="G110" s="24">
        <f t="shared" si="39"/>
        <v>2010</v>
      </c>
      <c r="H110" s="24">
        <f t="shared" si="39"/>
        <v>2011</v>
      </c>
      <c r="I110" s="5"/>
    </row>
    <row r="111" spans="1:9" ht="12.75">
      <c r="A111" s="5"/>
      <c r="B111" s="5"/>
      <c r="C111" s="24" t="str">
        <f t="shared" si="39"/>
        <v>Actual</v>
      </c>
      <c r="D111" s="24" t="str">
        <f t="shared" si="39"/>
        <v>Actual</v>
      </c>
      <c r="E111" s="24" t="str">
        <f t="shared" si="39"/>
        <v>Actual</v>
      </c>
      <c r="F111" s="24" t="str">
        <f t="shared" si="39"/>
        <v>Actual</v>
      </c>
      <c r="G111" s="24" t="str">
        <f t="shared" si="39"/>
        <v>Forecasted</v>
      </c>
      <c r="H111" s="24" t="str">
        <f t="shared" si="39"/>
        <v>Forecasted</v>
      </c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 t="s">
        <v>182</v>
      </c>
      <c r="C113" s="74">
        <v>0</v>
      </c>
      <c r="D113" s="74">
        <f>C122</f>
        <v>0</v>
      </c>
      <c r="E113" s="74">
        <f>D122</f>
        <v>0</v>
      </c>
      <c r="F113" s="74">
        <f>E122</f>
        <v>0</v>
      </c>
      <c r="G113" s="74">
        <f>F122</f>
        <v>905.985</v>
      </c>
      <c r="H113" s="74">
        <f>G122</f>
        <v>724.788</v>
      </c>
      <c r="I113" s="5"/>
    </row>
    <row r="114" spans="1:9" ht="12.75">
      <c r="A114" s="5"/>
      <c r="B114" s="5" t="s">
        <v>193</v>
      </c>
      <c r="C114" s="55">
        <f aca="true" t="shared" si="40" ref="C114:H114">C54</f>
        <v>0</v>
      </c>
      <c r="D114" s="55">
        <f t="shared" si="40"/>
        <v>0</v>
      </c>
      <c r="E114" s="55">
        <f t="shared" si="40"/>
        <v>0</v>
      </c>
      <c r="F114" s="55">
        <f t="shared" si="40"/>
        <v>0</v>
      </c>
      <c r="G114" s="55">
        <f t="shared" si="40"/>
        <v>0</v>
      </c>
      <c r="H114" s="55">
        <f t="shared" si="40"/>
        <v>0</v>
      </c>
      <c r="I114" s="5"/>
    </row>
    <row r="115" spans="1:9" ht="12.75">
      <c r="A115" s="5"/>
      <c r="B115" s="5" t="s">
        <v>194</v>
      </c>
      <c r="C115" s="55">
        <f aca="true" t="shared" si="41" ref="C115:H115">C69</f>
        <v>0</v>
      </c>
      <c r="D115" s="55">
        <f t="shared" si="41"/>
        <v>0</v>
      </c>
      <c r="E115" s="55">
        <f t="shared" si="41"/>
        <v>0</v>
      </c>
      <c r="F115" s="55">
        <f t="shared" si="41"/>
        <v>1006.65</v>
      </c>
      <c r="G115" s="55">
        <f t="shared" si="41"/>
        <v>0</v>
      </c>
      <c r="H115" s="55">
        <f t="shared" si="41"/>
        <v>0</v>
      </c>
      <c r="I115" s="5"/>
    </row>
    <row r="116" spans="1:9" ht="12.75">
      <c r="A116" s="5"/>
      <c r="B116" s="5" t="s">
        <v>184</v>
      </c>
      <c r="C116" s="74">
        <f aca="true" t="shared" si="42" ref="C116:H116">SUM(C113:C115)</f>
        <v>0</v>
      </c>
      <c r="D116" s="74">
        <f t="shared" si="42"/>
        <v>0</v>
      </c>
      <c r="E116" s="74">
        <f t="shared" si="42"/>
        <v>0</v>
      </c>
      <c r="F116" s="74">
        <f t="shared" si="42"/>
        <v>1006.65</v>
      </c>
      <c r="G116" s="74">
        <f t="shared" si="42"/>
        <v>905.985</v>
      </c>
      <c r="H116" s="74">
        <f t="shared" si="42"/>
        <v>724.788</v>
      </c>
      <c r="I116" s="5"/>
    </row>
    <row r="117" spans="1:9" ht="12.75">
      <c r="A117" s="5"/>
      <c r="B117" s="5" t="s">
        <v>185</v>
      </c>
      <c r="C117" s="55">
        <f aca="true" t="shared" si="43" ref="C117:H117">SUM(C114:C115)/2</f>
        <v>0</v>
      </c>
      <c r="D117" s="55">
        <f t="shared" si="43"/>
        <v>0</v>
      </c>
      <c r="E117" s="55">
        <f t="shared" si="43"/>
        <v>0</v>
      </c>
      <c r="F117" s="55">
        <f t="shared" si="43"/>
        <v>503.325</v>
      </c>
      <c r="G117" s="55">
        <f t="shared" si="43"/>
        <v>0</v>
      </c>
      <c r="H117" s="55">
        <f t="shared" si="43"/>
        <v>0</v>
      </c>
      <c r="I117" s="5"/>
    </row>
    <row r="118" spans="1:9" ht="12.75">
      <c r="A118" s="5"/>
      <c r="B118" s="5" t="s">
        <v>186</v>
      </c>
      <c r="C118" s="74">
        <f aca="true" t="shared" si="44" ref="C118:H118">C113+C117</f>
        <v>0</v>
      </c>
      <c r="D118" s="74">
        <f t="shared" si="44"/>
        <v>0</v>
      </c>
      <c r="E118" s="74">
        <f t="shared" si="44"/>
        <v>0</v>
      </c>
      <c r="F118" s="74">
        <f t="shared" si="44"/>
        <v>503.325</v>
      </c>
      <c r="G118" s="74">
        <f t="shared" si="44"/>
        <v>905.985</v>
      </c>
      <c r="H118" s="74">
        <f t="shared" si="44"/>
        <v>724.788</v>
      </c>
      <c r="I118" s="5"/>
    </row>
    <row r="119" spans="1:9" ht="12.75">
      <c r="A119" s="5"/>
      <c r="B119" s="5" t="s">
        <v>224</v>
      </c>
      <c r="C119" s="137">
        <f>'3.  LDC Assumptions and Data'!C71</f>
        <v>8</v>
      </c>
      <c r="D119" s="137">
        <f>'3.  LDC Assumptions and Data'!D71</f>
        <v>8</v>
      </c>
      <c r="E119" s="137">
        <f>'3.  LDC Assumptions and Data'!E71</f>
        <v>8</v>
      </c>
      <c r="F119" s="137">
        <f>'3.  LDC Assumptions and Data'!F71</f>
        <v>8</v>
      </c>
      <c r="G119" s="137">
        <f>'3.  LDC Assumptions and Data'!G71</f>
        <v>8</v>
      </c>
      <c r="H119" s="137">
        <f>'3.  LDC Assumptions and Data'!H71</f>
        <v>8</v>
      </c>
      <c r="I119" s="5"/>
    </row>
    <row r="120" spans="1:9" ht="12.75">
      <c r="A120" s="5"/>
      <c r="B120" s="5" t="s">
        <v>225</v>
      </c>
      <c r="C120" s="138">
        <f>'3.  LDC Assumptions and Data'!C72</f>
        <v>0.2</v>
      </c>
      <c r="D120" s="138">
        <f>'3.  LDC Assumptions and Data'!D72</f>
        <v>0.2</v>
      </c>
      <c r="E120" s="138">
        <f>'3.  LDC Assumptions and Data'!E72</f>
        <v>0.2</v>
      </c>
      <c r="F120" s="138">
        <f>'3.  LDC Assumptions and Data'!F72</f>
        <v>0.2</v>
      </c>
      <c r="G120" s="138">
        <f>'3.  LDC Assumptions and Data'!G72</f>
        <v>0.2</v>
      </c>
      <c r="H120" s="138">
        <f>'3.  LDC Assumptions and Data'!H72</f>
        <v>0.2</v>
      </c>
      <c r="I120" s="5"/>
    </row>
    <row r="121" spans="1:9" ht="12.75">
      <c r="A121" s="5"/>
      <c r="B121" s="5" t="s">
        <v>187</v>
      </c>
      <c r="C121" s="74">
        <f aca="true" t="shared" si="45" ref="C121:H121">IF((C118*C120)&lt;C118,(C118*C120),C118)</f>
        <v>0</v>
      </c>
      <c r="D121" s="74">
        <f t="shared" si="45"/>
        <v>0</v>
      </c>
      <c r="E121" s="74">
        <f t="shared" si="45"/>
        <v>0</v>
      </c>
      <c r="F121" s="74">
        <f t="shared" si="45"/>
        <v>100.665</v>
      </c>
      <c r="G121" s="74">
        <f t="shared" si="45"/>
        <v>181.197</v>
      </c>
      <c r="H121" s="74">
        <f t="shared" si="45"/>
        <v>144.9576</v>
      </c>
      <c r="I121" s="5"/>
    </row>
    <row r="122" spans="1:9" ht="13.5" thickBot="1">
      <c r="A122" s="5"/>
      <c r="B122" s="5" t="s">
        <v>188</v>
      </c>
      <c r="C122" s="99">
        <f aca="true" t="shared" si="46" ref="C122:H122">IF((C116-C121)&lt;0,0,(C116-C121))</f>
        <v>0</v>
      </c>
      <c r="D122" s="99">
        <f t="shared" si="46"/>
        <v>0</v>
      </c>
      <c r="E122" s="99">
        <f t="shared" si="46"/>
        <v>0</v>
      </c>
      <c r="F122" s="99">
        <f t="shared" si="46"/>
        <v>905.985</v>
      </c>
      <c r="G122" s="99">
        <f t="shared" si="46"/>
        <v>724.788</v>
      </c>
      <c r="H122" s="99">
        <f t="shared" si="46"/>
        <v>579.8304</v>
      </c>
      <c r="I122" s="5"/>
    </row>
    <row r="125" ht="12.75">
      <c r="F125" s="155"/>
    </row>
    <row r="126" ht="15">
      <c r="B126" s="25"/>
    </row>
    <row r="127" spans="2:6" ht="15">
      <c r="B127" s="25"/>
      <c r="F127" s="155"/>
    </row>
  </sheetData>
  <sheetProtection formatColumns="0" selectLockedCells="1"/>
  <mergeCells count="1">
    <mergeCell ref="B1:E1"/>
  </mergeCells>
  <printOptions/>
  <pageMargins left="0.3937007874015748" right="0.3937007874015748" top="0.3937007874015748" bottom="0.3937007874015748" header="0.1968503937007874" footer="0.1968503937007874"/>
  <pageSetup fitToHeight="2" horizontalDpi="600" verticalDpi="600" orientation="landscape" scale="65" r:id="rId1"/>
  <rowBreaks count="1" manualBreakCount="1">
    <brk id="8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PageLayoutView="0" workbookViewId="0" topLeftCell="C34">
      <selection activeCell="K41" sqref="K41"/>
    </sheetView>
  </sheetViews>
  <sheetFormatPr defaultColWidth="11.421875" defaultRowHeight="12.75"/>
  <cols>
    <col min="1" max="1" width="23.8515625" style="57" customWidth="1"/>
    <col min="2" max="2" width="14.140625" style="56" bestFit="1" customWidth="1"/>
    <col min="3" max="3" width="13.7109375" style="56" customWidth="1"/>
    <col min="4" max="4" width="11.421875" style="56" customWidth="1"/>
    <col min="5" max="6" width="12.7109375" style="56" customWidth="1"/>
    <col min="7" max="7" width="14.140625" style="56" bestFit="1" customWidth="1"/>
    <col min="8" max="8" width="12.28125" style="56" bestFit="1" customWidth="1"/>
    <col min="9" max="10" width="11.421875" style="56" customWidth="1"/>
    <col min="11" max="11" width="25.7109375" style="57" customWidth="1"/>
    <col min="12" max="12" width="22.7109375" style="57" customWidth="1"/>
    <col min="13" max="16384" width="11.421875" style="56" customWidth="1"/>
  </cols>
  <sheetData>
    <row r="1" spans="1:12" ht="50.25" thickBot="1">
      <c r="A1" s="203" t="s">
        <v>232</v>
      </c>
      <c r="B1" s="204"/>
      <c r="C1" s="204"/>
      <c r="D1" s="204"/>
      <c r="E1" s="204"/>
      <c r="F1" s="204"/>
      <c r="G1" s="205"/>
      <c r="J1" s="146"/>
      <c r="K1" s="147" t="s">
        <v>233</v>
      </c>
      <c r="L1" s="147" t="s">
        <v>235</v>
      </c>
    </row>
    <row r="2" spans="10:12" ht="94.5">
      <c r="J2" s="146"/>
      <c r="K2" s="147" t="s">
        <v>234</v>
      </c>
      <c r="L2" s="147" t="s">
        <v>236</v>
      </c>
    </row>
    <row r="3" spans="2:12" ht="15.75">
      <c r="B3" s="56" t="s">
        <v>125</v>
      </c>
      <c r="C3" s="141" t="s">
        <v>231</v>
      </c>
      <c r="D3" s="56" t="s">
        <v>126</v>
      </c>
      <c r="E3" s="56" t="s">
        <v>127</v>
      </c>
      <c r="F3" s="141"/>
      <c r="G3" s="56" t="s">
        <v>128</v>
      </c>
      <c r="J3" s="146" t="s">
        <v>248</v>
      </c>
      <c r="K3" s="148">
        <v>4.14</v>
      </c>
      <c r="L3" s="148">
        <v>4.68</v>
      </c>
    </row>
    <row r="4" spans="1:12" ht="15.75">
      <c r="A4" s="145">
        <v>38718</v>
      </c>
      <c r="B4" s="143">
        <v>0</v>
      </c>
      <c r="C4" s="142"/>
      <c r="D4" s="58">
        <f>'3.  LDC Assumptions and Data'!$C$16</f>
        <v>0.05</v>
      </c>
      <c r="E4" s="143">
        <f aca="true" t="shared" si="0" ref="E4:E27">(B4*D4)/12</f>
        <v>0</v>
      </c>
      <c r="F4" s="143"/>
      <c r="G4" s="143">
        <f>SUM(B4:C4,E4)</f>
        <v>0</v>
      </c>
      <c r="J4" s="146" t="s">
        <v>247</v>
      </c>
      <c r="K4" s="148">
        <v>4.59</v>
      </c>
      <c r="L4" s="148">
        <v>5.05</v>
      </c>
    </row>
    <row r="5" spans="1:12" ht="15.75">
      <c r="A5" s="145">
        <v>38749</v>
      </c>
      <c r="B5" s="144">
        <f>G4</f>
        <v>0</v>
      </c>
      <c r="C5" s="142"/>
      <c r="D5" s="58">
        <f>'3.  LDC Assumptions and Data'!$C$16</f>
        <v>0.05</v>
      </c>
      <c r="E5" s="143">
        <f t="shared" si="0"/>
        <v>0</v>
      </c>
      <c r="F5" s="143"/>
      <c r="G5" s="143">
        <f>SUM(B5:C5,E5)</f>
        <v>0</v>
      </c>
      <c r="J5" s="146" t="s">
        <v>246</v>
      </c>
      <c r="K5" s="148">
        <v>4.59</v>
      </c>
      <c r="L5" s="148">
        <v>4.72</v>
      </c>
    </row>
    <row r="6" spans="1:12" ht="15.75">
      <c r="A6" s="145">
        <v>38777</v>
      </c>
      <c r="B6" s="144">
        <f>G5</f>
        <v>0</v>
      </c>
      <c r="C6" s="142"/>
      <c r="D6" s="58">
        <f>'3.  LDC Assumptions and Data'!$C$16</f>
        <v>0.05</v>
      </c>
      <c r="E6" s="143">
        <f t="shared" si="0"/>
        <v>0</v>
      </c>
      <c r="F6" s="143"/>
      <c r="G6" s="143">
        <f>SUM(B6:C6,E6)</f>
        <v>0</v>
      </c>
      <c r="J6" s="146" t="s">
        <v>245</v>
      </c>
      <c r="K6" s="148">
        <v>4.59</v>
      </c>
      <c r="L6" s="148">
        <v>4.72</v>
      </c>
    </row>
    <row r="7" spans="1:12" ht="15.75">
      <c r="A7" s="145">
        <v>38808</v>
      </c>
      <c r="B7" s="144">
        <f>G6</f>
        <v>0</v>
      </c>
      <c r="C7" s="142"/>
      <c r="D7" s="59">
        <v>0.0414</v>
      </c>
      <c r="E7" s="143">
        <f t="shared" si="0"/>
        <v>0</v>
      </c>
      <c r="F7" s="143"/>
      <c r="G7" s="143">
        <f>SUM(B7:C7,E7)</f>
        <v>0</v>
      </c>
      <c r="J7" s="146" t="s">
        <v>244</v>
      </c>
      <c r="K7" s="148">
        <v>4.59</v>
      </c>
      <c r="L7" s="148">
        <v>4.72</v>
      </c>
    </row>
    <row r="8" spans="1:12" ht="15.75">
      <c r="A8" s="145">
        <v>38838</v>
      </c>
      <c r="B8" s="144">
        <f>G7</f>
        <v>0</v>
      </c>
      <c r="C8" s="142">
        <v>0.58</v>
      </c>
      <c r="D8" s="59">
        <v>0.0414</v>
      </c>
      <c r="E8" s="143">
        <f t="shared" si="0"/>
        <v>0</v>
      </c>
      <c r="F8" s="143"/>
      <c r="G8" s="143">
        <f>+C8+F8</f>
        <v>0.58</v>
      </c>
      <c r="J8" s="146" t="s">
        <v>243</v>
      </c>
      <c r="K8" s="148">
        <v>4.59</v>
      </c>
      <c r="L8" s="148">
        <v>5.18</v>
      </c>
    </row>
    <row r="9" spans="1:12" ht="15.75">
      <c r="A9" s="145">
        <v>38869</v>
      </c>
      <c r="B9" s="144">
        <f>C8</f>
        <v>0.58</v>
      </c>
      <c r="C9" s="142">
        <v>125.4</v>
      </c>
      <c r="D9" s="59">
        <v>0.0414</v>
      </c>
      <c r="E9" s="143">
        <f t="shared" si="0"/>
        <v>0.0020009999999999997</v>
      </c>
      <c r="F9" s="143">
        <f>+E9</f>
        <v>0.0020009999999999997</v>
      </c>
      <c r="G9" s="143">
        <f>+B9+C9+F9</f>
        <v>125.98200100000001</v>
      </c>
      <c r="H9" s="154"/>
      <c r="J9" s="146" t="s">
        <v>242</v>
      </c>
      <c r="K9" s="148">
        <v>5.14</v>
      </c>
      <c r="L9" s="148">
        <v>5.18</v>
      </c>
    </row>
    <row r="10" spans="1:12" ht="15.75">
      <c r="A10" s="145">
        <v>38899</v>
      </c>
      <c r="B10" s="144">
        <f>C9+B9</f>
        <v>125.98</v>
      </c>
      <c r="C10" s="142">
        <v>351.12</v>
      </c>
      <c r="D10" s="59">
        <v>0.0459</v>
      </c>
      <c r="E10" s="143">
        <f t="shared" si="0"/>
        <v>0.48187350000000007</v>
      </c>
      <c r="F10" s="143">
        <f>+F9+E10</f>
        <v>0.48387450000000004</v>
      </c>
      <c r="G10" s="143">
        <f>+B10+C10+F10</f>
        <v>477.58387450000004</v>
      </c>
      <c r="H10" s="154"/>
      <c r="I10" s="154"/>
      <c r="J10" s="146" t="s">
        <v>241</v>
      </c>
      <c r="K10" s="148">
        <v>5.14</v>
      </c>
      <c r="L10" s="148">
        <v>5.18</v>
      </c>
    </row>
    <row r="11" spans="1:12" ht="15.75">
      <c r="A11" s="145">
        <v>38930</v>
      </c>
      <c r="B11" s="144">
        <f aca="true" t="shared" si="1" ref="B11:B57">C10+B10</f>
        <v>477.1</v>
      </c>
      <c r="C11" s="142">
        <v>340.12</v>
      </c>
      <c r="D11" s="59">
        <v>0.0459</v>
      </c>
      <c r="E11" s="143">
        <f t="shared" si="0"/>
        <v>1.8249075000000001</v>
      </c>
      <c r="F11" s="143">
        <f aca="true" t="shared" si="2" ref="F11:F74">+F10+E11</f>
        <v>2.3087820000000003</v>
      </c>
      <c r="G11" s="143">
        <f>+B11+C11+F11</f>
        <v>819.528782</v>
      </c>
      <c r="H11" s="154"/>
      <c r="I11" s="154"/>
      <c r="J11" s="146" t="s">
        <v>240</v>
      </c>
      <c r="K11" s="148">
        <v>4.08</v>
      </c>
      <c r="L11" s="148">
        <v>5.18</v>
      </c>
    </row>
    <row r="12" spans="1:12" ht="15.75">
      <c r="A12" s="145">
        <v>38961</v>
      </c>
      <c r="B12" s="144">
        <f t="shared" si="1"/>
        <v>817.22</v>
      </c>
      <c r="C12" s="142">
        <v>388.25</v>
      </c>
      <c r="D12" s="59">
        <v>0.0459</v>
      </c>
      <c r="E12" s="143">
        <f t="shared" si="0"/>
        <v>3.1258665000000003</v>
      </c>
      <c r="F12" s="143">
        <f t="shared" si="2"/>
        <v>5.434648500000001</v>
      </c>
      <c r="G12" s="143">
        <f>+B12+C12+F12</f>
        <v>1210.9046485000001</v>
      </c>
      <c r="H12" s="154"/>
      <c r="I12" s="154"/>
      <c r="J12" s="146" t="s">
        <v>239</v>
      </c>
      <c r="K12" s="148">
        <v>3.35</v>
      </c>
      <c r="L12" s="148">
        <v>5.43</v>
      </c>
    </row>
    <row r="13" spans="1:12" ht="15.75">
      <c r="A13" s="145">
        <v>38991</v>
      </c>
      <c r="B13" s="144">
        <f t="shared" si="1"/>
        <v>1205.47</v>
      </c>
      <c r="C13" s="142">
        <v>340.25</v>
      </c>
      <c r="D13" s="59">
        <v>0.0459</v>
      </c>
      <c r="E13" s="143">
        <f t="shared" si="0"/>
        <v>4.61092275</v>
      </c>
      <c r="F13" s="143">
        <f t="shared" si="2"/>
        <v>10.045571250000002</v>
      </c>
      <c r="G13" s="143">
        <f>+B13+C13+F13</f>
        <v>1555.76557125</v>
      </c>
      <c r="H13" s="154"/>
      <c r="J13" s="146" t="s">
        <v>238</v>
      </c>
      <c r="K13" s="148">
        <v>3.35</v>
      </c>
      <c r="L13" s="148">
        <v>5.43</v>
      </c>
    </row>
    <row r="14" spans="1:12" ht="15.75">
      <c r="A14" s="145">
        <v>39022</v>
      </c>
      <c r="B14" s="144">
        <f t="shared" si="1"/>
        <v>1545.72</v>
      </c>
      <c r="C14" s="142">
        <v>387.75</v>
      </c>
      <c r="D14" s="59">
        <v>0.0459</v>
      </c>
      <c r="E14" s="143">
        <f t="shared" si="0"/>
        <v>5.9123790000000005</v>
      </c>
      <c r="F14" s="143">
        <f t="shared" si="2"/>
        <v>15.957950250000003</v>
      </c>
      <c r="G14" s="143">
        <f aca="true" t="shared" si="3" ref="G14:G52">+B14+C14+F14</f>
        <v>1949.42795025</v>
      </c>
      <c r="H14" s="154"/>
      <c r="J14" s="146" t="s">
        <v>257</v>
      </c>
      <c r="K14" s="148">
        <v>2.45</v>
      </c>
      <c r="L14" s="148">
        <v>6.61</v>
      </c>
    </row>
    <row r="15" spans="1:12" ht="15.75">
      <c r="A15" s="145">
        <v>39052</v>
      </c>
      <c r="B15" s="144">
        <f t="shared" si="1"/>
        <v>1933.47</v>
      </c>
      <c r="C15" s="142">
        <v>337.5</v>
      </c>
      <c r="D15" s="59">
        <v>0.0459</v>
      </c>
      <c r="E15" s="143">
        <f t="shared" si="0"/>
        <v>7.3955227500000005</v>
      </c>
      <c r="F15" s="143">
        <f t="shared" si="2"/>
        <v>23.353473000000005</v>
      </c>
      <c r="G15" s="143">
        <f t="shared" si="3"/>
        <v>2294.3234730000004</v>
      </c>
      <c r="H15" s="154"/>
      <c r="J15" s="146" t="s">
        <v>258</v>
      </c>
      <c r="K15" s="182">
        <v>1</v>
      </c>
      <c r="L15" s="148">
        <v>6.61</v>
      </c>
    </row>
    <row r="16" spans="1:12" ht="15.75">
      <c r="A16" s="145">
        <v>39083</v>
      </c>
      <c r="B16" s="144">
        <f t="shared" si="1"/>
        <v>2270.9700000000003</v>
      </c>
      <c r="C16" s="142">
        <v>388.99</v>
      </c>
      <c r="D16" s="59">
        <v>0.0459</v>
      </c>
      <c r="E16" s="143">
        <f t="shared" si="0"/>
        <v>8.686460250000001</v>
      </c>
      <c r="F16" s="143">
        <f t="shared" si="2"/>
        <v>32.039933250000004</v>
      </c>
      <c r="G16" s="143">
        <f t="shared" si="3"/>
        <v>2691.99993325</v>
      </c>
      <c r="H16" s="154"/>
      <c r="J16" s="146" t="s">
        <v>259</v>
      </c>
      <c r="K16" s="148">
        <v>0.55</v>
      </c>
      <c r="L16" s="148">
        <v>5.67</v>
      </c>
    </row>
    <row r="17" spans="1:12" ht="15.75">
      <c r="A17" s="145">
        <v>39114</v>
      </c>
      <c r="B17" s="144">
        <f t="shared" si="1"/>
        <v>2659.96</v>
      </c>
      <c r="C17" s="142">
        <v>332.5</v>
      </c>
      <c r="D17" s="59">
        <v>0.0459</v>
      </c>
      <c r="E17" s="143">
        <f t="shared" si="0"/>
        <v>10.174347000000001</v>
      </c>
      <c r="F17" s="143">
        <f t="shared" si="2"/>
        <v>42.21428025</v>
      </c>
      <c r="G17" s="143">
        <f t="shared" si="3"/>
        <v>3034.6742802500003</v>
      </c>
      <c r="H17" s="154"/>
      <c r="J17" s="146" t="s">
        <v>260</v>
      </c>
      <c r="K17" s="148">
        <v>0.55</v>
      </c>
      <c r="L17" s="148">
        <v>4.66</v>
      </c>
    </row>
    <row r="18" spans="1:8" ht="15">
      <c r="A18" s="145">
        <v>39142</v>
      </c>
      <c r="B18" s="144">
        <f t="shared" si="1"/>
        <v>2992.46</v>
      </c>
      <c r="C18" s="142">
        <v>387.25</v>
      </c>
      <c r="D18" s="59">
        <v>0.0459</v>
      </c>
      <c r="E18" s="143">
        <f t="shared" si="0"/>
        <v>11.4461595</v>
      </c>
      <c r="F18" s="143">
        <f t="shared" si="2"/>
        <v>53.66043975</v>
      </c>
      <c r="G18" s="143">
        <f t="shared" si="3"/>
        <v>3433.37043975</v>
      </c>
      <c r="H18" s="154"/>
    </row>
    <row r="19" spans="1:11" ht="15">
      <c r="A19" s="145">
        <v>39173</v>
      </c>
      <c r="B19" s="144">
        <f t="shared" si="1"/>
        <v>3379.71</v>
      </c>
      <c r="C19" s="142">
        <v>339</v>
      </c>
      <c r="D19" s="59">
        <v>0.0459</v>
      </c>
      <c r="E19" s="143">
        <f t="shared" si="0"/>
        <v>12.92739075</v>
      </c>
      <c r="F19" s="143">
        <f t="shared" si="2"/>
        <v>66.5878305</v>
      </c>
      <c r="G19" s="143">
        <f t="shared" si="3"/>
        <v>3785.2978305</v>
      </c>
      <c r="H19" s="154">
        <f>G19</f>
        <v>3785.2978305</v>
      </c>
      <c r="K19" s="57" t="s">
        <v>237</v>
      </c>
    </row>
    <row r="20" spans="1:8" ht="15">
      <c r="A20" s="145">
        <v>39203</v>
      </c>
      <c r="B20" s="144">
        <f t="shared" si="1"/>
        <v>3718.71</v>
      </c>
      <c r="C20" s="142">
        <v>388.25</v>
      </c>
      <c r="D20" s="59">
        <v>0.0459</v>
      </c>
      <c r="E20" s="143">
        <f t="shared" si="0"/>
        <v>14.224065750000001</v>
      </c>
      <c r="F20" s="143">
        <f t="shared" si="2"/>
        <v>80.81189624999999</v>
      </c>
      <c r="G20" s="143">
        <f t="shared" si="3"/>
        <v>4187.77189625</v>
      </c>
      <c r="H20" s="154"/>
    </row>
    <row r="21" spans="1:8" ht="15">
      <c r="A21" s="145">
        <v>39234</v>
      </c>
      <c r="B21" s="144">
        <f t="shared" si="1"/>
        <v>4106.96</v>
      </c>
      <c r="C21" s="142">
        <v>340.93</v>
      </c>
      <c r="D21" s="59">
        <v>0.0459</v>
      </c>
      <c r="E21" s="143">
        <f t="shared" si="0"/>
        <v>15.709122</v>
      </c>
      <c r="F21" s="143">
        <f t="shared" si="2"/>
        <v>96.52101825</v>
      </c>
      <c r="G21" s="143">
        <f t="shared" si="3"/>
        <v>4544.411018250001</v>
      </c>
      <c r="H21" s="154"/>
    </row>
    <row r="22" spans="1:8" ht="15">
      <c r="A22" s="145">
        <v>39264</v>
      </c>
      <c r="B22" s="144">
        <f t="shared" si="1"/>
        <v>4447.89</v>
      </c>
      <c r="C22" s="142">
        <v>388.5</v>
      </c>
      <c r="D22" s="59">
        <v>0.0459</v>
      </c>
      <c r="E22" s="143">
        <f t="shared" si="0"/>
        <v>17.013179250000004</v>
      </c>
      <c r="F22" s="143">
        <f t="shared" si="2"/>
        <v>113.5341975</v>
      </c>
      <c r="G22" s="143">
        <f t="shared" si="3"/>
        <v>4949.9241975</v>
      </c>
      <c r="H22" s="154"/>
    </row>
    <row r="23" spans="1:11" ht="15">
      <c r="A23" s="145">
        <v>39295</v>
      </c>
      <c r="B23" s="144">
        <f t="shared" si="1"/>
        <v>4836.39</v>
      </c>
      <c r="C23" s="142">
        <v>338</v>
      </c>
      <c r="D23" s="59">
        <v>0.0459</v>
      </c>
      <c r="E23" s="143">
        <f t="shared" si="0"/>
        <v>18.499191750000005</v>
      </c>
      <c r="F23" s="143">
        <f t="shared" si="2"/>
        <v>132.03338925</v>
      </c>
      <c r="G23" s="143">
        <f t="shared" si="3"/>
        <v>5306.423389250001</v>
      </c>
      <c r="H23" s="154"/>
      <c r="K23" s="57" t="s">
        <v>237</v>
      </c>
    </row>
    <row r="24" spans="1:8" ht="15">
      <c r="A24" s="145">
        <v>39326</v>
      </c>
      <c r="B24" s="144">
        <f t="shared" si="1"/>
        <v>5174.39</v>
      </c>
      <c r="C24" s="142">
        <v>386</v>
      </c>
      <c r="D24" s="59">
        <v>0.0459</v>
      </c>
      <c r="E24" s="143">
        <f t="shared" si="0"/>
        <v>19.792041750000003</v>
      </c>
      <c r="F24" s="143">
        <f t="shared" si="2"/>
        <v>151.825431</v>
      </c>
      <c r="G24" s="143">
        <f t="shared" si="3"/>
        <v>5712.2154310000005</v>
      </c>
      <c r="H24" s="154"/>
    </row>
    <row r="25" spans="1:8" ht="15">
      <c r="A25" s="145">
        <v>39356</v>
      </c>
      <c r="B25" s="144">
        <f t="shared" si="1"/>
        <v>5560.39</v>
      </c>
      <c r="C25" s="142">
        <v>338.75</v>
      </c>
      <c r="D25" s="59">
        <v>0.0514</v>
      </c>
      <c r="E25" s="143">
        <f t="shared" si="0"/>
        <v>23.817003833333334</v>
      </c>
      <c r="F25" s="143">
        <f t="shared" si="2"/>
        <v>175.64243483333334</v>
      </c>
      <c r="G25" s="143">
        <f t="shared" si="3"/>
        <v>6074.782434833333</v>
      </c>
      <c r="H25" s="154"/>
    </row>
    <row r="26" spans="1:8" ht="15">
      <c r="A26" s="145">
        <v>39387</v>
      </c>
      <c r="B26" s="144">
        <f t="shared" si="1"/>
        <v>5899.14</v>
      </c>
      <c r="C26" s="142">
        <v>387.75</v>
      </c>
      <c r="D26" s="59">
        <v>0.0514</v>
      </c>
      <c r="E26" s="143">
        <f t="shared" si="0"/>
        <v>25.267983</v>
      </c>
      <c r="F26" s="143">
        <f t="shared" si="2"/>
        <v>200.91041783333333</v>
      </c>
      <c r="G26" s="143">
        <f t="shared" si="3"/>
        <v>6487.800417833334</v>
      </c>
      <c r="H26" s="154"/>
    </row>
    <row r="27" spans="1:8" ht="15">
      <c r="A27" s="145">
        <v>39417</v>
      </c>
      <c r="B27" s="144">
        <f t="shared" si="1"/>
        <v>6286.89</v>
      </c>
      <c r="C27" s="142">
        <v>339.75</v>
      </c>
      <c r="D27" s="59">
        <v>0.0514</v>
      </c>
      <c r="E27" s="143">
        <f t="shared" si="0"/>
        <v>26.928845500000005</v>
      </c>
      <c r="F27" s="143">
        <f t="shared" si="2"/>
        <v>227.83926333333332</v>
      </c>
      <c r="G27" s="143">
        <f t="shared" si="3"/>
        <v>6854.479263333334</v>
      </c>
      <c r="H27" s="154"/>
    </row>
    <row r="28" spans="1:8" ht="15">
      <c r="A28" s="145">
        <v>39448</v>
      </c>
      <c r="B28" s="144">
        <f t="shared" si="1"/>
        <v>6626.64</v>
      </c>
      <c r="C28" s="142">
        <v>384.75</v>
      </c>
      <c r="D28" s="59">
        <v>0.0514</v>
      </c>
      <c r="E28" s="143">
        <f aca="true" t="shared" si="4" ref="E28:E80">(B28*D28)/12</f>
        <v>28.384108</v>
      </c>
      <c r="F28" s="143">
        <f t="shared" si="2"/>
        <v>256.2233713333333</v>
      </c>
      <c r="G28" s="143">
        <f t="shared" si="3"/>
        <v>7267.613371333334</v>
      </c>
      <c r="H28" s="154"/>
    </row>
    <row r="29" spans="1:8" ht="15">
      <c r="A29" s="145">
        <v>39479</v>
      </c>
      <c r="B29" s="144">
        <f t="shared" si="1"/>
        <v>7011.39</v>
      </c>
      <c r="C29" s="142">
        <v>340.25</v>
      </c>
      <c r="D29" s="59">
        <v>0.0514</v>
      </c>
      <c r="E29" s="143">
        <f t="shared" si="4"/>
        <v>30.0321205</v>
      </c>
      <c r="F29" s="143">
        <f t="shared" si="2"/>
        <v>286.25549183333334</v>
      </c>
      <c r="G29" s="143">
        <f t="shared" si="3"/>
        <v>7637.895491833334</v>
      </c>
      <c r="H29" s="154"/>
    </row>
    <row r="30" spans="1:8" ht="15">
      <c r="A30" s="145">
        <v>39508</v>
      </c>
      <c r="B30" s="144">
        <f t="shared" si="1"/>
        <v>7351.64</v>
      </c>
      <c r="C30" s="142">
        <v>387.5</v>
      </c>
      <c r="D30" s="59">
        <v>0.0514</v>
      </c>
      <c r="E30" s="143">
        <f t="shared" si="4"/>
        <v>31.489524666666668</v>
      </c>
      <c r="F30" s="143">
        <f t="shared" si="2"/>
        <v>317.7450165</v>
      </c>
      <c r="G30" s="143">
        <f t="shared" si="3"/>
        <v>8056.8850165</v>
      </c>
      <c r="H30" s="154"/>
    </row>
    <row r="31" spans="1:11" ht="15">
      <c r="A31" s="145">
        <v>39539</v>
      </c>
      <c r="B31" s="144">
        <f t="shared" si="1"/>
        <v>7739.14</v>
      </c>
      <c r="C31" s="142">
        <v>338.25</v>
      </c>
      <c r="D31" s="59">
        <v>0.0408</v>
      </c>
      <c r="E31" s="143">
        <f t="shared" si="4"/>
        <v>26.313076000000006</v>
      </c>
      <c r="F31" s="143">
        <f t="shared" si="2"/>
        <v>344.05809250000004</v>
      </c>
      <c r="G31" s="143">
        <f t="shared" si="3"/>
        <v>8421.4480925</v>
      </c>
      <c r="H31" s="154">
        <f>G31-G19</f>
        <v>4636.150262000001</v>
      </c>
      <c r="K31" s="57" t="s">
        <v>237</v>
      </c>
    </row>
    <row r="32" spans="1:8" ht="15">
      <c r="A32" s="145">
        <v>39569</v>
      </c>
      <c r="B32" s="144">
        <f t="shared" si="1"/>
        <v>8077.39</v>
      </c>
      <c r="C32" s="142">
        <v>386.25</v>
      </c>
      <c r="D32" s="59">
        <v>0.0408</v>
      </c>
      <c r="E32" s="143">
        <f t="shared" si="4"/>
        <v>27.463126000000003</v>
      </c>
      <c r="F32" s="143">
        <f t="shared" si="2"/>
        <v>371.52121850000003</v>
      </c>
      <c r="G32" s="143">
        <f t="shared" si="3"/>
        <v>8835.1612185</v>
      </c>
      <c r="H32" s="154"/>
    </row>
    <row r="33" spans="1:8" ht="15">
      <c r="A33" s="145">
        <v>39600</v>
      </c>
      <c r="B33" s="144">
        <f t="shared" si="1"/>
        <v>8463.64</v>
      </c>
      <c r="C33" s="142">
        <v>340</v>
      </c>
      <c r="D33" s="59">
        <v>0.0408</v>
      </c>
      <c r="E33" s="143">
        <f t="shared" si="4"/>
        <v>28.776376</v>
      </c>
      <c r="F33" s="143">
        <f t="shared" si="2"/>
        <v>400.29759450000006</v>
      </c>
      <c r="G33" s="143">
        <f t="shared" si="3"/>
        <v>9203.9375945</v>
      </c>
      <c r="H33" s="154"/>
    </row>
    <row r="34" spans="1:8" ht="15">
      <c r="A34" s="145">
        <v>39630</v>
      </c>
      <c r="B34" s="144">
        <f t="shared" si="1"/>
        <v>8803.64</v>
      </c>
      <c r="C34" s="142">
        <v>385.25</v>
      </c>
      <c r="D34" s="59">
        <v>0.0335</v>
      </c>
      <c r="E34" s="143">
        <f t="shared" si="4"/>
        <v>24.576828333333335</v>
      </c>
      <c r="F34" s="143">
        <f t="shared" si="2"/>
        <v>424.87442283333337</v>
      </c>
      <c r="G34" s="143">
        <f t="shared" si="3"/>
        <v>9613.764422833332</v>
      </c>
      <c r="H34" s="154"/>
    </row>
    <row r="35" spans="1:11" ht="15">
      <c r="A35" s="145">
        <v>39661</v>
      </c>
      <c r="B35" s="144">
        <f t="shared" si="1"/>
        <v>9188.89</v>
      </c>
      <c r="C35" s="142">
        <v>340.25</v>
      </c>
      <c r="D35" s="59">
        <v>0.0335</v>
      </c>
      <c r="E35" s="143">
        <f t="shared" si="4"/>
        <v>25.652317916666664</v>
      </c>
      <c r="F35" s="143">
        <f t="shared" si="2"/>
        <v>450.52674075000004</v>
      </c>
      <c r="G35" s="143">
        <f t="shared" si="3"/>
        <v>9979.666740749999</v>
      </c>
      <c r="H35" s="154"/>
      <c r="K35" s="57" t="s">
        <v>237</v>
      </c>
    </row>
    <row r="36" spans="1:10" ht="15">
      <c r="A36" s="145">
        <v>39692</v>
      </c>
      <c r="B36" s="144">
        <f t="shared" si="1"/>
        <v>9529.14</v>
      </c>
      <c r="C36" s="142">
        <v>387.75</v>
      </c>
      <c r="D36" s="59">
        <v>0.0335</v>
      </c>
      <c r="E36" s="143">
        <f t="shared" si="4"/>
        <v>26.602182499999998</v>
      </c>
      <c r="F36" s="143">
        <f t="shared" si="2"/>
        <v>477.12892325000007</v>
      </c>
      <c r="G36" s="143">
        <f t="shared" si="3"/>
        <v>10394.01892325</v>
      </c>
      <c r="H36" s="154"/>
      <c r="J36" s="141" t="s">
        <v>269</v>
      </c>
    </row>
    <row r="37" spans="1:10" ht="15">
      <c r="A37" s="145">
        <v>39722</v>
      </c>
      <c r="B37" s="144">
        <f t="shared" si="1"/>
        <v>9916.89</v>
      </c>
      <c r="C37" s="142">
        <v>334.75</v>
      </c>
      <c r="D37" s="59">
        <v>0.0335</v>
      </c>
      <c r="E37" s="143">
        <f t="shared" si="4"/>
        <v>27.68465125</v>
      </c>
      <c r="F37" s="143">
        <f t="shared" si="2"/>
        <v>504.8135745000001</v>
      </c>
      <c r="G37" s="143">
        <f t="shared" si="3"/>
        <v>10756.4535745</v>
      </c>
      <c r="H37" s="154"/>
      <c r="J37" s="56" t="s">
        <v>270</v>
      </c>
    </row>
    <row r="38" spans="1:9" ht="15">
      <c r="A38" s="145">
        <v>39753</v>
      </c>
      <c r="B38" s="144">
        <f t="shared" si="1"/>
        <v>10251.64</v>
      </c>
      <c r="C38" s="142">
        <v>383.75</v>
      </c>
      <c r="D38" s="59">
        <v>0.0335</v>
      </c>
      <c r="E38" s="143">
        <f t="shared" si="4"/>
        <v>28.619161666666667</v>
      </c>
      <c r="F38" s="143">
        <f t="shared" si="2"/>
        <v>533.4327361666667</v>
      </c>
      <c r="G38" s="143">
        <f t="shared" si="3"/>
        <v>11168.822736166667</v>
      </c>
      <c r="I38" s="154"/>
    </row>
    <row r="39" spans="1:11" ht="15">
      <c r="A39" s="145">
        <v>39783</v>
      </c>
      <c r="B39" s="144">
        <f t="shared" si="1"/>
        <v>10635.39</v>
      </c>
      <c r="C39" s="142">
        <v>335.25</v>
      </c>
      <c r="D39" s="59">
        <v>0.0335</v>
      </c>
      <c r="E39" s="143">
        <f t="shared" si="4"/>
        <v>29.690463750000003</v>
      </c>
      <c r="F39" s="143">
        <f t="shared" si="2"/>
        <v>563.1231999166667</v>
      </c>
      <c r="G39" s="143">
        <f t="shared" si="3"/>
        <v>11533.763199916666</v>
      </c>
      <c r="K39" s="57" t="s">
        <v>237</v>
      </c>
    </row>
    <row r="40" spans="1:8" ht="15">
      <c r="A40" s="145">
        <v>39814</v>
      </c>
      <c r="B40" s="144">
        <f t="shared" si="1"/>
        <v>10970.64</v>
      </c>
      <c r="C40" s="142">
        <v>601.25</v>
      </c>
      <c r="D40" s="59">
        <v>0.0245</v>
      </c>
      <c r="E40" s="143">
        <f t="shared" si="4"/>
        <v>22.398390000000003</v>
      </c>
      <c r="F40" s="143">
        <f t="shared" si="2"/>
        <v>585.5215899166667</v>
      </c>
      <c r="G40" s="143">
        <f t="shared" si="3"/>
        <v>12157.411589916666</v>
      </c>
      <c r="H40" s="154"/>
    </row>
    <row r="41" spans="1:7" ht="15">
      <c r="A41" s="145">
        <v>39845</v>
      </c>
      <c r="B41" s="144">
        <f t="shared" si="1"/>
        <v>11571.89</v>
      </c>
      <c r="C41" s="142">
        <v>247.62</v>
      </c>
      <c r="D41" s="59">
        <v>0.0245</v>
      </c>
      <c r="E41" s="143">
        <f t="shared" si="4"/>
        <v>23.62594208333333</v>
      </c>
      <c r="F41" s="143">
        <f t="shared" si="2"/>
        <v>609.1475320000001</v>
      </c>
      <c r="G41" s="143">
        <f t="shared" si="3"/>
        <v>12428.657532000001</v>
      </c>
    </row>
    <row r="42" spans="1:7" ht="15">
      <c r="A42" s="145">
        <v>39873</v>
      </c>
      <c r="B42" s="144">
        <f t="shared" si="1"/>
        <v>11819.51</v>
      </c>
      <c r="C42" s="142">
        <v>444.83</v>
      </c>
      <c r="D42" s="59">
        <v>0.0245</v>
      </c>
      <c r="E42" s="143">
        <f t="shared" si="4"/>
        <v>24.131499583333337</v>
      </c>
      <c r="F42" s="143">
        <f t="shared" si="2"/>
        <v>633.2790315833334</v>
      </c>
      <c r="G42" s="143">
        <f t="shared" si="3"/>
        <v>12897.619031583334</v>
      </c>
    </row>
    <row r="43" spans="1:11" ht="15">
      <c r="A43" s="145">
        <v>39904</v>
      </c>
      <c r="B43" s="144">
        <f t="shared" si="1"/>
        <v>12264.34</v>
      </c>
      <c r="C43" s="142">
        <v>401</v>
      </c>
      <c r="D43" s="59">
        <v>0.01</v>
      </c>
      <c r="E43" s="143">
        <f t="shared" si="4"/>
        <v>10.220283333333333</v>
      </c>
      <c r="F43" s="143">
        <f t="shared" si="2"/>
        <v>643.4993149166668</v>
      </c>
      <c r="G43" s="143">
        <f t="shared" si="3"/>
        <v>13308.839314916668</v>
      </c>
      <c r="H43" s="154">
        <f>G43-G31</f>
        <v>4887.391222416667</v>
      </c>
      <c r="K43" s="57" t="s">
        <v>237</v>
      </c>
    </row>
    <row r="44" spans="1:7" ht="15">
      <c r="A44" s="145">
        <v>39934</v>
      </c>
      <c r="B44" s="144">
        <f t="shared" si="1"/>
        <v>12665.34</v>
      </c>
      <c r="C44" s="142">
        <v>453.56</v>
      </c>
      <c r="D44" s="59">
        <v>0.01</v>
      </c>
      <c r="E44" s="143">
        <f t="shared" si="4"/>
        <v>10.554450000000001</v>
      </c>
      <c r="F44" s="143">
        <f t="shared" si="2"/>
        <v>654.0537649166668</v>
      </c>
      <c r="G44" s="143">
        <f t="shared" si="3"/>
        <v>13772.953764916667</v>
      </c>
    </row>
    <row r="45" spans="1:7" ht="15">
      <c r="A45" s="145">
        <v>39965</v>
      </c>
      <c r="B45" s="144">
        <f t="shared" si="1"/>
        <v>13118.9</v>
      </c>
      <c r="C45" s="142">
        <v>1146.06</v>
      </c>
      <c r="D45" s="59">
        <v>0.01</v>
      </c>
      <c r="E45" s="143">
        <f t="shared" si="4"/>
        <v>10.932416666666667</v>
      </c>
      <c r="F45" s="143">
        <f t="shared" si="2"/>
        <v>664.9861815833334</v>
      </c>
      <c r="G45" s="143">
        <f t="shared" si="3"/>
        <v>14929.946181583333</v>
      </c>
    </row>
    <row r="46" spans="1:7" ht="15">
      <c r="A46" s="145">
        <v>39995</v>
      </c>
      <c r="B46" s="144">
        <f t="shared" si="1"/>
        <v>14264.96</v>
      </c>
      <c r="C46" s="142">
        <v>1783</v>
      </c>
      <c r="D46" s="59">
        <v>0.0055</v>
      </c>
      <c r="E46" s="143">
        <f t="shared" si="4"/>
        <v>6.538106666666667</v>
      </c>
      <c r="F46" s="143">
        <f t="shared" si="2"/>
        <v>671.52428825</v>
      </c>
      <c r="G46" s="143">
        <f t="shared" si="3"/>
        <v>16719.484288249998</v>
      </c>
    </row>
    <row r="47" spans="1:11" ht="15">
      <c r="A47" s="145">
        <v>40026</v>
      </c>
      <c r="B47" s="144">
        <f t="shared" si="1"/>
        <v>16047.96</v>
      </c>
      <c r="C47" s="142">
        <v>1570.13</v>
      </c>
      <c r="D47" s="59">
        <v>0.0055</v>
      </c>
      <c r="E47" s="143">
        <f t="shared" si="4"/>
        <v>7.355315</v>
      </c>
      <c r="F47" s="143">
        <f t="shared" si="2"/>
        <v>678.8796032500001</v>
      </c>
      <c r="G47" s="143">
        <f t="shared" si="3"/>
        <v>18296.96960325</v>
      </c>
      <c r="K47" s="57" t="s">
        <v>237</v>
      </c>
    </row>
    <row r="48" spans="1:7" ht="15">
      <c r="A48" s="145">
        <v>40057</v>
      </c>
      <c r="B48" s="144">
        <f t="shared" si="1"/>
        <v>17618.09</v>
      </c>
      <c r="C48" s="142">
        <v>1800.54</v>
      </c>
      <c r="D48" s="59">
        <v>0.0055</v>
      </c>
      <c r="E48" s="143">
        <f t="shared" si="4"/>
        <v>8.074957916666667</v>
      </c>
      <c r="F48" s="143">
        <f t="shared" si="2"/>
        <v>686.9545611666667</v>
      </c>
      <c r="G48" s="143">
        <f t="shared" si="3"/>
        <v>20105.584561166666</v>
      </c>
    </row>
    <row r="49" spans="1:7" ht="15">
      <c r="A49" s="145">
        <v>40087</v>
      </c>
      <c r="B49" s="144">
        <f t="shared" si="1"/>
        <v>19418.63</v>
      </c>
      <c r="C49" s="142">
        <v>1558.67</v>
      </c>
      <c r="D49" s="59">
        <v>0.0055</v>
      </c>
      <c r="E49" s="143">
        <f t="shared" si="4"/>
        <v>8.900205416666667</v>
      </c>
      <c r="F49" s="143">
        <f t="shared" si="2"/>
        <v>695.8547665833335</v>
      </c>
      <c r="G49" s="143">
        <f t="shared" si="3"/>
        <v>21673.154766583335</v>
      </c>
    </row>
    <row r="50" spans="1:7" ht="15">
      <c r="A50" s="145">
        <v>40118</v>
      </c>
      <c r="B50" s="144">
        <f t="shared" si="1"/>
        <v>20977.300000000003</v>
      </c>
      <c r="C50" s="142">
        <v>1782.77</v>
      </c>
      <c r="D50" s="59">
        <v>0.0055</v>
      </c>
      <c r="E50" s="143">
        <f t="shared" si="4"/>
        <v>9.614595833333334</v>
      </c>
      <c r="F50" s="143">
        <f t="shared" si="2"/>
        <v>705.4693624166667</v>
      </c>
      <c r="G50" s="143">
        <f t="shared" si="3"/>
        <v>23465.53936241667</v>
      </c>
    </row>
    <row r="51" spans="1:11" ht="15">
      <c r="A51" s="145">
        <v>40148</v>
      </c>
      <c r="B51" s="144">
        <f t="shared" si="1"/>
        <v>22760.070000000003</v>
      </c>
      <c r="C51" s="142">
        <v>1563.72</v>
      </c>
      <c r="D51" s="59">
        <v>0.0055</v>
      </c>
      <c r="E51" s="143">
        <f t="shared" si="4"/>
        <v>10.43169875</v>
      </c>
      <c r="F51" s="143">
        <f t="shared" si="2"/>
        <v>715.9010611666668</v>
      </c>
      <c r="G51" s="143">
        <f t="shared" si="3"/>
        <v>25039.69106116667</v>
      </c>
      <c r="K51" s="57" t="s">
        <v>237</v>
      </c>
    </row>
    <row r="52" spans="1:7" ht="15">
      <c r="A52" s="145">
        <v>40179</v>
      </c>
      <c r="B52" s="144">
        <f t="shared" si="1"/>
        <v>24323.790000000005</v>
      </c>
      <c r="C52" s="142">
        <v>1784.61</v>
      </c>
      <c r="D52" s="59">
        <v>0.0055</v>
      </c>
      <c r="E52" s="143">
        <f t="shared" si="4"/>
        <v>11.148403750000002</v>
      </c>
      <c r="F52" s="143">
        <f t="shared" si="2"/>
        <v>727.0494649166668</v>
      </c>
      <c r="G52" s="143">
        <f t="shared" si="3"/>
        <v>26835.449464916674</v>
      </c>
    </row>
    <row r="53" spans="1:7" ht="15">
      <c r="A53" s="145">
        <v>40210</v>
      </c>
      <c r="B53" s="144">
        <f t="shared" si="1"/>
        <v>26108.400000000005</v>
      </c>
      <c r="C53" s="142">
        <v>1559.82</v>
      </c>
      <c r="D53" s="59">
        <v>0.0055</v>
      </c>
      <c r="E53" s="143">
        <f t="shared" si="4"/>
        <v>11.96635</v>
      </c>
      <c r="F53" s="143">
        <f t="shared" si="2"/>
        <v>739.0158149166668</v>
      </c>
      <c r="G53" s="143">
        <f>+B53+C53+F53</f>
        <v>28407.235814916672</v>
      </c>
    </row>
    <row r="54" spans="1:7" ht="15">
      <c r="A54" s="145">
        <v>40238</v>
      </c>
      <c r="B54" s="144">
        <f t="shared" si="1"/>
        <v>27668.220000000005</v>
      </c>
      <c r="C54" s="142">
        <v>1781.38</v>
      </c>
      <c r="D54" s="59">
        <v>0.0055</v>
      </c>
      <c r="E54" s="143">
        <f t="shared" si="4"/>
        <v>12.681267500000002</v>
      </c>
      <c r="F54" s="143">
        <f t="shared" si="2"/>
        <v>751.6970824166668</v>
      </c>
      <c r="G54" s="143">
        <f>+B54+C54+F54</f>
        <v>30201.297082416673</v>
      </c>
    </row>
    <row r="55" spans="1:11" ht="15">
      <c r="A55" s="145">
        <v>40269</v>
      </c>
      <c r="B55" s="144">
        <f t="shared" si="1"/>
        <v>29449.600000000006</v>
      </c>
      <c r="C55" s="142">
        <v>1547.72</v>
      </c>
      <c r="D55" s="59">
        <v>0.0055</v>
      </c>
      <c r="E55" s="143">
        <f t="shared" si="4"/>
        <v>13.497733333333336</v>
      </c>
      <c r="F55" s="143">
        <f t="shared" si="2"/>
        <v>765.1948157500002</v>
      </c>
      <c r="G55" s="143">
        <f>+B55+C55+F55</f>
        <v>31762.514815750008</v>
      </c>
      <c r="H55" s="154">
        <f>G55-G43</f>
        <v>18453.675500833342</v>
      </c>
      <c r="K55" s="57" t="s">
        <v>237</v>
      </c>
    </row>
    <row r="56" spans="1:7" ht="15">
      <c r="A56" s="145">
        <v>40299</v>
      </c>
      <c r="B56" s="144">
        <f t="shared" si="1"/>
        <v>30997.320000000007</v>
      </c>
      <c r="C56" s="142">
        <v>0</v>
      </c>
      <c r="D56" s="59">
        <v>0.0055</v>
      </c>
      <c r="E56" s="143">
        <f t="shared" si="4"/>
        <v>14.207105000000004</v>
      </c>
      <c r="F56" s="143">
        <f t="shared" si="2"/>
        <v>779.4019207500002</v>
      </c>
      <c r="G56" s="143">
        <f>+B56+C56+F56</f>
        <v>31776.721920750006</v>
      </c>
    </row>
    <row r="57" spans="1:7" ht="15">
      <c r="A57" s="145">
        <v>40330</v>
      </c>
      <c r="B57" s="144">
        <f t="shared" si="1"/>
        <v>30997.320000000007</v>
      </c>
      <c r="C57" s="142">
        <v>0</v>
      </c>
      <c r="D57" s="59">
        <v>0.0055</v>
      </c>
      <c r="E57" s="143">
        <f t="shared" si="4"/>
        <v>14.207105000000004</v>
      </c>
      <c r="F57" s="143">
        <f t="shared" si="2"/>
        <v>793.6090257500001</v>
      </c>
      <c r="G57" s="143">
        <f>+B57+C57+F57</f>
        <v>31790.929025750007</v>
      </c>
    </row>
    <row r="58" spans="1:7" ht="15">
      <c r="A58" s="145">
        <v>40360</v>
      </c>
      <c r="B58" s="144">
        <v>0</v>
      </c>
      <c r="C58" s="142">
        <v>0</v>
      </c>
      <c r="D58" s="59">
        <v>0.0055</v>
      </c>
      <c r="E58" s="143">
        <f t="shared" si="4"/>
        <v>0</v>
      </c>
      <c r="F58" s="143">
        <f t="shared" si="2"/>
        <v>793.6090257500001</v>
      </c>
      <c r="G58" s="143">
        <f aca="true" t="shared" si="5" ref="G58:G80">+B58+C58+F58</f>
        <v>793.6090257500001</v>
      </c>
    </row>
    <row r="59" spans="1:7" ht="15">
      <c r="A59" s="145">
        <v>40391</v>
      </c>
      <c r="B59" s="144">
        <v>0</v>
      </c>
      <c r="C59" s="142">
        <v>0</v>
      </c>
      <c r="D59" s="59">
        <v>0.0055</v>
      </c>
      <c r="E59" s="143">
        <f t="shared" si="4"/>
        <v>0</v>
      </c>
      <c r="F59" s="143">
        <f t="shared" si="2"/>
        <v>793.6090257500001</v>
      </c>
      <c r="G59" s="143">
        <f t="shared" si="5"/>
        <v>793.6090257500001</v>
      </c>
    </row>
    <row r="60" spans="1:7" ht="15">
      <c r="A60" s="145">
        <v>40422</v>
      </c>
      <c r="B60" s="144">
        <v>0</v>
      </c>
      <c r="C60" s="142">
        <v>0</v>
      </c>
      <c r="D60" s="59">
        <v>0.0055</v>
      </c>
      <c r="E60" s="143">
        <f t="shared" si="4"/>
        <v>0</v>
      </c>
      <c r="F60" s="143">
        <f t="shared" si="2"/>
        <v>793.6090257500001</v>
      </c>
      <c r="G60" s="143">
        <f t="shared" si="5"/>
        <v>793.6090257500001</v>
      </c>
    </row>
    <row r="61" spans="1:7" ht="15">
      <c r="A61" s="145">
        <v>40452</v>
      </c>
      <c r="B61" s="144">
        <v>0</v>
      </c>
      <c r="C61" s="142">
        <v>0</v>
      </c>
      <c r="D61" s="59">
        <v>0.0055</v>
      </c>
      <c r="E61" s="143">
        <f t="shared" si="4"/>
        <v>0</v>
      </c>
      <c r="F61" s="143">
        <f t="shared" si="2"/>
        <v>793.6090257500001</v>
      </c>
      <c r="G61" s="143">
        <f t="shared" si="5"/>
        <v>793.6090257500001</v>
      </c>
    </row>
    <row r="62" spans="1:7" ht="15">
      <c r="A62" s="145">
        <v>40483</v>
      </c>
      <c r="B62" s="144">
        <v>0</v>
      </c>
      <c r="C62" s="142">
        <v>0</v>
      </c>
      <c r="D62" s="59">
        <v>0.0055</v>
      </c>
      <c r="E62" s="143">
        <f t="shared" si="4"/>
        <v>0</v>
      </c>
      <c r="F62" s="143">
        <f t="shared" si="2"/>
        <v>793.6090257500001</v>
      </c>
      <c r="G62" s="143">
        <f t="shared" si="5"/>
        <v>793.6090257500001</v>
      </c>
    </row>
    <row r="63" spans="1:7" ht="15">
      <c r="A63" s="145">
        <v>40513</v>
      </c>
      <c r="B63" s="144">
        <v>0</v>
      </c>
      <c r="C63" s="142">
        <v>0</v>
      </c>
      <c r="D63" s="59">
        <v>0.0055</v>
      </c>
      <c r="E63" s="143">
        <f t="shared" si="4"/>
        <v>0</v>
      </c>
      <c r="F63" s="143">
        <f t="shared" si="2"/>
        <v>793.6090257500001</v>
      </c>
      <c r="G63" s="143">
        <f t="shared" si="5"/>
        <v>793.6090257500001</v>
      </c>
    </row>
    <row r="64" spans="1:7" ht="15">
      <c r="A64" s="145">
        <v>40544</v>
      </c>
      <c r="B64" s="144">
        <v>0</v>
      </c>
      <c r="C64" s="142">
        <v>0</v>
      </c>
      <c r="D64" s="59">
        <v>0.0055</v>
      </c>
      <c r="E64" s="143">
        <f t="shared" si="4"/>
        <v>0</v>
      </c>
      <c r="F64" s="143">
        <f t="shared" si="2"/>
        <v>793.6090257500001</v>
      </c>
      <c r="G64" s="143">
        <f t="shared" si="5"/>
        <v>793.6090257500001</v>
      </c>
    </row>
    <row r="65" spans="1:7" ht="15">
      <c r="A65" s="145">
        <v>40575</v>
      </c>
      <c r="B65" s="144">
        <v>0</v>
      </c>
      <c r="C65" s="142">
        <v>0</v>
      </c>
      <c r="D65" s="59">
        <v>0.0055</v>
      </c>
      <c r="E65" s="143">
        <f t="shared" si="4"/>
        <v>0</v>
      </c>
      <c r="F65" s="143">
        <f t="shared" si="2"/>
        <v>793.6090257500001</v>
      </c>
      <c r="G65" s="143">
        <f t="shared" si="5"/>
        <v>793.6090257500001</v>
      </c>
    </row>
    <row r="66" spans="1:7" ht="15">
      <c r="A66" s="145">
        <v>40603</v>
      </c>
      <c r="B66" s="144">
        <v>0</v>
      </c>
      <c r="C66" s="142">
        <v>0</v>
      </c>
      <c r="D66" s="59">
        <v>0.0055</v>
      </c>
      <c r="E66" s="143">
        <f t="shared" si="4"/>
        <v>0</v>
      </c>
      <c r="F66" s="143">
        <f t="shared" si="2"/>
        <v>793.6090257500001</v>
      </c>
      <c r="G66" s="143">
        <f t="shared" si="5"/>
        <v>793.6090257500001</v>
      </c>
    </row>
    <row r="67" spans="1:7" ht="15">
      <c r="A67" s="145">
        <v>40634</v>
      </c>
      <c r="B67" s="144">
        <v>0</v>
      </c>
      <c r="C67" s="142">
        <v>0</v>
      </c>
      <c r="D67" s="59">
        <v>0.0055</v>
      </c>
      <c r="E67" s="143">
        <f t="shared" si="4"/>
        <v>0</v>
      </c>
      <c r="F67" s="143">
        <f t="shared" si="2"/>
        <v>793.6090257500001</v>
      </c>
      <c r="G67" s="143">
        <f t="shared" si="5"/>
        <v>793.6090257500001</v>
      </c>
    </row>
    <row r="68" spans="1:7" ht="15">
      <c r="A68" s="145">
        <v>40664</v>
      </c>
      <c r="B68" s="144">
        <v>0</v>
      </c>
      <c r="C68" s="142">
        <v>0</v>
      </c>
      <c r="D68" s="59">
        <v>0.0055</v>
      </c>
      <c r="E68" s="143">
        <f t="shared" si="4"/>
        <v>0</v>
      </c>
      <c r="F68" s="143">
        <f t="shared" si="2"/>
        <v>793.6090257500001</v>
      </c>
      <c r="G68" s="143">
        <f t="shared" si="5"/>
        <v>793.6090257500001</v>
      </c>
    </row>
    <row r="69" spans="1:7" ht="15">
      <c r="A69" s="145">
        <v>40695</v>
      </c>
      <c r="B69" s="144">
        <v>0</v>
      </c>
      <c r="C69" s="142">
        <v>0</v>
      </c>
      <c r="D69" s="59">
        <v>0.0055</v>
      </c>
      <c r="E69" s="143">
        <f t="shared" si="4"/>
        <v>0</v>
      </c>
      <c r="F69" s="143">
        <f t="shared" si="2"/>
        <v>793.6090257500001</v>
      </c>
      <c r="G69" s="143">
        <f t="shared" si="5"/>
        <v>793.6090257500001</v>
      </c>
    </row>
    <row r="70" spans="1:7" ht="15">
      <c r="A70" s="145">
        <v>40725</v>
      </c>
      <c r="B70" s="144">
        <v>0</v>
      </c>
      <c r="C70" s="142">
        <v>0</v>
      </c>
      <c r="D70" s="59">
        <v>0.0055</v>
      </c>
      <c r="E70" s="143">
        <f t="shared" si="4"/>
        <v>0</v>
      </c>
      <c r="F70" s="143">
        <f t="shared" si="2"/>
        <v>793.6090257500001</v>
      </c>
      <c r="G70" s="143">
        <f t="shared" si="5"/>
        <v>793.6090257500001</v>
      </c>
    </row>
    <row r="71" spans="1:7" ht="15">
      <c r="A71" s="145">
        <v>40756</v>
      </c>
      <c r="B71" s="144">
        <v>0</v>
      </c>
      <c r="C71" s="142">
        <v>0</v>
      </c>
      <c r="D71" s="59">
        <v>0.0055</v>
      </c>
      <c r="E71" s="143">
        <f t="shared" si="4"/>
        <v>0</v>
      </c>
      <c r="F71" s="143">
        <f t="shared" si="2"/>
        <v>793.6090257500001</v>
      </c>
      <c r="G71" s="143">
        <f t="shared" si="5"/>
        <v>793.6090257500001</v>
      </c>
    </row>
    <row r="72" spans="1:7" ht="15">
      <c r="A72" s="145">
        <v>40787</v>
      </c>
      <c r="B72" s="144">
        <v>0</v>
      </c>
      <c r="C72" s="142">
        <v>0</v>
      </c>
      <c r="D72" s="59">
        <v>0.0055</v>
      </c>
      <c r="E72" s="143">
        <f t="shared" si="4"/>
        <v>0</v>
      </c>
      <c r="F72" s="143">
        <f t="shared" si="2"/>
        <v>793.6090257500001</v>
      </c>
      <c r="G72" s="143">
        <f t="shared" si="5"/>
        <v>793.6090257500001</v>
      </c>
    </row>
    <row r="73" spans="1:7" ht="15">
      <c r="A73" s="145">
        <v>40817</v>
      </c>
      <c r="B73" s="144">
        <v>0</v>
      </c>
      <c r="C73" s="142">
        <v>0</v>
      </c>
      <c r="D73" s="59">
        <v>0.0055</v>
      </c>
      <c r="E73" s="143">
        <f t="shared" si="4"/>
        <v>0</v>
      </c>
      <c r="F73" s="143">
        <f t="shared" si="2"/>
        <v>793.6090257500001</v>
      </c>
      <c r="G73" s="143">
        <f t="shared" si="5"/>
        <v>793.6090257500001</v>
      </c>
    </row>
    <row r="74" spans="1:7" ht="15">
      <c r="A74" s="145">
        <v>40848</v>
      </c>
      <c r="B74" s="144">
        <v>0</v>
      </c>
      <c r="C74" s="142">
        <v>0</v>
      </c>
      <c r="D74" s="59">
        <v>0.0055</v>
      </c>
      <c r="E74" s="143">
        <f t="shared" si="4"/>
        <v>0</v>
      </c>
      <c r="F74" s="143">
        <f t="shared" si="2"/>
        <v>793.6090257500001</v>
      </c>
      <c r="G74" s="143">
        <f t="shared" si="5"/>
        <v>793.6090257500001</v>
      </c>
    </row>
    <row r="75" spans="1:7" ht="15">
      <c r="A75" s="145">
        <v>40878</v>
      </c>
      <c r="B75" s="144">
        <v>0</v>
      </c>
      <c r="C75" s="142">
        <v>0</v>
      </c>
      <c r="D75" s="59">
        <v>0.0055</v>
      </c>
      <c r="E75" s="143">
        <f t="shared" si="4"/>
        <v>0</v>
      </c>
      <c r="F75" s="143">
        <f aca="true" t="shared" si="6" ref="F75:F80">+F74+E75</f>
        <v>793.6090257500001</v>
      </c>
      <c r="G75" s="143">
        <f t="shared" si="5"/>
        <v>793.6090257500001</v>
      </c>
    </row>
    <row r="76" spans="1:7" ht="15">
      <c r="A76" s="145">
        <v>40909</v>
      </c>
      <c r="B76" s="144">
        <v>0</v>
      </c>
      <c r="C76" s="142">
        <v>0</v>
      </c>
      <c r="D76" s="59">
        <v>0.0055</v>
      </c>
      <c r="E76" s="143">
        <f t="shared" si="4"/>
        <v>0</v>
      </c>
      <c r="F76" s="143">
        <f t="shared" si="6"/>
        <v>793.6090257500001</v>
      </c>
      <c r="G76" s="143">
        <f t="shared" si="5"/>
        <v>793.6090257500001</v>
      </c>
    </row>
    <row r="77" spans="1:7" ht="15">
      <c r="A77" s="145">
        <v>40940</v>
      </c>
      <c r="B77" s="144">
        <v>0</v>
      </c>
      <c r="C77" s="142">
        <v>0</v>
      </c>
      <c r="D77" s="59">
        <v>0.0055</v>
      </c>
      <c r="E77" s="143">
        <f t="shared" si="4"/>
        <v>0</v>
      </c>
      <c r="F77" s="143">
        <f t="shared" si="6"/>
        <v>793.6090257500001</v>
      </c>
      <c r="G77" s="143">
        <f t="shared" si="5"/>
        <v>793.6090257500001</v>
      </c>
    </row>
    <row r="78" spans="1:7" ht="15">
      <c r="A78" s="145">
        <v>40969</v>
      </c>
      <c r="B78" s="144">
        <v>0</v>
      </c>
      <c r="C78" s="142">
        <v>0</v>
      </c>
      <c r="D78" s="59">
        <v>0.0055</v>
      </c>
      <c r="E78" s="143">
        <f t="shared" si="4"/>
        <v>0</v>
      </c>
      <c r="F78" s="143">
        <f t="shared" si="6"/>
        <v>793.6090257500001</v>
      </c>
      <c r="G78" s="143">
        <f t="shared" si="5"/>
        <v>793.6090257500001</v>
      </c>
    </row>
    <row r="79" spans="1:7" ht="15">
      <c r="A79" s="145">
        <v>41000</v>
      </c>
      <c r="B79" s="144">
        <v>0</v>
      </c>
      <c r="C79" s="142">
        <v>0</v>
      </c>
      <c r="D79" s="59">
        <v>0.0055</v>
      </c>
      <c r="E79" s="143">
        <f t="shared" si="4"/>
        <v>0</v>
      </c>
      <c r="F79" s="143">
        <f t="shared" si="6"/>
        <v>793.6090257500001</v>
      </c>
      <c r="G79" s="143">
        <f t="shared" si="5"/>
        <v>793.6090257500001</v>
      </c>
    </row>
    <row r="80" spans="1:7" ht="15">
      <c r="A80" s="145">
        <v>41030</v>
      </c>
      <c r="B80" s="144">
        <v>0</v>
      </c>
      <c r="C80" s="142">
        <v>0</v>
      </c>
      <c r="D80" s="59">
        <v>0.0055</v>
      </c>
      <c r="E80" s="143">
        <f t="shared" si="4"/>
        <v>0</v>
      </c>
      <c r="F80" s="143">
        <f t="shared" si="6"/>
        <v>793.6090257500001</v>
      </c>
      <c r="G80" s="143">
        <f t="shared" si="5"/>
        <v>793.6090257500001</v>
      </c>
    </row>
  </sheetData>
  <sheetProtection/>
  <mergeCells count="1">
    <mergeCell ref="A1:G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Wilf</cp:lastModifiedBy>
  <cp:lastPrinted>2010-05-05T20:52:10Z</cp:lastPrinted>
  <dcterms:created xsi:type="dcterms:W3CDTF">2007-08-13T15:48:29Z</dcterms:created>
  <dcterms:modified xsi:type="dcterms:W3CDTF">2010-05-05T20:57:24Z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