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Dec 31 2009 balances" sheetId="1" r:id="rId1"/>
    <sheet name="2. Rate Riders Calculation" sheetId="2" r:id="rId2"/>
  </sheets>
  <externalReferences>
    <externalReference r:id="rId5"/>
    <externalReference r:id="rId6"/>
  </externalReferences>
  <definedNames>
    <definedName name="contactf">#REF!</definedName>
    <definedName name="histdate">'[1]Financials'!$E$76</definedName>
    <definedName name="Incr2000" localSheetId="1">#REF!</definedName>
    <definedName name="Incr2000">#REF!</definedName>
    <definedName name="LIMIT">#REF!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1">'2. Rate Riders Calculation'!$3:$41</definedName>
    <definedName name="_xlnm.Print_Area" localSheetId="0">'Dec 31 2009 balances'!$1:$66</definedName>
    <definedName name="print_end">#REF!</definedName>
    <definedName name="_xlnm.Print_Titles" localSheetId="0">'Dec 31 2009 balances'!$3:$3</definedName>
    <definedName name="SALBENF">#REF!</definedName>
    <definedName name="salreg">#REF!</definedName>
    <definedName name="SALREGF">#REF!</definedName>
    <definedName name="TEMPA">#REF!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tility">'[1]Financials'!$A$1</definedName>
    <definedName name="utitliy1">'[2]Financials'!$A$1</definedName>
    <definedName name="WAGBENF">#REF!</definedName>
    <definedName name="wagdob">#REF!</definedName>
    <definedName name="wagdobf">#REF!</definedName>
    <definedName name="wagreg">#REF!</definedName>
    <definedName name="wagregf">#REF!</definedName>
  </definedNames>
  <calcPr fullCalcOnLoad="1"/>
</workbook>
</file>

<file path=xl/sharedStrings.xml><?xml version="1.0" encoding="utf-8"?>
<sst xmlns="http://schemas.openxmlformats.org/spreadsheetml/2006/main" count="137" uniqueCount="96">
  <si>
    <t>Account Number</t>
  </si>
  <si>
    <t>Total Claim</t>
  </si>
  <si>
    <t>Account Description</t>
  </si>
  <si>
    <t>RSVA - Wholesale Market Service Charge</t>
  </si>
  <si>
    <t>RSVA - One-time Wholesale Market Service</t>
  </si>
  <si>
    <t>RSVA - Retail Transmission Network Charge</t>
  </si>
  <si>
    <t>RSVA - Retail Transmission Connection Charge</t>
  </si>
  <si>
    <t>Retail Cost Variance Account - Retail</t>
  </si>
  <si>
    <t>Retail Cost Variance Account - STR</t>
  </si>
  <si>
    <t>kW</t>
  </si>
  <si>
    <t>Cust. Num.'s</t>
  </si>
  <si>
    <t>Dx Revenue</t>
  </si>
  <si>
    <t>RESIDENTIAL CLASS</t>
  </si>
  <si>
    <t>LARGE USER CLASS</t>
  </si>
  <si>
    <t>SENTINEL LIGHTS</t>
  </si>
  <si>
    <t>STREET LIGHTING</t>
  </si>
  <si>
    <t>Totals</t>
  </si>
  <si>
    <t>Residential</t>
  </si>
  <si>
    <t>GS &lt; 50 KW</t>
  </si>
  <si>
    <t>Large Users</t>
  </si>
  <si>
    <t>Total</t>
  </si>
  <si>
    <t>Amount</t>
  </si>
  <si>
    <t>ALLOCATOR</t>
  </si>
  <si>
    <t>kWh</t>
  </si>
  <si>
    <t># of Customers</t>
  </si>
  <si>
    <t>Sheet 2 - Rate Riders Calculation</t>
  </si>
  <si>
    <t xml:space="preserve">Subtotal - RSVA </t>
  </si>
  <si>
    <t xml:space="preserve">Subtotal - Non RSVA </t>
  </si>
  <si>
    <t>Regulatory Asset Accounts:</t>
  </si>
  <si>
    <t>Allocators</t>
  </si>
  <si>
    <t>Sentinel Lighting</t>
  </si>
  <si>
    <t>Street Lighting</t>
  </si>
  <si>
    <t xml:space="preserve">Total to be Recovered </t>
  </si>
  <si>
    <t>GENERAL SERVICE &gt;1500 kW</t>
  </si>
  <si>
    <t>GS &gt; 50 &lt; 1500</t>
  </si>
  <si>
    <t>GS &gt; 1500</t>
  </si>
  <si>
    <t>GENERAL SERVICE &lt;50 kW CLASS</t>
  </si>
  <si>
    <t>GENERAL SERVICE &gt;50 kW &lt; 1500 kW</t>
  </si>
  <si>
    <t>Oct 31-07</t>
  </si>
  <si>
    <t xml:space="preserve">Balance at </t>
  </si>
  <si>
    <t>Interest to</t>
  </si>
  <si>
    <t>Balance at</t>
  </si>
  <si>
    <t>Dec 31-07</t>
  </si>
  <si>
    <t>Other Regulatory Assets-IFRS</t>
  </si>
  <si>
    <t>RSVA - Power - Commodity Only</t>
  </si>
  <si>
    <t>RSVA - Power - Global Adjustment sub</t>
  </si>
  <si>
    <t>Recovery of Regulatory Asset balances</t>
  </si>
  <si>
    <t>Disposition of Account Balances Approved in 2008</t>
  </si>
  <si>
    <t>kWh non RPP</t>
  </si>
  <si>
    <t>Dec 31-08</t>
  </si>
  <si>
    <t>Dec 31-09</t>
  </si>
  <si>
    <t>Interest Additions</t>
  </si>
  <si>
    <t>Principal Balance</t>
  </si>
  <si>
    <t>By OEB</t>
  </si>
  <si>
    <t>Nov 1-07 to Dec 31-07</t>
  </si>
  <si>
    <t>Principal Additions</t>
  </si>
  <si>
    <t>Jan 1-08 to Dec 31-08</t>
  </si>
  <si>
    <t>Jan 1-09 to Dec 31-09</t>
  </si>
  <si>
    <t>Projected Interest on Dec 31-09 Principal Balance</t>
  </si>
  <si>
    <t>Jan 1-10 to Dec 31-10</t>
  </si>
  <si>
    <t>Interest Balance at</t>
  </si>
  <si>
    <t>Principal Balance at</t>
  </si>
  <si>
    <t>PILs and Tax Variance</t>
  </si>
  <si>
    <t>2011 Forecast kW</t>
  </si>
  <si>
    <t>2011 Forecast kWhs Total</t>
  </si>
  <si>
    <t>2011 Average Cust. Num.'s</t>
  </si>
  <si>
    <t>kWhs Total</t>
  </si>
  <si>
    <t>kWhs non RPP</t>
  </si>
  <si>
    <t>SHEET 1 - December 31, 2009 Variance and Deferral Account Balances to be Cleared</t>
  </si>
  <si>
    <t>Retail Settlement Variance Accounts</t>
  </si>
  <si>
    <t>Other Variance and Deferral Accounts</t>
  </si>
  <si>
    <t>Total Approved</t>
  </si>
  <si>
    <t xml:space="preserve">Interest Additions </t>
  </si>
  <si>
    <t>Subtotal</t>
  </si>
  <si>
    <t>UNMETERED SCATTERED LOADS</t>
  </si>
  <si>
    <t>UnmeteredScattered Load</t>
  </si>
  <si>
    <t>2009 Distribution revenue (see note 1)</t>
  </si>
  <si>
    <t>Data By Class</t>
  </si>
  <si>
    <t>SENTINEL LIGHTS (see note 2)</t>
  </si>
  <si>
    <t>STREET LIGHTING (see note 2)</t>
  </si>
  <si>
    <t>UNMETERED SCATTERED LOADS (see note 2)</t>
  </si>
  <si>
    <t>Balance to be collected or refunded per year All Classes</t>
  </si>
  <si>
    <t>Additional Balance to be collected from non RPP Customers</t>
  </si>
  <si>
    <t xml:space="preserve">Note 1: In general, 2011 forecasts have been used as the allocator. For distribution revenue, the 2009 actual numbers were used because the final 2011 forecast was still in development when this exhibit was finalized. Since the costs allocated by distribution revenue are minimal this would not have a material impact on the rate riders. The revenue does not include SSS Admin charges or transformer ownership credits. </t>
  </si>
  <si>
    <t xml:space="preserve">Note 2: For the purposes of allocations based on customer numbers, the number of customer accounts has been used for unmetered scattered loads and streetlighting and one for sentinel lights, instead of number of connections, to provide a more reasonable allocation. This approach was previously approved by the Board. Furthermore, Hydro Ottawa does not typically forecast the kWh associated with sentinel lights, only the billing determinant of kW. Therefore, for the purposes of allocation, a kWh number of kW x 360 = 79,560 kWh has been used, which is not part of the overall load forecast. This has an immaterial affect on the other customer classes. </t>
  </si>
  <si>
    <t>Recovery Rate Riders non-RSVA</t>
  </si>
  <si>
    <t>Recovery Rate Riders RSVA only excluding global adjustment</t>
  </si>
  <si>
    <t>Low Voltage ("LV") Charges</t>
  </si>
  <si>
    <t xml:space="preserve">Class - All Customers     </t>
  </si>
  <si>
    <t xml:space="preserve">Billing Determinants     </t>
  </si>
  <si>
    <t xml:space="preserve">Deferral Variance Account Disposition Rate Rider     </t>
  </si>
  <si>
    <t xml:space="preserve">Class - Non Regulated Price Plan Customers Only     </t>
  </si>
  <si>
    <t xml:space="preserve">Global Adjustment Sub-Account Disposition Rate Rider     </t>
  </si>
  <si>
    <t>2011 Forecast kWhs non RPP Loss Adjusted</t>
  </si>
  <si>
    <t>Billing Determinants      (loss adjusted)</t>
  </si>
  <si>
    <t>Attachment AM - Deferral and Variance Accounts Recovery Riders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</si>
</sst>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_(* #,##0_);_(* \(#,##0\);_(* &quot;-&quot;_);_(@_)"/>
    <numFmt numFmtId="167" formatCode="&quot;$&quot;#,##0"/>
    <numFmt numFmtId="168" formatCode="_(* #,##0.0_);_(* \(#,##0.0\);_(* &quot;-&quot;??_);_(@_)"/>
    <numFmt numFmtId="169" formatCode="_(* #,##0_);_(* \(#,##0\);_(* &quot;-&quot;??_);_(@_)"/>
    <numFmt numFmtId="170" formatCode="_(&quot;$&quot;* #,##0_);_(&quot;$&quot;* \(#,##0\);_(&quot;$&quot;* &quot;-&quot;??_);_(@_)"/>
    <numFmt numFmtId="171" formatCode="&quot;£ &quot;#,##0.00;[Red]\-&quot;£ &quot;#,##0.00"/>
    <numFmt numFmtId="172" formatCode="#,##0.0"/>
    <numFmt numFmtId="173" formatCode="##\-#"/>
    <numFmt numFmtId="174" formatCode="mm/dd/yyyy"/>
    <numFmt numFmtId="175" formatCode="0\-0"/>
    <numFmt numFmtId="176" formatCode="0.0%"/>
    <numFmt numFmtId="177" formatCode="0.0000"/>
    <numFmt numFmtId="178" formatCode="_(* #,##0.0000_);_(* \(#,##0.0000\);_(* &quot;-&quot;????_);_(@_)"/>
    <numFmt numFmtId="179" formatCode="#,##0.00000"/>
  </numFmts>
  <fonts count="45">
    <font>
      <sz val="10"/>
      <name val="Arial"/>
      <family val="0"/>
    </font>
    <font>
      <sz val="10"/>
      <color indexed="8"/>
      <name val="Arial"/>
      <family val="2"/>
    </font>
    <font>
      <b/>
      <sz val="14"/>
      <name val="Arial"/>
      <family val="2"/>
    </font>
    <font>
      <sz val="14"/>
      <name val="Arial"/>
      <family val="2"/>
    </font>
    <font>
      <sz val="11"/>
      <name val="Arial"/>
      <family val="2"/>
    </font>
    <font>
      <b/>
      <sz val="11"/>
      <name val="Arial"/>
      <family val="2"/>
    </font>
    <font>
      <sz val="8"/>
      <name val="Arial"/>
      <family val="2"/>
    </font>
    <font>
      <b/>
      <sz val="18"/>
      <name val="Arial"/>
      <family val="2"/>
    </font>
    <font>
      <b/>
      <sz val="12"/>
      <name val="Arial"/>
      <family val="2"/>
    </font>
    <font>
      <b/>
      <i/>
      <sz val="11"/>
      <name val="Arial"/>
      <family val="2"/>
    </font>
    <font>
      <b/>
      <sz val="13"/>
      <name val="Arial"/>
      <family val="2"/>
    </font>
    <font>
      <sz val="13"/>
      <name val="Arial"/>
      <family val="2"/>
    </font>
    <font>
      <sz val="10"/>
      <color indexed="30"/>
      <name val="Arial"/>
      <family val="2"/>
    </font>
    <font>
      <b/>
      <sz val="10"/>
      <color indexed="30"/>
      <name val="Arial"/>
      <family val="2"/>
    </font>
    <font>
      <i/>
      <sz val="10"/>
      <name val="Arial"/>
      <family val="2"/>
    </font>
    <font>
      <sz val="12"/>
      <name val="Arial"/>
      <family val="2"/>
    </font>
    <font>
      <b/>
      <sz val="18"/>
      <color indexed="56"/>
      <name val="Cambria"/>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0070C0"/>
      <name val="Arial"/>
      <family val="2"/>
    </font>
    <font>
      <b/>
      <sz val="10"/>
      <color rgb="FF0070C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2"/>
        <bgColor indexed="64"/>
      </patternFill>
    </fill>
    <fill>
      <patternFill patternType="solid">
        <fgColor theme="0" tint="-0.14995999634265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bottom style="thin"/>
    </border>
    <border>
      <left/>
      <right/>
      <top style="medium"/>
      <bottom/>
    </border>
    <border>
      <left style="medium"/>
      <right/>
      <top/>
      <bottom/>
    </border>
    <border>
      <left style="medium"/>
      <right/>
      <top/>
      <bottom style="medium"/>
    </border>
    <border>
      <left/>
      <right/>
      <top/>
      <bottom style="medium"/>
    </border>
    <border>
      <left/>
      <right style="medium"/>
      <top/>
      <bottom style="medium"/>
    </border>
    <border>
      <left/>
      <right/>
      <top/>
      <bottom style="double"/>
    </border>
    <border>
      <left style="medium"/>
      <right/>
      <top style="medium"/>
      <bottom/>
    </border>
    <border>
      <left/>
      <right style="medium"/>
      <top/>
      <bottom/>
    </border>
    <border>
      <left/>
      <right style="medium"/>
      <top/>
      <bottom style="thin"/>
    </border>
    <border>
      <left/>
      <right style="medium"/>
      <top/>
      <bottom style="double"/>
    </border>
    <border>
      <left/>
      <right/>
      <top style="medium"/>
      <bottom style="medium">
        <color indexed="9"/>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style="thin"/>
    </border>
    <border>
      <left/>
      <right/>
      <top style="thin"/>
      <bottom style="thin"/>
    </border>
    <border>
      <left/>
      <right/>
      <top style="double"/>
      <bottom style="medium"/>
    </border>
    <border>
      <left/>
      <right style="medium"/>
      <top style="double"/>
      <bottom style="medium"/>
    </border>
    <border>
      <left/>
      <right/>
      <top style="thin"/>
      <bottom style="double"/>
    </border>
    <border>
      <left/>
      <right style="medium"/>
      <top style="medium">
        <color indexed="9"/>
      </top>
      <bottom style="medium">
        <color indexed="9"/>
      </bottom>
    </border>
    <border>
      <left/>
      <right style="medium"/>
      <top style="medium"/>
      <bottom style="medium">
        <color indexed="9"/>
      </bottom>
    </border>
    <border>
      <left style="medium"/>
      <right style="medium"/>
      <top style="medium"/>
      <bottom/>
    </border>
    <border>
      <left style="medium"/>
      <right style="medium"/>
      <top/>
      <bottom/>
    </border>
    <border>
      <left style="medium"/>
      <right style="medium"/>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172" fontId="0" fillId="0" borderId="0">
      <alignment/>
      <protection/>
    </xf>
    <xf numFmtId="174" fontId="0" fillId="0" borderId="0">
      <alignment/>
      <protection/>
    </xf>
    <xf numFmtId="175"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34" fillId="0" borderId="0" applyNumberFormat="0" applyFill="0" applyBorder="0" applyAlignment="0" applyProtection="0"/>
    <xf numFmtId="2" fontId="0" fillId="0" borderId="0" applyFont="0" applyFill="0" applyBorder="0" applyAlignment="0" applyProtection="0"/>
    <xf numFmtId="0" fontId="35" fillId="29" borderId="0" applyNumberFormat="0" applyBorder="0" applyAlignment="0" applyProtection="0"/>
    <xf numFmtId="38" fontId="6" fillId="30" borderId="0" applyNumberFormat="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1" borderId="1" applyNumberFormat="0" applyAlignment="0" applyProtection="0"/>
    <xf numFmtId="10" fontId="6" fillId="32" borderId="4" applyNumberFormat="0" applyBorder="0" applyAlignment="0" applyProtection="0"/>
    <xf numFmtId="0" fontId="38" fillId="0" borderId="5" applyNumberFormat="0" applyFill="0" applyAlignment="0" applyProtection="0"/>
    <xf numFmtId="173" fontId="0" fillId="0" borderId="0">
      <alignment/>
      <protection/>
    </xf>
    <xf numFmtId="169" fontId="0" fillId="0" borderId="0">
      <alignment/>
      <protection/>
    </xf>
    <xf numFmtId="0" fontId="39" fillId="33" borderId="0" applyNumberFormat="0" applyBorder="0" applyAlignment="0" applyProtection="0"/>
    <xf numFmtId="171" fontId="0" fillId="0" borderId="0">
      <alignment/>
      <protection/>
    </xf>
    <xf numFmtId="0" fontId="0" fillId="34" borderId="6" applyNumberFormat="0" applyFont="0" applyAlignment="0" applyProtection="0"/>
    <xf numFmtId="0" fontId="40" fillId="27" borderId="7"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41" fillId="0" borderId="0" applyNumberFormat="0" applyFill="0" applyBorder="0" applyAlignment="0" applyProtection="0"/>
    <xf numFmtId="0" fontId="0" fillId="0" borderId="8" applyNumberFormat="0" applyFont="0" applyBorder="0" applyAlignment="0" applyProtection="0"/>
    <xf numFmtId="0" fontId="42"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4" fillId="0" borderId="0" xfId="0" applyFont="1" applyFill="1" applyBorder="1" applyAlignment="1">
      <alignment/>
    </xf>
    <xf numFmtId="0" fontId="4" fillId="0" borderId="0" xfId="0" applyFont="1" applyFill="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xf>
    <xf numFmtId="0" fontId="5" fillId="0" borderId="0" xfId="0" applyFont="1" applyFill="1" applyBorder="1" applyAlignment="1">
      <alignment horizontal="center"/>
    </xf>
    <xf numFmtId="0" fontId="5"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5" fillId="0" borderId="0" xfId="0" applyFont="1" applyFill="1" applyBorder="1" applyAlignment="1">
      <alignment/>
    </xf>
    <xf numFmtId="0" fontId="4" fillId="0" borderId="0" xfId="0" applyFont="1" applyFill="1" applyBorder="1" applyAlignment="1">
      <alignment/>
    </xf>
    <xf numFmtId="9" fontId="4" fillId="0" borderId="15" xfId="0" applyNumberFormat="1" applyFont="1" applyBorder="1" applyAlignment="1">
      <alignment/>
    </xf>
    <xf numFmtId="176" fontId="4" fillId="0" borderId="0" xfId="0" applyNumberFormat="1" applyFont="1" applyFill="1" applyBorder="1" applyAlignment="1">
      <alignment horizontal="right"/>
    </xf>
    <xf numFmtId="176" fontId="4" fillId="0" borderId="9" xfId="0" applyNumberFormat="1" applyFont="1" applyFill="1" applyBorder="1" applyAlignment="1">
      <alignment horizontal="right"/>
    </xf>
    <xf numFmtId="0" fontId="4" fillId="0" borderId="0" xfId="0" applyFont="1" applyFill="1" applyAlignment="1">
      <alignment/>
    </xf>
    <xf numFmtId="0" fontId="5" fillId="0" borderId="0" xfId="0" applyFont="1" applyFill="1" applyBorder="1" applyAlignment="1">
      <alignment horizontal="center" wrapText="1"/>
    </xf>
    <xf numFmtId="0" fontId="9" fillId="0" borderId="0" xfId="0" applyFont="1" applyFill="1" applyBorder="1" applyAlignment="1">
      <alignment/>
    </xf>
    <xf numFmtId="0" fontId="4" fillId="0" borderId="0" xfId="0" applyFont="1" applyAlignment="1">
      <alignment/>
    </xf>
    <xf numFmtId="0" fontId="4" fillId="0" borderId="0" xfId="0" applyFont="1" applyFill="1" applyAlignment="1">
      <alignment horizontal="center"/>
    </xf>
    <xf numFmtId="170" fontId="4" fillId="0" borderId="0" xfId="0" applyNumberFormat="1" applyFont="1" applyFill="1" applyBorder="1" applyAlignment="1">
      <alignment/>
    </xf>
    <xf numFmtId="164" fontId="4" fillId="0" borderId="0" xfId="0" applyNumberFormat="1" applyFont="1" applyAlignment="1">
      <alignment horizontal="center"/>
    </xf>
    <xf numFmtId="170" fontId="4" fillId="0" borderId="9" xfId="0" applyNumberFormat="1" applyFont="1" applyFill="1" applyBorder="1" applyAlignment="1">
      <alignment/>
    </xf>
    <xf numFmtId="164" fontId="4" fillId="0" borderId="0" xfId="0" applyNumberFormat="1" applyFont="1" applyBorder="1" applyAlignment="1">
      <alignment horizontal="center"/>
    </xf>
    <xf numFmtId="0" fontId="5" fillId="0" borderId="0" xfId="0" applyFont="1" applyFill="1" applyBorder="1" applyAlignment="1">
      <alignment/>
    </xf>
    <xf numFmtId="164" fontId="4" fillId="0" borderId="0" xfId="0" applyNumberFormat="1"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horizontal="left"/>
    </xf>
    <xf numFmtId="164" fontId="4" fillId="0" borderId="0" xfId="0" applyNumberFormat="1" applyFont="1" applyFill="1" applyAlignment="1">
      <alignment horizontal="center"/>
    </xf>
    <xf numFmtId="164" fontId="4" fillId="0" borderId="0" xfId="0" applyNumberFormat="1" applyFont="1" applyFill="1" applyBorder="1" applyAlignment="1">
      <alignment/>
    </xf>
    <xf numFmtId="164" fontId="4" fillId="0" borderId="0" xfId="0" applyNumberFormat="1" applyFont="1" applyFill="1" applyAlignment="1">
      <alignment/>
    </xf>
    <xf numFmtId="164" fontId="4" fillId="0" borderId="15" xfId="0" applyNumberFormat="1" applyFont="1" applyFill="1" applyBorder="1" applyAlignment="1">
      <alignment/>
    </xf>
    <xf numFmtId="166" fontId="4" fillId="0" borderId="15" xfId="0" applyNumberFormat="1" applyFont="1" applyBorder="1" applyAlignment="1">
      <alignment/>
    </xf>
    <xf numFmtId="0" fontId="4" fillId="0" borderId="16" xfId="0" applyFont="1" applyBorder="1" applyAlignment="1">
      <alignment/>
    </xf>
    <xf numFmtId="176" fontId="4" fillId="0" borderId="17" xfId="0" applyNumberFormat="1" applyFont="1" applyFill="1" applyBorder="1" applyAlignment="1">
      <alignment horizontal="right"/>
    </xf>
    <xf numFmtId="176" fontId="4" fillId="0" borderId="18" xfId="0" applyNumberFormat="1" applyFont="1" applyFill="1" applyBorder="1" applyAlignment="1">
      <alignment horizontal="right"/>
    </xf>
    <xf numFmtId="0" fontId="4" fillId="0" borderId="17" xfId="0" applyFont="1" applyBorder="1" applyAlignment="1">
      <alignment/>
    </xf>
    <xf numFmtId="9" fontId="4" fillId="0" borderId="19" xfId="0" applyNumberFormat="1" applyFont="1" applyBorder="1" applyAlignment="1">
      <alignment/>
    </xf>
    <xf numFmtId="0" fontId="5" fillId="0" borderId="0" xfId="0" applyFont="1" applyBorder="1" applyAlignment="1">
      <alignment/>
    </xf>
    <xf numFmtId="0" fontId="7" fillId="0" borderId="0" xfId="0" applyFont="1" applyAlignment="1">
      <alignment/>
    </xf>
    <xf numFmtId="3" fontId="4" fillId="0" borderId="20" xfId="0" applyNumberFormat="1" applyFont="1" applyFill="1" applyBorder="1" applyAlignment="1">
      <alignment horizontal="right"/>
    </xf>
    <xf numFmtId="3" fontId="4" fillId="0" borderId="21" xfId="0" applyNumberFormat="1" applyFont="1" applyFill="1" applyBorder="1" applyAlignment="1">
      <alignment horizontal="right"/>
    </xf>
    <xf numFmtId="165" fontId="4" fillId="0" borderId="17" xfId="0" applyNumberFormat="1" applyFont="1" applyBorder="1" applyAlignment="1">
      <alignment horizontal="right"/>
    </xf>
    <xf numFmtId="0" fontId="4" fillId="0" borderId="0" xfId="0" applyFont="1" applyAlignment="1">
      <alignment horizontal="righ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9" xfId="0" applyFont="1" applyBorder="1" applyAlignment="1">
      <alignment horizontal="center"/>
    </xf>
    <xf numFmtId="0" fontId="0" fillId="0" borderId="0" xfId="0" applyFont="1" applyBorder="1" applyAlignment="1">
      <alignment horizontal="center"/>
    </xf>
    <xf numFmtId="37" fontId="4" fillId="0" borderId="0" xfId="0" applyNumberFormat="1" applyFont="1" applyAlignment="1">
      <alignment/>
    </xf>
    <xf numFmtId="37" fontId="0" fillId="0" borderId="0" xfId="0" applyNumberFormat="1" applyFont="1" applyAlignment="1">
      <alignment/>
    </xf>
    <xf numFmtId="37" fontId="0" fillId="0" borderId="0" xfId="0" applyNumberFormat="1" applyFont="1" applyFill="1" applyBorder="1" applyAlignment="1">
      <alignment horizontal="right"/>
    </xf>
    <xf numFmtId="37" fontId="0" fillId="35" borderId="22" xfId="0" applyNumberFormat="1" applyFont="1" applyFill="1" applyBorder="1" applyAlignment="1">
      <alignment/>
    </xf>
    <xf numFmtId="37" fontId="0" fillId="0" borderId="0" xfId="0" applyNumberFormat="1" applyFont="1" applyFill="1" applyBorder="1" applyAlignment="1">
      <alignment/>
    </xf>
    <xf numFmtId="37" fontId="0" fillId="0" borderId="23" xfId="0" applyNumberFormat="1" applyFont="1" applyFill="1" applyBorder="1" applyAlignment="1">
      <alignment/>
    </xf>
    <xf numFmtId="164" fontId="4" fillId="0" borderId="19" xfId="0" applyNumberFormat="1" applyFont="1" applyBorder="1" applyAlignment="1">
      <alignment/>
    </xf>
    <xf numFmtId="170" fontId="4" fillId="0" borderId="24" xfId="0" applyNumberFormat="1"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center"/>
    </xf>
    <xf numFmtId="0" fontId="5" fillId="0" borderId="0" xfId="0" applyFont="1" applyAlignment="1">
      <alignment horizontal="right" wrapText="1"/>
    </xf>
    <xf numFmtId="0" fontId="43"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wrapText="1"/>
    </xf>
    <xf numFmtId="0" fontId="5" fillId="0" borderId="0" xfId="0" applyFont="1" applyAlignment="1">
      <alignment horizontal="right" vertical="center" wrapText="1"/>
    </xf>
    <xf numFmtId="0" fontId="4" fillId="0" borderId="0" xfId="0" applyFont="1" applyAlignment="1">
      <alignment vertical="center"/>
    </xf>
    <xf numFmtId="0" fontId="5" fillId="0" borderId="0" xfId="0" applyFont="1" applyAlignment="1">
      <alignment horizontal="right" vertical="center"/>
    </xf>
    <xf numFmtId="0" fontId="4" fillId="0" borderId="0" xfId="0" applyFont="1" applyFill="1" applyAlignment="1">
      <alignment horizontal="right" vertical="center"/>
    </xf>
    <xf numFmtId="0" fontId="5" fillId="0" borderId="0" xfId="0" applyFont="1" applyAlignment="1">
      <alignment/>
    </xf>
    <xf numFmtId="0" fontId="5" fillId="0" borderId="0" xfId="0" applyFont="1" applyAlignment="1">
      <alignment horizontal="center" wrapText="1"/>
    </xf>
    <xf numFmtId="0" fontId="5" fillId="0" borderId="0" xfId="0" applyFont="1" applyAlignment="1">
      <alignment horizontal="left" vertical="center"/>
    </xf>
    <xf numFmtId="37" fontId="0" fillId="36" borderId="22" xfId="0" applyNumberFormat="1" applyFont="1" applyFill="1" applyBorder="1" applyAlignment="1">
      <alignment/>
    </xf>
    <xf numFmtId="0" fontId="4" fillId="0" borderId="0" xfId="0" applyFont="1" applyBorder="1" applyAlignment="1">
      <alignment horizontal="right"/>
    </xf>
    <xf numFmtId="3" fontId="4" fillId="36" borderId="21" xfId="0" applyNumberFormat="1" applyFont="1" applyFill="1" applyBorder="1" applyAlignment="1">
      <alignment horizontal="right"/>
    </xf>
    <xf numFmtId="3" fontId="4" fillId="36" borderId="20" xfId="0" applyNumberFormat="1" applyFont="1" applyFill="1" applyBorder="1" applyAlignment="1">
      <alignment horizontal="right"/>
    </xf>
    <xf numFmtId="0" fontId="4" fillId="0" borderId="25" xfId="0" applyFont="1" applyBorder="1" applyAlignment="1">
      <alignment/>
    </xf>
    <xf numFmtId="0" fontId="4" fillId="0" borderId="26" xfId="0" applyFont="1" applyBorder="1" applyAlignment="1">
      <alignment/>
    </xf>
    <xf numFmtId="170" fontId="4" fillId="36" borderId="27" xfId="0" applyNumberFormat="1" applyFont="1" applyFill="1" applyBorder="1" applyAlignment="1">
      <alignment/>
    </xf>
    <xf numFmtId="37" fontId="4" fillId="36" borderId="0" xfId="0" applyNumberFormat="1" applyFont="1" applyFill="1" applyAlignment="1">
      <alignment/>
    </xf>
    <xf numFmtId="37" fontId="4" fillId="36" borderId="0" xfId="0" applyNumberFormat="1" applyFont="1" applyFill="1" applyAlignment="1">
      <alignment horizontal="right"/>
    </xf>
    <xf numFmtId="37" fontId="4" fillId="36" borderId="20" xfId="0" applyNumberFormat="1" applyFont="1" applyFill="1" applyBorder="1" applyAlignment="1">
      <alignment horizontal="right"/>
    </xf>
    <xf numFmtId="37" fontId="4" fillId="36" borderId="21" xfId="0" applyNumberFormat="1" applyFont="1" applyFill="1" applyBorder="1" applyAlignment="1">
      <alignment horizontal="right"/>
    </xf>
    <xf numFmtId="165" fontId="4" fillId="0" borderId="0" xfId="0" applyNumberFormat="1" applyFont="1" applyAlignment="1">
      <alignment/>
    </xf>
    <xf numFmtId="3" fontId="4" fillId="36" borderId="28" xfId="0" applyNumberFormat="1" applyFont="1" applyFill="1" applyBorder="1" applyAlignment="1">
      <alignment horizontal="right"/>
    </xf>
    <xf numFmtId="167" fontId="4" fillId="36" borderId="29" xfId="0" applyNumberFormat="1" applyFont="1" applyFill="1" applyBorder="1" applyAlignment="1">
      <alignment horizontal="right"/>
    </xf>
    <xf numFmtId="37" fontId="0" fillId="0" borderId="0" xfId="0" applyNumberFormat="1" applyFont="1" applyFill="1" applyAlignment="1">
      <alignment/>
    </xf>
    <xf numFmtId="37" fontId="4" fillId="0" borderId="0" xfId="0" applyNumberFormat="1" applyFont="1" applyFill="1" applyAlignment="1">
      <alignment/>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177" fontId="11" fillId="0" borderId="0" xfId="0" applyNumberFormat="1" applyFont="1" applyFill="1" applyBorder="1" applyAlignment="1">
      <alignment horizontal="right"/>
    </xf>
    <xf numFmtId="177" fontId="11" fillId="36" borderId="24" xfId="0" applyNumberFormat="1" applyFont="1" applyFill="1" applyBorder="1" applyAlignment="1">
      <alignment horizontal="right"/>
    </xf>
    <xf numFmtId="0" fontId="11" fillId="0" borderId="0" xfId="0" applyFont="1" applyFill="1" applyBorder="1" applyAlignment="1">
      <alignment horizontal="right"/>
    </xf>
    <xf numFmtId="170" fontId="4" fillId="36" borderId="24" xfId="0" applyNumberFormat="1" applyFont="1" applyFill="1" applyBorder="1" applyAlignment="1">
      <alignment horizontal="right"/>
    </xf>
    <xf numFmtId="178" fontId="11" fillId="36" borderId="24" xfId="0" applyNumberFormat="1" applyFont="1" applyFill="1" applyBorder="1" applyAlignment="1">
      <alignment horizontal="right"/>
    </xf>
    <xf numFmtId="0" fontId="10" fillId="0" borderId="13" xfId="0" applyFont="1" applyFill="1" applyBorder="1" applyAlignment="1">
      <alignment/>
    </xf>
    <xf numFmtId="0" fontId="10" fillId="0" borderId="13" xfId="0" applyFont="1" applyFill="1" applyBorder="1" applyAlignment="1">
      <alignment horizontal="center"/>
    </xf>
    <xf numFmtId="177" fontId="11" fillId="0" borderId="13" xfId="0" applyNumberFormat="1" applyFont="1" applyFill="1" applyBorder="1" applyAlignment="1">
      <alignment horizontal="right"/>
    </xf>
    <xf numFmtId="0" fontId="10" fillId="0" borderId="0" xfId="0" applyFont="1" applyFill="1" applyBorder="1" applyAlignment="1">
      <alignment horizontal="justify" vertical="center" wrapText="1"/>
    </xf>
    <xf numFmtId="170" fontId="10" fillId="0" borderId="0" xfId="0" applyNumberFormat="1" applyFont="1" applyFill="1" applyBorder="1" applyAlignment="1">
      <alignment horizontal="right" wrapText="1"/>
    </xf>
    <xf numFmtId="179" fontId="4" fillId="0" borderId="0" xfId="0" applyNumberFormat="1" applyFont="1" applyAlignment="1">
      <alignment/>
    </xf>
    <xf numFmtId="37" fontId="0" fillId="36" borderId="22" xfId="0" applyNumberFormat="1" applyFont="1" applyFill="1" applyBorder="1" applyAlignment="1">
      <alignment/>
    </xf>
    <xf numFmtId="0" fontId="10" fillId="37" borderId="0" xfId="0" applyFont="1" applyFill="1" applyBorder="1" applyAlignment="1">
      <alignment horizontal="right" wrapText="1"/>
    </xf>
    <xf numFmtId="0" fontId="4" fillId="0" borderId="13" xfId="0" applyFont="1" applyFill="1" applyBorder="1" applyAlignment="1">
      <alignment/>
    </xf>
    <xf numFmtId="0" fontId="10" fillId="37" borderId="0" xfId="0" applyFont="1" applyFill="1" applyBorder="1" applyAlignment="1">
      <alignment horizontal="center" wrapText="1"/>
    </xf>
    <xf numFmtId="177" fontId="14" fillId="0" borderId="0" xfId="0" applyNumberFormat="1" applyFont="1" applyFill="1" applyAlignment="1">
      <alignment/>
    </xf>
    <xf numFmtId="0" fontId="11" fillId="0" borderId="9" xfId="0" applyFont="1" applyFill="1" applyBorder="1" applyAlignment="1">
      <alignment horizontal="right"/>
    </xf>
    <xf numFmtId="0" fontId="8" fillId="0" borderId="0" xfId="0" applyFont="1" applyAlignment="1">
      <alignment horizontal="centerContinuous"/>
    </xf>
    <xf numFmtId="0" fontId="15" fillId="0" borderId="0" xfId="0" applyFont="1" applyAlignment="1">
      <alignment horizontal="centerContinuous"/>
    </xf>
    <xf numFmtId="0" fontId="8" fillId="0" borderId="0" xfId="0" applyFont="1" applyAlignment="1">
      <alignment/>
    </xf>
    <xf numFmtId="0" fontId="4" fillId="0" borderId="0" xfId="0" applyFont="1" applyAlignment="1">
      <alignment wrapText="1"/>
    </xf>
    <xf numFmtId="0" fontId="0" fillId="0" borderId="0" xfId="0" applyAlignment="1">
      <alignment wrapText="1"/>
    </xf>
    <xf numFmtId="0" fontId="2"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5"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0" fillId="37" borderId="0" xfId="0" applyFont="1" applyFill="1" applyAlignment="1">
      <alignment horizontal="right"/>
    </xf>
    <xf numFmtId="0" fontId="10" fillId="0" borderId="0" xfId="0" applyFont="1" applyFill="1" applyBorder="1" applyAlignment="1">
      <alignment horizontal="right"/>
    </xf>
    <xf numFmtId="0" fontId="10" fillId="0" borderId="0" xfId="0" applyFont="1" applyAlignment="1">
      <alignment horizontal="right"/>
    </xf>
    <xf numFmtId="0" fontId="10" fillId="36" borderId="24" xfId="0" applyFont="1" applyFill="1" applyBorder="1" applyAlignment="1">
      <alignment horizontal="right"/>
    </xf>
    <xf numFmtId="0" fontId="10" fillId="0" borderId="9" xfId="0" applyFont="1" applyFill="1" applyBorder="1" applyAlignment="1">
      <alignment horizontal="right"/>
    </xf>
    <xf numFmtId="0" fontId="11" fillId="0" borderId="9" xfId="0" applyFont="1" applyBorder="1" applyAlignment="1">
      <alignment/>
    </xf>
    <xf numFmtId="0" fontId="14" fillId="0" borderId="0" xfId="0" applyFont="1" applyFill="1" applyAlignment="1">
      <alignment horizontal="right"/>
    </xf>
    <xf numFmtId="0" fontId="14" fillId="0" borderId="0" xfId="0" applyFont="1" applyAlignment="1">
      <alignment horizontal="right"/>
    </xf>
  </cellXfs>
  <cellStyles count="61">
    <cellStyle name="Normal" xfId="0"/>
    <cellStyle name="$" xfId="15"/>
    <cellStyle name="$.00" xfId="16"/>
    <cellStyle name="$M" xfId="17"/>
    <cellStyle name="$M.00"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omma0" xfId="48"/>
    <cellStyle name="Currency" xfId="49"/>
    <cellStyle name="Currency [0]" xfId="50"/>
    <cellStyle name="Currency0" xfId="51"/>
    <cellStyle name="Date" xfId="52"/>
    <cellStyle name="Explanatory Text" xfId="53"/>
    <cellStyle name="Fixed" xfId="54"/>
    <cellStyle name="Good" xfId="55"/>
    <cellStyle name="Grey" xfId="56"/>
    <cellStyle name="Heading 1" xfId="57"/>
    <cellStyle name="Heading 2" xfId="58"/>
    <cellStyle name="Heading 3" xfId="59"/>
    <cellStyle name="Heading 4" xfId="60"/>
    <cellStyle name="Input" xfId="61"/>
    <cellStyle name="Input [yellow]" xfId="62"/>
    <cellStyle name="Linked Cell" xfId="63"/>
    <cellStyle name="M" xfId="64"/>
    <cellStyle name="M.00" xfId="65"/>
    <cellStyle name="Neutral" xfId="66"/>
    <cellStyle name="Normal - Style1"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1\amar$\My%20Documents\EXCEL\COSA\COSA_Unbundling%20(MEA)\Mea_UCA_te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1\eichsteller$\My%20Documents\EXCEL\COSA\COSA_Unbundling%20(MEA)\Mea_UCA_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2">
        <row r="1">
          <cell r="A1" t="str">
            <v>LDC Name</v>
          </cell>
        </row>
        <row r="76">
          <cell r="E76">
            <v>36161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2">
        <row r="1">
          <cell r="A1" t="str">
            <v>LDC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78"/>
  <sheetViews>
    <sheetView showGridLines="0" tabSelected="1" view="pageLayout" zoomScaleNormal="75" workbookViewId="0" topLeftCell="E1">
      <selection activeCell="A2" sqref="A2"/>
    </sheetView>
  </sheetViews>
  <sheetFormatPr defaultColWidth="9.140625" defaultRowHeight="12.75"/>
  <cols>
    <col min="1" max="1" width="47.421875" style="3" customWidth="1"/>
    <col min="2" max="2" width="10.00390625" style="3" customWidth="1"/>
    <col min="3" max="3" width="22.8515625" style="3" hidden="1" customWidth="1"/>
    <col min="4" max="4" width="20.00390625" style="3" hidden="1" customWidth="1"/>
    <col min="5" max="6" width="21.7109375" style="3" customWidth="1"/>
    <col min="7" max="7" width="14.8515625" style="3" customWidth="1"/>
    <col min="8" max="8" width="15.8515625" style="3" customWidth="1"/>
    <col min="9" max="9" width="15.7109375" style="3" customWidth="1"/>
    <col min="10" max="11" width="15.8515625" style="3" customWidth="1"/>
    <col min="12" max="12" width="13.57421875" style="3" customWidth="1"/>
    <col min="13" max="14" width="13.7109375" style="3" customWidth="1"/>
    <col min="15" max="15" width="13.421875" style="3" customWidth="1"/>
    <col min="16" max="17" width="13.7109375" style="3" customWidth="1"/>
    <col min="18" max="18" width="13.57421875" style="3" customWidth="1"/>
    <col min="19" max="19" width="13.7109375" style="3" customWidth="1"/>
    <col min="20" max="20" width="9.140625" style="3" customWidth="1"/>
    <col min="21" max="21" width="18.140625" style="3" customWidth="1"/>
    <col min="22" max="22" width="17.57421875" style="3" customWidth="1"/>
    <col min="23" max="23" width="18.57421875" style="3" customWidth="1"/>
    <col min="24" max="24" width="18.421875" style="3" customWidth="1"/>
    <col min="25" max="25" width="14.28125" style="3" customWidth="1"/>
    <col min="26" max="16384" width="9.140625" style="3" customWidth="1"/>
  </cols>
  <sheetData>
    <row r="1" spans="1:21" ht="15.75">
      <c r="A1" s="112" t="s">
        <v>95</v>
      </c>
      <c r="B1" s="113"/>
      <c r="C1" s="113"/>
      <c r="D1" s="113"/>
      <c r="E1" s="113"/>
      <c r="F1" s="113"/>
      <c r="G1" s="113"/>
      <c r="H1" s="113"/>
      <c r="I1" s="113"/>
      <c r="J1" s="113"/>
      <c r="K1" s="113"/>
      <c r="L1" s="113"/>
      <c r="M1" s="113"/>
      <c r="N1" s="113"/>
      <c r="O1" s="113"/>
      <c r="P1" s="113"/>
      <c r="Q1" s="113"/>
      <c r="R1" s="113"/>
      <c r="S1" s="113"/>
      <c r="T1" s="113"/>
      <c r="U1" s="113"/>
    </row>
    <row r="2" ht="13.5" customHeight="1">
      <c r="A2" s="45"/>
    </row>
    <row r="3" spans="1:2" ht="18">
      <c r="A3" s="1" t="s">
        <v>68</v>
      </c>
      <c r="B3" s="2"/>
    </row>
    <row r="4" spans="1:19" s="24" customFormat="1" ht="60.75" customHeight="1">
      <c r="A4" s="74" t="s">
        <v>2</v>
      </c>
      <c r="B4" s="75" t="s">
        <v>0</v>
      </c>
      <c r="C4" s="66" t="s">
        <v>52</v>
      </c>
      <c r="D4" s="66" t="s">
        <v>40</v>
      </c>
      <c r="E4" s="66" t="s">
        <v>41</v>
      </c>
      <c r="F4" s="66" t="s">
        <v>55</v>
      </c>
      <c r="G4" s="66" t="s">
        <v>51</v>
      </c>
      <c r="H4" s="66" t="s">
        <v>41</v>
      </c>
      <c r="I4" s="66" t="s">
        <v>71</v>
      </c>
      <c r="J4" s="66" t="s">
        <v>55</v>
      </c>
      <c r="K4" s="66" t="s">
        <v>72</v>
      </c>
      <c r="L4" s="66" t="s">
        <v>39</v>
      </c>
      <c r="M4" s="66" t="s">
        <v>55</v>
      </c>
      <c r="N4" s="66" t="s">
        <v>51</v>
      </c>
      <c r="O4" s="66" t="s">
        <v>61</v>
      </c>
      <c r="P4" s="66" t="s">
        <v>60</v>
      </c>
      <c r="Q4" s="66" t="s">
        <v>39</v>
      </c>
      <c r="R4" s="66" t="s">
        <v>58</v>
      </c>
      <c r="S4" s="66" t="s">
        <v>1</v>
      </c>
    </row>
    <row r="5" spans="3:19" s="71" customFormat="1" ht="30" customHeight="1">
      <c r="C5" s="72" t="s">
        <v>38</v>
      </c>
      <c r="D5" s="72" t="s">
        <v>38</v>
      </c>
      <c r="E5" s="72" t="s">
        <v>38</v>
      </c>
      <c r="F5" s="70" t="s">
        <v>54</v>
      </c>
      <c r="G5" s="70" t="s">
        <v>54</v>
      </c>
      <c r="H5" s="72" t="s">
        <v>42</v>
      </c>
      <c r="I5" s="70" t="s">
        <v>53</v>
      </c>
      <c r="J5" s="70" t="s">
        <v>56</v>
      </c>
      <c r="K5" s="70" t="s">
        <v>56</v>
      </c>
      <c r="L5" s="72" t="s">
        <v>49</v>
      </c>
      <c r="M5" s="70" t="s">
        <v>57</v>
      </c>
      <c r="N5" s="70" t="s">
        <v>57</v>
      </c>
      <c r="O5" s="70" t="s">
        <v>50</v>
      </c>
      <c r="P5" s="70" t="s">
        <v>50</v>
      </c>
      <c r="Q5" s="72" t="s">
        <v>50</v>
      </c>
      <c r="R5" s="70" t="s">
        <v>59</v>
      </c>
      <c r="S5" s="73"/>
    </row>
    <row r="6" spans="1:19" s="67" customFormat="1" ht="24" customHeight="1" thickBot="1">
      <c r="A6" s="76" t="s">
        <v>69</v>
      </c>
      <c r="C6" s="68"/>
      <c r="D6" s="69"/>
      <c r="E6" s="69"/>
      <c r="F6" s="69"/>
      <c r="G6" s="69"/>
      <c r="H6" s="69"/>
      <c r="I6" s="69"/>
      <c r="J6" s="68"/>
      <c r="K6" s="68"/>
      <c r="L6" s="69"/>
      <c r="M6" s="68"/>
      <c r="N6" s="68"/>
      <c r="O6" s="69"/>
      <c r="P6" s="68"/>
      <c r="Q6" s="68"/>
      <c r="R6" s="68"/>
      <c r="S6" s="68"/>
    </row>
    <row r="7" spans="1:21" ht="15" thickBot="1">
      <c r="A7" s="3" t="s">
        <v>3</v>
      </c>
      <c r="B7" s="50">
        <v>1580</v>
      </c>
      <c r="C7" s="58">
        <v>-13552823.555154</v>
      </c>
      <c r="D7" s="58">
        <v>-163560.22898795</v>
      </c>
      <c r="E7" s="77">
        <f aca="true" t="shared" si="0" ref="E7:E12">+C7+D7</f>
        <v>-13716383.78414195</v>
      </c>
      <c r="F7" s="77">
        <v>-744561.7248460001</v>
      </c>
      <c r="G7" s="77">
        <v>-120529.67161148174</v>
      </c>
      <c r="H7" s="56">
        <f aca="true" t="shared" si="1" ref="H7:H12">C7+D7+G7+F7</f>
        <v>-14581475.180599432</v>
      </c>
      <c r="I7" s="77">
        <v>-14061828.547602277</v>
      </c>
      <c r="J7" s="77">
        <v>-4791022.75515399</v>
      </c>
      <c r="K7" s="77">
        <v>-332612.06022234</v>
      </c>
      <c r="L7" s="57">
        <f>+H7-I7+J7+K7</f>
        <v>-5643281.448373485</v>
      </c>
      <c r="M7" s="77">
        <v>-2615936.2</v>
      </c>
      <c r="N7" s="77">
        <v>-62362.794820188545</v>
      </c>
      <c r="O7" s="77">
        <f>+F7+J7+M7</f>
        <v>-8151520.67999999</v>
      </c>
      <c r="P7" s="77">
        <v>-170059.76319368227</v>
      </c>
      <c r="Q7" s="57">
        <f aca="true" t="shared" si="2" ref="Q7:Q12">+L7+M7+N7</f>
        <v>-8321580.443193674</v>
      </c>
      <c r="R7" s="77">
        <f aca="true" t="shared" si="3" ref="R7:R12">O7*0.55%</f>
        <v>-44833.36373999995</v>
      </c>
      <c r="S7" s="57">
        <f aca="true" t="shared" si="4" ref="S7:S12">Q7+R7</f>
        <v>-8366413.806933674</v>
      </c>
      <c r="T7" s="55"/>
      <c r="U7" s="55"/>
    </row>
    <row r="8" spans="1:21" ht="15" thickBot="1">
      <c r="A8" s="3" t="s">
        <v>4</v>
      </c>
      <c r="B8" s="50">
        <v>1582</v>
      </c>
      <c r="C8" s="58">
        <v>947804.14</v>
      </c>
      <c r="D8" s="58">
        <v>70625.9274140137</v>
      </c>
      <c r="E8" s="77">
        <f t="shared" si="0"/>
        <v>1018430.0674140137</v>
      </c>
      <c r="F8" s="77">
        <v>27696.53</v>
      </c>
      <c r="G8" s="77">
        <v>8192.954304241095</v>
      </c>
      <c r="H8" s="56">
        <f t="shared" si="1"/>
        <v>1054319.5517182548</v>
      </c>
      <c r="I8" s="77">
        <v>1042588.4264169617</v>
      </c>
      <c r="J8" s="77">
        <v>220752.54</v>
      </c>
      <c r="K8" s="77">
        <v>19954.0548575151</v>
      </c>
      <c r="L8" s="57">
        <f>+H8-I8+J8+K8</f>
        <v>252437.7201588082</v>
      </c>
      <c r="M8" s="77">
        <f>ROUND(-243785.44,0)</f>
        <v>-243785</v>
      </c>
      <c r="N8" s="77">
        <f>ROUND((-3971.87905349596),)</f>
        <v>-3972</v>
      </c>
      <c r="O8" s="77">
        <f>ROUND((+F8+J8+M8),0)</f>
        <v>4664</v>
      </c>
      <c r="P8" s="77">
        <f>ROUND(16.7711053122307,0)</f>
        <v>17</v>
      </c>
      <c r="Q8" s="57">
        <f>ROUND((+L8+M8+N8),0)</f>
        <v>4681</v>
      </c>
      <c r="R8" s="77">
        <f t="shared" si="3"/>
        <v>25.652</v>
      </c>
      <c r="S8" s="57">
        <f>ROUND((Q8+R8),0)</f>
        <v>4707</v>
      </c>
      <c r="T8" s="55"/>
      <c r="U8" s="55"/>
    </row>
    <row r="9" spans="1:21" ht="15" thickBot="1">
      <c r="A9" s="3" t="s">
        <v>5</v>
      </c>
      <c r="B9" s="50">
        <v>1584</v>
      </c>
      <c r="C9" s="58">
        <v>3495961.56249042</v>
      </c>
      <c r="D9" s="58">
        <v>198076.923089369</v>
      </c>
      <c r="E9" s="77">
        <f t="shared" si="0"/>
        <v>3694038.485579789</v>
      </c>
      <c r="F9" s="77">
        <v>-907447.092490413</v>
      </c>
      <c r="G9" s="77">
        <v>27857.679498568188</v>
      </c>
      <c r="H9" s="56">
        <f t="shared" si="1"/>
        <v>2814449.0725879446</v>
      </c>
      <c r="I9" s="77">
        <v>3783146.235718072</v>
      </c>
      <c r="J9" s="77">
        <v>-3920701.92750958</v>
      </c>
      <c r="K9" s="77">
        <v>-61868.1504995506</v>
      </c>
      <c r="L9" s="57">
        <f>+H9-I9+J9+K9</f>
        <v>-4951267.241139257</v>
      </c>
      <c r="M9" s="77">
        <v>-799298.420000001</v>
      </c>
      <c r="N9" s="77">
        <v>-52033.59489046238</v>
      </c>
      <c r="O9" s="77">
        <f>+F9+J9+M9</f>
        <v>-5627447.439999994</v>
      </c>
      <c r="P9" s="77">
        <v>-175151.81602972775</v>
      </c>
      <c r="Q9" s="57">
        <f t="shared" si="2"/>
        <v>-5802599.25602972</v>
      </c>
      <c r="R9" s="77">
        <f t="shared" si="3"/>
        <v>-30950.96091999997</v>
      </c>
      <c r="S9" s="57">
        <f t="shared" si="4"/>
        <v>-5833550.21694972</v>
      </c>
      <c r="T9" s="55"/>
      <c r="U9" s="55"/>
    </row>
    <row r="10" spans="1:21" ht="15" thickBot="1">
      <c r="A10" s="3" t="s">
        <v>6</v>
      </c>
      <c r="B10" s="50">
        <v>1586</v>
      </c>
      <c r="C10" s="58">
        <v>-4454218.89688502</v>
      </c>
      <c r="D10" s="58">
        <v>-647137.69530186</v>
      </c>
      <c r="E10" s="77">
        <f t="shared" si="0"/>
        <v>-5101356.592186879</v>
      </c>
      <c r="F10" s="77">
        <v>-277959.5437357221</v>
      </c>
      <c r="G10" s="77">
        <v>-39055.676521361784</v>
      </c>
      <c r="H10" s="56">
        <f t="shared" si="1"/>
        <v>-5418371.812443963</v>
      </c>
      <c r="I10" s="77">
        <v>-5214889.14036573</v>
      </c>
      <c r="J10" s="77">
        <v>-2761549.05688502</v>
      </c>
      <c r="K10" s="77">
        <v>-120349.608865707</v>
      </c>
      <c r="L10" s="57">
        <f>+H10-I10+J10+K10</f>
        <v>-3085381.3378289603</v>
      </c>
      <c r="M10" s="77">
        <v>-3257761.18</v>
      </c>
      <c r="N10" s="77">
        <v>-40318.577915281116</v>
      </c>
      <c r="O10" s="77">
        <f>+F10+J10+M10</f>
        <v>-6297269.780620743</v>
      </c>
      <c r="P10" s="77">
        <v>-86191.31512350003</v>
      </c>
      <c r="Q10" s="57">
        <f t="shared" si="2"/>
        <v>-6383461.095744241</v>
      </c>
      <c r="R10" s="77">
        <f t="shared" si="3"/>
        <v>-34634.98379341409</v>
      </c>
      <c r="S10" s="57">
        <f t="shared" si="4"/>
        <v>-6418096.079537655</v>
      </c>
      <c r="T10" s="55"/>
      <c r="U10" s="55"/>
    </row>
    <row r="11" spans="1:21" ht="15" thickBot="1">
      <c r="A11" s="3" t="s">
        <v>44</v>
      </c>
      <c r="B11" s="50">
        <v>1588</v>
      </c>
      <c r="C11" s="58">
        <v>3948697.11604851</v>
      </c>
      <c r="D11" s="58">
        <v>332781.874360449</v>
      </c>
      <c r="E11" s="77">
        <f>+C11+D11</f>
        <v>4281478.990408959</v>
      </c>
      <c r="F11" s="77">
        <v>4495200</v>
      </c>
      <c r="G11" s="77">
        <v>51309.75589732913</v>
      </c>
      <c r="H11" s="56">
        <f t="shared" si="1"/>
        <v>8827988.746306289</v>
      </c>
      <c r="I11" s="77">
        <v>4382126.411640318</v>
      </c>
      <c r="J11" s="77">
        <v>4133531.04604851</v>
      </c>
      <c r="K11" s="77">
        <v>155516.902158311</v>
      </c>
      <c r="L11" s="57">
        <f>+H11-I11+J11+K11</f>
        <v>8734910.28287279</v>
      </c>
      <c r="M11" s="77">
        <v>-835727.7346334308</v>
      </c>
      <c r="N11" s="77">
        <v>57079.029882078</v>
      </c>
      <c r="O11" s="77">
        <f>+F11+J11+M11</f>
        <v>7793003.31141508</v>
      </c>
      <c r="P11" s="77">
        <v>163258.2667063591</v>
      </c>
      <c r="Q11" s="57">
        <f t="shared" si="2"/>
        <v>7956261.578121438</v>
      </c>
      <c r="R11" s="77">
        <f t="shared" si="3"/>
        <v>42861.51821278295</v>
      </c>
      <c r="S11" s="57">
        <f t="shared" si="4"/>
        <v>7999123.096334221</v>
      </c>
      <c r="T11" s="55"/>
      <c r="U11" s="55"/>
    </row>
    <row r="12" spans="1:21" ht="15" thickBot="1">
      <c r="A12" s="3" t="s">
        <v>45</v>
      </c>
      <c r="B12" s="50">
        <v>1588</v>
      </c>
      <c r="C12" s="58">
        <v>4072534.59471745</v>
      </c>
      <c r="D12" s="58">
        <v>-39109.7180108224</v>
      </c>
      <c r="E12" s="77">
        <f t="shared" si="0"/>
        <v>4033424.8767066277</v>
      </c>
      <c r="F12" s="77">
        <v>1699040.8283890304</v>
      </c>
      <c r="G12" s="77">
        <v>35964.3038741445</v>
      </c>
      <c r="H12" s="56">
        <f t="shared" si="1"/>
        <v>5768430.008969802</v>
      </c>
      <c r="I12" s="77">
        <v>0</v>
      </c>
      <c r="J12" s="77">
        <v>2564808.29</v>
      </c>
      <c r="K12" s="77">
        <v>192476.399830001</v>
      </c>
      <c r="L12" s="57">
        <f>+H12-I12+J12+K12</f>
        <v>8525714.698799804</v>
      </c>
      <c r="M12" s="77">
        <v>8318310.13689353</v>
      </c>
      <c r="N12" s="77">
        <v>110316.933947618</v>
      </c>
      <c r="O12" s="77">
        <f>+F12+J12+M12+C12</f>
        <v>16654693.850000013</v>
      </c>
      <c r="P12" s="77">
        <v>299647.9196409411</v>
      </c>
      <c r="Q12" s="57">
        <f t="shared" si="2"/>
        <v>16954341.769640952</v>
      </c>
      <c r="R12" s="77">
        <f t="shared" si="3"/>
        <v>91600.81617500007</v>
      </c>
      <c r="S12" s="57">
        <f t="shared" si="4"/>
        <v>17045942.58581595</v>
      </c>
      <c r="T12" s="55"/>
      <c r="U12" s="55"/>
    </row>
    <row r="13" spans="1:21" ht="14.25">
      <c r="A13" s="49" t="s">
        <v>73</v>
      </c>
      <c r="B13" s="51"/>
      <c r="C13" s="59">
        <f>SUM(C7:C12)</f>
        <v>-5542045.038782638</v>
      </c>
      <c r="D13" s="59">
        <f>SUM(D7:D12)</f>
        <v>-248322.9174368007</v>
      </c>
      <c r="E13" s="59">
        <f>SUM(E7:E12)</f>
        <v>-5790367.95621944</v>
      </c>
      <c r="F13" s="59">
        <f>SUM(F7:F12)</f>
        <v>4291968.997316895</v>
      </c>
      <c r="G13" s="59">
        <f>SUM(G7:G12)</f>
        <v>-36260.654558560615</v>
      </c>
      <c r="H13" s="59">
        <f aca="true" t="shared" si="5" ref="H13:S13">SUM(H7:H12)</f>
        <v>-1534659.6134611033</v>
      </c>
      <c r="I13" s="59">
        <f t="shared" si="5"/>
        <v>-10068856.614192655</v>
      </c>
      <c r="J13" s="59">
        <f t="shared" si="5"/>
        <v>-4554181.863500081</v>
      </c>
      <c r="K13" s="59">
        <f t="shared" si="5"/>
        <v>-146882.46274177055</v>
      </c>
      <c r="L13" s="59">
        <f t="shared" si="5"/>
        <v>3833132.6744896993</v>
      </c>
      <c r="M13" s="59">
        <f t="shared" si="5"/>
        <v>565801.6022600988</v>
      </c>
      <c r="N13" s="59">
        <f t="shared" si="5"/>
        <v>8708.996203763963</v>
      </c>
      <c r="O13" s="59">
        <f t="shared" si="5"/>
        <v>4376123.260794364</v>
      </c>
      <c r="P13" s="59">
        <f t="shared" si="5"/>
        <v>31520.29200039018</v>
      </c>
      <c r="Q13" s="59">
        <f t="shared" si="5"/>
        <v>4407643.5527947545</v>
      </c>
      <c r="R13" s="59">
        <f t="shared" si="5"/>
        <v>24068.677934369014</v>
      </c>
      <c r="S13" s="59">
        <f t="shared" si="5"/>
        <v>4431712.578729121</v>
      </c>
      <c r="T13" s="59"/>
      <c r="U13" s="59"/>
    </row>
    <row r="14" spans="2:21" ht="14.25">
      <c r="B14" s="51"/>
      <c r="C14" s="59"/>
      <c r="D14" s="59"/>
      <c r="E14" s="59"/>
      <c r="F14" s="59"/>
      <c r="G14" s="59"/>
      <c r="H14" s="91"/>
      <c r="I14" s="91"/>
      <c r="J14" s="59"/>
      <c r="K14" s="59"/>
      <c r="L14" s="59"/>
      <c r="M14" s="59"/>
      <c r="N14" s="59"/>
      <c r="O14" s="59"/>
      <c r="P14" s="59"/>
      <c r="Q14" s="59"/>
      <c r="R14" s="59"/>
      <c r="S14" s="92"/>
      <c r="T14" s="7"/>
      <c r="U14" s="7"/>
    </row>
    <row r="15" spans="1:21" ht="15.75" thickBot="1">
      <c r="A15" s="5" t="s">
        <v>70</v>
      </c>
      <c r="B15" s="51"/>
      <c r="C15" s="59"/>
      <c r="D15" s="59"/>
      <c r="E15" s="59"/>
      <c r="F15" s="59"/>
      <c r="G15" s="59"/>
      <c r="H15" s="91"/>
      <c r="I15" s="91"/>
      <c r="J15" s="59"/>
      <c r="K15" s="59"/>
      <c r="L15" s="59"/>
      <c r="M15" s="59"/>
      <c r="N15" s="59"/>
      <c r="O15" s="59"/>
      <c r="P15" s="59"/>
      <c r="Q15" s="59"/>
      <c r="R15" s="59"/>
      <c r="S15" s="92"/>
      <c r="T15" s="7"/>
      <c r="U15" s="7"/>
    </row>
    <row r="16" spans="1:20" ht="15" thickBot="1">
      <c r="A16" s="3" t="s">
        <v>43</v>
      </c>
      <c r="B16" s="50">
        <v>1508</v>
      </c>
      <c r="C16" s="58">
        <v>0</v>
      </c>
      <c r="D16" s="58">
        <v>0</v>
      </c>
      <c r="E16" s="77">
        <f>+C16+D16</f>
        <v>0</v>
      </c>
      <c r="F16" s="77">
        <v>0</v>
      </c>
      <c r="G16" s="77">
        <v>0</v>
      </c>
      <c r="H16" s="56">
        <f aca="true" t="shared" si="6" ref="H16:H22">C16+D16+G16+F16</f>
        <v>0</v>
      </c>
      <c r="I16" s="77">
        <v>0</v>
      </c>
      <c r="J16" s="77">
        <v>0</v>
      </c>
      <c r="K16" s="77">
        <v>0</v>
      </c>
      <c r="L16" s="57">
        <f aca="true" t="shared" si="7" ref="L16:L22">+H16-I16+J16+K16</f>
        <v>0</v>
      </c>
      <c r="M16" s="77">
        <v>511250.12999999995</v>
      </c>
      <c r="N16" s="77">
        <v>219.59356913698625</v>
      </c>
      <c r="O16" s="77">
        <f>+F16+J16+M16</f>
        <v>511250.12999999995</v>
      </c>
      <c r="P16" s="77">
        <v>219.59356913698625</v>
      </c>
      <c r="Q16" s="57">
        <f aca="true" t="shared" si="8" ref="Q16:Q22">+L16+M16+N16</f>
        <v>511469.7235691369</v>
      </c>
      <c r="R16" s="77">
        <f aca="true" t="shared" si="9" ref="R16:R21">O16*0.55%</f>
        <v>2811.875715</v>
      </c>
      <c r="S16" s="57">
        <f aca="true" t="shared" si="10" ref="S16:S21">Q16+R16</f>
        <v>514281.5992841369</v>
      </c>
      <c r="T16" s="55"/>
    </row>
    <row r="17" spans="1:20" ht="15" thickBot="1">
      <c r="A17" s="3" t="s">
        <v>7</v>
      </c>
      <c r="B17" s="50">
        <v>1518</v>
      </c>
      <c r="C17" s="58">
        <v>-122528.41200000003</v>
      </c>
      <c r="D17" s="58">
        <v>12413.1602089304</v>
      </c>
      <c r="E17" s="77">
        <f>+C17+D17</f>
        <v>-110115.25179106963</v>
      </c>
      <c r="F17" s="77">
        <v>-81290.192</v>
      </c>
      <c r="G17" s="77">
        <v>-1060.1869158663017</v>
      </c>
      <c r="H17" s="56">
        <f t="shared" si="6"/>
        <v>-192465.63070693595</v>
      </c>
      <c r="I17" s="77">
        <v>-113255.60463648768</v>
      </c>
      <c r="J17" s="77">
        <v>-254949.59999999998</v>
      </c>
      <c r="K17" s="77">
        <v>-9346.21167428274</v>
      </c>
      <c r="L17" s="57">
        <f t="shared" si="7"/>
        <v>-343505.837744731</v>
      </c>
      <c r="M17" s="77">
        <v>-269520.89999999997</v>
      </c>
      <c r="N17" s="77">
        <v>-4695.047816942468</v>
      </c>
      <c r="O17" s="77">
        <f>+F17+J17+M17</f>
        <v>-605760.6919999999</v>
      </c>
      <c r="P17" s="77">
        <v>-11961.093561673431</v>
      </c>
      <c r="Q17" s="57">
        <f t="shared" si="8"/>
        <v>-617721.7855616733</v>
      </c>
      <c r="R17" s="77">
        <f t="shared" si="9"/>
        <v>-3331.683806</v>
      </c>
      <c r="S17" s="57">
        <f t="shared" si="10"/>
        <v>-621053.4693676734</v>
      </c>
      <c r="T17" s="55"/>
    </row>
    <row r="18" spans="1:20" ht="15" thickBot="1">
      <c r="A18" s="3" t="s">
        <v>8</v>
      </c>
      <c r="B18" s="50">
        <v>1548</v>
      </c>
      <c r="C18" s="58">
        <v>738523.54</v>
      </c>
      <c r="D18" s="58">
        <v>31485.974402476717</v>
      </c>
      <c r="E18" s="77">
        <f>+C18+D18</f>
        <v>770009.5144024767</v>
      </c>
      <c r="F18" s="77">
        <v>-17132.72</v>
      </c>
      <c r="G18" s="77">
        <v>6489.71297881096</v>
      </c>
      <c r="H18" s="56">
        <f t="shared" si="6"/>
        <v>759366.5073812878</v>
      </c>
      <c r="I18" s="77">
        <v>788937.5692298521</v>
      </c>
      <c r="J18" s="77">
        <v>395536.12</v>
      </c>
      <c r="K18" s="77">
        <v>17715.7591993096</v>
      </c>
      <c r="L18" s="57">
        <f t="shared" si="7"/>
        <v>383680.8173507453</v>
      </c>
      <c r="M18" s="77">
        <v>402517.62000000005</v>
      </c>
      <c r="N18" s="77">
        <v>5604.526097849315</v>
      </c>
      <c r="O18" s="77">
        <f>+F18+J18+M18</f>
        <v>780921.02</v>
      </c>
      <c r="P18" s="77">
        <v>10881.94344859459</v>
      </c>
      <c r="Q18" s="57">
        <f t="shared" si="8"/>
        <v>791802.9634485947</v>
      </c>
      <c r="R18" s="77">
        <f t="shared" si="9"/>
        <v>4295.065610000001</v>
      </c>
      <c r="S18" s="57">
        <f t="shared" si="10"/>
        <v>796098.0290585947</v>
      </c>
      <c r="T18" s="55"/>
    </row>
    <row r="19" spans="1:20" ht="15" thickBot="1">
      <c r="A19" s="3" t="s">
        <v>87</v>
      </c>
      <c r="B19" s="50">
        <v>1550</v>
      </c>
      <c r="C19" s="58">
        <v>1308915.291116864</v>
      </c>
      <c r="D19" s="58">
        <v>44141.95295502092</v>
      </c>
      <c r="E19" s="77">
        <f>+C19+D19</f>
        <v>1353057.2440718848</v>
      </c>
      <c r="F19" s="77">
        <v>115501.88</v>
      </c>
      <c r="G19" s="77">
        <v>11385.002376350176</v>
      </c>
      <c r="H19" s="56">
        <f t="shared" si="6"/>
        <v>1479944.126448235</v>
      </c>
      <c r="I19" s="77">
        <v>1386604.2050728125</v>
      </c>
      <c r="J19" s="77">
        <v>225921.3958105999</v>
      </c>
      <c r="K19" s="77">
        <v>30772.134893827</v>
      </c>
      <c r="L19" s="57">
        <f t="shared" si="7"/>
        <v>350033.45207984943</v>
      </c>
      <c r="M19" s="77">
        <v>-806430.0986666665</v>
      </c>
      <c r="N19" s="77">
        <v>1243.541985780822</v>
      </c>
      <c r="O19" s="77">
        <f>+F19+J19+M19</f>
        <v>-465006.82285606663</v>
      </c>
      <c r="P19" s="77">
        <v>9853.718255026404</v>
      </c>
      <c r="Q19" s="57">
        <f t="shared" si="8"/>
        <v>-455153.1046010363</v>
      </c>
      <c r="R19" s="77">
        <f t="shared" si="9"/>
        <v>-2557.537525708367</v>
      </c>
      <c r="S19" s="57">
        <f t="shared" si="10"/>
        <v>-457710.6421267447</v>
      </c>
      <c r="T19" s="55"/>
    </row>
    <row r="20" spans="1:20" ht="15" thickBot="1">
      <c r="A20" s="3" t="s">
        <v>62</v>
      </c>
      <c r="B20" s="50">
        <v>1592</v>
      </c>
      <c r="C20" s="58">
        <v>-2781219.3711208515</v>
      </c>
      <c r="D20" s="58">
        <v>-70322.57887518362</v>
      </c>
      <c r="E20" s="77">
        <f>+C20+D20</f>
        <v>-2851541.949996035</v>
      </c>
      <c r="F20" s="77">
        <v>-200861.2</v>
      </c>
      <c r="G20" s="77">
        <v>-24330.205157841967</v>
      </c>
      <c r="H20" s="56">
        <f t="shared" si="6"/>
        <v>-3076733.3551538773</v>
      </c>
      <c r="I20" s="77">
        <v>-2922823.4595109965</v>
      </c>
      <c r="J20" s="77"/>
      <c r="K20" s="77">
        <v>-52976.6084212948</v>
      </c>
      <c r="L20" s="57">
        <f t="shared" si="7"/>
        <v>-206886.50406417562</v>
      </c>
      <c r="M20" s="77"/>
      <c r="N20" s="77">
        <v>-2271.1073216438535</v>
      </c>
      <c r="O20" s="77">
        <f>+F20+J20+M20</f>
        <v>-200861.2</v>
      </c>
      <c r="P20" s="77">
        <v>-8296.41138581805</v>
      </c>
      <c r="Q20" s="57">
        <f t="shared" si="8"/>
        <v>-209157.61138581947</v>
      </c>
      <c r="R20" s="77">
        <f t="shared" si="9"/>
        <v>-1104.7366000000002</v>
      </c>
      <c r="S20" s="57">
        <f t="shared" si="10"/>
        <v>-210262.34798581948</v>
      </c>
      <c r="T20" s="55"/>
    </row>
    <row r="21" spans="1:20" ht="15" thickBot="1">
      <c r="A21" s="3" t="s">
        <v>46</v>
      </c>
      <c r="B21" s="50">
        <v>1590</v>
      </c>
      <c r="C21" s="58">
        <v>2679862.949192163</v>
      </c>
      <c r="D21" s="58">
        <v>1050474.7223248326</v>
      </c>
      <c r="E21" s="77">
        <f>ROUND((+C21+D21),0)</f>
        <v>3730338</v>
      </c>
      <c r="F21" s="106">
        <f>ROUND(-1520219.84374072,0)</f>
        <v>-1520220</v>
      </c>
      <c r="G21" s="77">
        <v>18773.83723878971</v>
      </c>
      <c r="H21" s="56">
        <f>ROUND((C21+D21+G21+F21),0)</f>
        <v>2228892</v>
      </c>
      <c r="I21" s="77">
        <v>0</v>
      </c>
      <c r="J21" s="77">
        <v>-1482472.75</v>
      </c>
      <c r="K21" s="77">
        <v>-11890.210000000196</v>
      </c>
      <c r="L21" s="57">
        <f>ROUND((+H21-I21+J21+K21),0)</f>
        <v>734529</v>
      </c>
      <c r="M21" s="77">
        <f>ROUND(-23159.62,0)</f>
        <v>-23160</v>
      </c>
      <c r="N21" s="77">
        <v>-3747.7</v>
      </c>
      <c r="O21" s="77">
        <f>ROUND((+F21+J21+M21+C21),0)</f>
        <v>-345990</v>
      </c>
      <c r="P21" s="77">
        <v>1053610.6495636222</v>
      </c>
      <c r="Q21" s="57">
        <f t="shared" si="8"/>
        <v>707621.3</v>
      </c>
      <c r="R21" s="77">
        <f t="shared" si="9"/>
        <v>-1902.9450000000002</v>
      </c>
      <c r="S21" s="57">
        <f t="shared" si="10"/>
        <v>705718.3550000001</v>
      </c>
      <c r="T21" s="55"/>
    </row>
    <row r="22" spans="1:20" ht="15" thickBot="1">
      <c r="A22" s="3" t="s">
        <v>47</v>
      </c>
      <c r="B22" s="50">
        <v>1595</v>
      </c>
      <c r="C22" s="58"/>
      <c r="D22" s="58"/>
      <c r="E22" s="77"/>
      <c r="F22" s="77"/>
      <c r="G22" s="77"/>
      <c r="H22" s="56">
        <f t="shared" si="6"/>
        <v>0</v>
      </c>
      <c r="I22" s="77">
        <v>7330662.84154019</v>
      </c>
      <c r="J22" s="77">
        <v>4879975.550000001</v>
      </c>
      <c r="K22" s="77">
        <v>-142701.13427980687</v>
      </c>
      <c r="L22" s="57">
        <f t="shared" si="7"/>
        <v>-2593388.4258199967</v>
      </c>
      <c r="M22" s="77">
        <v>2474794.11</v>
      </c>
      <c r="N22" s="77">
        <v>-19915.689697563525</v>
      </c>
      <c r="O22" s="77">
        <v>-734282.8449601955</v>
      </c>
      <c r="P22" s="77">
        <v>595772.8394426344</v>
      </c>
      <c r="Q22" s="57">
        <f t="shared" si="8"/>
        <v>-138510.0055175604</v>
      </c>
      <c r="R22" s="77">
        <f>O22*0.55%</f>
        <v>-4038.5556472810754</v>
      </c>
      <c r="S22" s="57">
        <f>Q22+R22</f>
        <v>-142548.5611648415</v>
      </c>
      <c r="T22" s="55"/>
    </row>
    <row r="23" spans="1:20" ht="14.25">
      <c r="A23" s="78" t="s">
        <v>73</v>
      </c>
      <c r="B23" s="52"/>
      <c r="C23" s="59">
        <f aca="true" t="shared" si="11" ref="C23:O23">SUM(C16:C22)</f>
        <v>1823553.9971881756</v>
      </c>
      <c r="D23" s="59">
        <f t="shared" si="11"/>
        <v>1068193.231016077</v>
      </c>
      <c r="E23" s="59">
        <f t="shared" si="11"/>
        <v>2891747.556687257</v>
      </c>
      <c r="F23" s="59">
        <f t="shared" si="11"/>
        <v>-1704002.232</v>
      </c>
      <c r="G23" s="59">
        <f t="shared" si="11"/>
        <v>11258.160520242578</v>
      </c>
      <c r="H23" s="59">
        <f aca="true" t="shared" si="12" ref="H23:N23">SUM(H16:H22)</f>
        <v>1199003.6479687095</v>
      </c>
      <c r="I23" s="59">
        <f t="shared" si="12"/>
        <v>6470125.551695371</v>
      </c>
      <c r="J23" s="59">
        <f t="shared" si="12"/>
        <v>3764010.7158106007</v>
      </c>
      <c r="K23" s="59">
        <f t="shared" si="12"/>
        <v>-168426.270282248</v>
      </c>
      <c r="L23" s="59">
        <f t="shared" si="12"/>
        <v>-1675537.4981983085</v>
      </c>
      <c r="M23" s="59">
        <f t="shared" si="12"/>
        <v>2289450.8613333334</v>
      </c>
      <c r="N23" s="59">
        <f t="shared" si="12"/>
        <v>-23561.88318338272</v>
      </c>
      <c r="O23" s="59">
        <f t="shared" si="11"/>
        <v>-1059730.409816262</v>
      </c>
      <c r="P23" s="59">
        <f>SUM(P16:P22)</f>
        <v>1650081.239331523</v>
      </c>
      <c r="Q23" s="59">
        <f>SUM(Q16:Q22)</f>
        <v>590351.4799516421</v>
      </c>
      <c r="R23" s="59">
        <f>SUM(R16:R22)</f>
        <v>-5828.517253989442</v>
      </c>
      <c r="S23" s="59">
        <f>SUM(S16:S22)</f>
        <v>584522.9626976526</v>
      </c>
      <c r="T23" s="59"/>
    </row>
    <row r="24" spans="1:19" ht="15" thickBot="1">
      <c r="A24" s="4"/>
      <c r="B24" s="52"/>
      <c r="C24" s="59"/>
      <c r="D24" s="59"/>
      <c r="E24" s="59"/>
      <c r="F24" s="59"/>
      <c r="G24" s="59"/>
      <c r="H24" s="56"/>
      <c r="I24" s="56"/>
      <c r="J24" s="59"/>
      <c r="K24" s="59"/>
      <c r="L24" s="59"/>
      <c r="M24" s="59"/>
      <c r="N24" s="59"/>
      <c r="O24" s="59"/>
      <c r="P24" s="59"/>
      <c r="Q24" s="59"/>
      <c r="R24" s="59"/>
      <c r="S24" s="55"/>
    </row>
    <row r="25" spans="1:19" ht="14.25">
      <c r="A25" s="8"/>
      <c r="B25" s="53"/>
      <c r="C25" s="60"/>
      <c r="D25" s="60"/>
      <c r="E25" s="60"/>
      <c r="F25" s="60"/>
      <c r="G25" s="60"/>
      <c r="H25" s="60"/>
      <c r="I25" s="60"/>
      <c r="J25" s="60"/>
      <c r="K25" s="60"/>
      <c r="L25" s="60"/>
      <c r="M25" s="60"/>
      <c r="N25" s="60"/>
      <c r="O25" s="60"/>
      <c r="P25" s="60"/>
      <c r="Q25" s="60"/>
      <c r="R25" s="60"/>
      <c r="S25" s="60"/>
    </row>
    <row r="26" spans="1:20" ht="14.25">
      <c r="A26" s="78" t="s">
        <v>20</v>
      </c>
      <c r="B26" s="54"/>
      <c r="C26" s="59">
        <f aca="true" t="shared" si="13" ref="C26:S26">+C13+C23</f>
        <v>-3718491.041594462</v>
      </c>
      <c r="D26" s="59">
        <f t="shared" si="13"/>
        <v>819870.3135792764</v>
      </c>
      <c r="E26" s="59">
        <f t="shared" si="13"/>
        <v>-2898620.3995321835</v>
      </c>
      <c r="F26" s="59">
        <f t="shared" si="13"/>
        <v>2587966.765316895</v>
      </c>
      <c r="G26" s="59">
        <f t="shared" si="13"/>
        <v>-25002.494038318036</v>
      </c>
      <c r="H26" s="59">
        <f>+H13+H23</f>
        <v>-335655.9654923938</v>
      </c>
      <c r="I26" s="59">
        <f t="shared" si="13"/>
        <v>-3598731.0624972843</v>
      </c>
      <c r="J26" s="59">
        <f t="shared" si="13"/>
        <v>-790171.1476894803</v>
      </c>
      <c r="K26" s="59">
        <f t="shared" si="13"/>
        <v>-315308.7330240186</v>
      </c>
      <c r="L26" s="59">
        <f t="shared" si="13"/>
        <v>2157595.176291391</v>
      </c>
      <c r="M26" s="59">
        <f t="shared" si="13"/>
        <v>2855252.463593432</v>
      </c>
      <c r="N26" s="59">
        <f t="shared" si="13"/>
        <v>-14852.886979618757</v>
      </c>
      <c r="O26" s="59">
        <f t="shared" si="13"/>
        <v>3316392.8509781016</v>
      </c>
      <c r="P26" s="59">
        <f t="shared" si="13"/>
        <v>1681601.531331913</v>
      </c>
      <c r="Q26" s="59">
        <f t="shared" si="13"/>
        <v>4997995.032746397</v>
      </c>
      <c r="R26" s="59">
        <f t="shared" si="13"/>
        <v>18240.160680379573</v>
      </c>
      <c r="S26" s="59">
        <f t="shared" si="13"/>
        <v>5016235.541426774</v>
      </c>
      <c r="T26" s="59"/>
    </row>
    <row r="27" spans="1:9" ht="14.25">
      <c r="A27" s="4"/>
      <c r="B27" s="54"/>
      <c r="C27" s="56"/>
      <c r="D27" s="56"/>
      <c r="E27" s="56"/>
      <c r="F27" s="56"/>
      <c r="G27" s="56"/>
      <c r="H27" s="56"/>
      <c r="I27" s="56"/>
    </row>
    <row r="28" ht="15" thickBot="1">
      <c r="I28" s="6"/>
    </row>
    <row r="29" spans="5:19" ht="14.25" customHeight="1">
      <c r="E29" s="117" t="s">
        <v>77</v>
      </c>
      <c r="F29" s="118"/>
      <c r="G29" s="130" t="s">
        <v>63</v>
      </c>
      <c r="H29" s="130" t="s">
        <v>64</v>
      </c>
      <c r="I29" s="130" t="s">
        <v>93</v>
      </c>
      <c r="J29" s="130" t="s">
        <v>65</v>
      </c>
      <c r="K29" s="130" t="s">
        <v>76</v>
      </c>
      <c r="S29" s="55"/>
    </row>
    <row r="30" spans="5:11" ht="14.25" customHeight="1">
      <c r="E30" s="119"/>
      <c r="F30" s="120"/>
      <c r="G30" s="131"/>
      <c r="H30" s="133"/>
      <c r="I30" s="133"/>
      <c r="J30" s="131"/>
      <c r="K30" s="131"/>
    </row>
    <row r="31" spans="5:13" ht="33" customHeight="1" thickBot="1">
      <c r="E31" s="121"/>
      <c r="F31" s="122"/>
      <c r="G31" s="132"/>
      <c r="H31" s="134"/>
      <c r="I31" s="134"/>
      <c r="J31" s="132"/>
      <c r="K31" s="132"/>
      <c r="M31" s="55"/>
    </row>
    <row r="32" spans="5:13" ht="15" thickBot="1">
      <c r="E32" s="39" t="s">
        <v>12</v>
      </c>
      <c r="F32" s="9"/>
      <c r="G32" s="46"/>
      <c r="H32" s="80">
        <v>2229754497.7499995</v>
      </c>
      <c r="I32" s="86">
        <v>264320612.05887428</v>
      </c>
      <c r="J32" s="80">
        <v>276039.0233333334</v>
      </c>
      <c r="K32" s="90">
        <v>79897339</v>
      </c>
      <c r="M32" s="55"/>
    </row>
    <row r="33" spans="5:17" ht="15" thickBot="1">
      <c r="E33" s="10" t="s">
        <v>36</v>
      </c>
      <c r="F33" s="4"/>
      <c r="G33" s="47"/>
      <c r="H33" s="79">
        <v>756993598.7</v>
      </c>
      <c r="I33" s="87">
        <v>120589080.27291</v>
      </c>
      <c r="J33" s="79">
        <v>23553.82166666667</v>
      </c>
      <c r="K33" s="89">
        <v>17982084</v>
      </c>
      <c r="M33" s="55"/>
      <c r="N33" s="88"/>
      <c r="O33" s="88"/>
      <c r="P33" s="88"/>
      <c r="Q33" s="88"/>
    </row>
    <row r="34" spans="5:17" ht="15" thickBot="1">
      <c r="E34" s="10" t="s">
        <v>37</v>
      </c>
      <c r="F34" s="4"/>
      <c r="G34" s="85">
        <v>7564413.13544</v>
      </c>
      <c r="H34" s="79">
        <v>3019209933.75</v>
      </c>
      <c r="I34" s="87">
        <v>3134015753.7860355</v>
      </c>
      <c r="J34" s="79">
        <v>3264.9716666666664</v>
      </c>
      <c r="K34" s="89">
        <v>31749553</v>
      </c>
      <c r="M34" s="55"/>
      <c r="N34" s="88"/>
      <c r="O34" s="88"/>
      <c r="P34" s="88"/>
      <c r="Q34" s="88"/>
    </row>
    <row r="35" spans="5:18" ht="15" thickBot="1">
      <c r="E35" s="10" t="s">
        <v>33</v>
      </c>
      <c r="F35" s="4"/>
      <c r="G35" s="85">
        <v>1787025.4067599997</v>
      </c>
      <c r="H35" s="79">
        <v>839344031.1999999</v>
      </c>
      <c r="I35" s="87">
        <v>871260188.7076637</v>
      </c>
      <c r="J35" s="79">
        <v>65.58166666666666</v>
      </c>
      <c r="K35" s="89">
        <v>8301303</v>
      </c>
      <c r="M35" s="55"/>
      <c r="N35" s="88"/>
      <c r="O35" s="88"/>
      <c r="P35" s="88"/>
      <c r="Q35" s="88"/>
      <c r="R35" s="88"/>
    </row>
    <row r="36" spans="5:17" ht="15" thickBot="1">
      <c r="E36" s="10" t="s">
        <v>13</v>
      </c>
      <c r="F36" s="4"/>
      <c r="G36" s="85">
        <v>1197000.8107800002</v>
      </c>
      <c r="H36" s="79">
        <v>645268860.65</v>
      </c>
      <c r="I36" s="87">
        <v>649721215.7884849</v>
      </c>
      <c r="J36" s="79">
        <v>12</v>
      </c>
      <c r="K36" s="89">
        <v>5092541</v>
      </c>
      <c r="M36" s="55"/>
      <c r="N36" s="88"/>
      <c r="O36" s="88"/>
      <c r="P36" s="88"/>
      <c r="Q36" s="88"/>
    </row>
    <row r="37" spans="5:17" ht="15" thickBot="1">
      <c r="E37" s="10" t="s">
        <v>80</v>
      </c>
      <c r="F37" s="4"/>
      <c r="G37" s="79"/>
      <c r="H37" s="79">
        <v>17001651.6</v>
      </c>
      <c r="I37" s="87"/>
      <c r="J37" s="79">
        <v>126</v>
      </c>
      <c r="K37" s="89">
        <v>536070</v>
      </c>
      <c r="M37" s="55"/>
      <c r="N37" s="88"/>
      <c r="O37" s="88"/>
      <c r="P37" s="88"/>
      <c r="Q37" s="88"/>
    </row>
    <row r="38" spans="5:17" ht="15" thickBot="1">
      <c r="E38" s="10" t="s">
        <v>78</v>
      </c>
      <c r="F38" s="4"/>
      <c r="G38" s="85">
        <v>221</v>
      </c>
      <c r="H38" s="79">
        <f>+G38*360</f>
        <v>79560</v>
      </c>
      <c r="I38" s="84"/>
      <c r="J38" s="79">
        <v>1</v>
      </c>
      <c r="K38" s="89">
        <v>1810</v>
      </c>
      <c r="N38" s="88"/>
      <c r="O38" s="88"/>
      <c r="P38" s="88"/>
      <c r="Q38" s="88"/>
    </row>
    <row r="39" spans="5:17" ht="15" thickBot="1">
      <c r="E39" s="10" t="s">
        <v>79</v>
      </c>
      <c r="F39" s="4"/>
      <c r="G39" s="85">
        <v>118127.49156000002</v>
      </c>
      <c r="H39" s="79">
        <v>38922343.95</v>
      </c>
      <c r="I39" s="87">
        <v>40402370.74938002</v>
      </c>
      <c r="J39" s="79">
        <v>8</v>
      </c>
      <c r="K39" s="89">
        <v>688761</v>
      </c>
      <c r="N39" s="88"/>
      <c r="O39" s="88"/>
      <c r="P39" s="88"/>
      <c r="Q39" s="88"/>
    </row>
    <row r="40" spans="5:17" ht="14.25">
      <c r="E40" s="10"/>
      <c r="F40" s="4"/>
      <c r="G40" s="4"/>
      <c r="H40" s="4"/>
      <c r="I40" s="4"/>
      <c r="J40" s="4"/>
      <c r="K40" s="48"/>
      <c r="N40" s="88"/>
      <c r="O40" s="88"/>
      <c r="P40" s="88"/>
      <c r="Q40" s="88"/>
    </row>
    <row r="41" spans="5:17" ht="15.75" thickBot="1">
      <c r="E41" s="12" t="s">
        <v>16</v>
      </c>
      <c r="F41" s="4"/>
      <c r="G41" s="38">
        <f>SUM(G32:G39)</f>
        <v>10666787.84454</v>
      </c>
      <c r="H41" s="38">
        <f>SUM(H32:H39)</f>
        <v>7546574477.599999</v>
      </c>
      <c r="I41" s="38">
        <f>SUM(I32:I39)</f>
        <v>5080309221.363348</v>
      </c>
      <c r="J41" s="38">
        <f>SUM(J32:J39)</f>
        <v>303070.3983333334</v>
      </c>
      <c r="K41" s="61">
        <f>SUM(K32:K39)</f>
        <v>144249461</v>
      </c>
      <c r="O41" s="88"/>
      <c r="Q41" s="88"/>
    </row>
    <row r="42" spans="5:17" ht="15.75" thickBot="1" thickTop="1">
      <c r="E42" s="13"/>
      <c r="F42" s="14"/>
      <c r="G42" s="14"/>
      <c r="H42" s="14"/>
      <c r="I42" s="14"/>
      <c r="J42" s="14"/>
      <c r="K42" s="15"/>
      <c r="N42" s="88"/>
      <c r="O42" s="88"/>
      <c r="P42" s="88"/>
      <c r="Q42" s="88"/>
    </row>
    <row r="43" spans="5:17" ht="15" thickBot="1">
      <c r="E43" s="4"/>
      <c r="F43" s="4"/>
      <c r="G43" s="4"/>
      <c r="H43" s="4"/>
      <c r="I43" s="4"/>
      <c r="J43" s="4"/>
      <c r="K43" s="4"/>
      <c r="O43" s="88"/>
      <c r="Q43" s="88"/>
    </row>
    <row r="44" spans="5:17" ht="15" customHeight="1">
      <c r="E44" s="117" t="s">
        <v>29</v>
      </c>
      <c r="F44" s="118"/>
      <c r="G44" s="123" t="s">
        <v>9</v>
      </c>
      <c r="H44" s="123" t="s">
        <v>66</v>
      </c>
      <c r="I44" s="123" t="s">
        <v>67</v>
      </c>
      <c r="J44" s="123" t="s">
        <v>10</v>
      </c>
      <c r="K44" s="123" t="s">
        <v>11</v>
      </c>
      <c r="N44" s="88"/>
      <c r="O44" s="88"/>
      <c r="P44" s="88"/>
      <c r="Q44" s="88"/>
    </row>
    <row r="45" spans="5:11" ht="14.25" customHeight="1">
      <c r="E45" s="119"/>
      <c r="F45" s="120"/>
      <c r="G45" s="124"/>
      <c r="H45" s="126"/>
      <c r="I45" s="126"/>
      <c r="J45" s="128"/>
      <c r="K45" s="124"/>
    </row>
    <row r="46" spans="5:11" ht="15" customHeight="1" thickBot="1">
      <c r="E46" s="121"/>
      <c r="F46" s="122"/>
      <c r="G46" s="125"/>
      <c r="H46" s="127"/>
      <c r="I46" s="127"/>
      <c r="J46" s="129"/>
      <c r="K46" s="125"/>
    </row>
    <row r="47" spans="5:11" ht="14.25">
      <c r="E47" s="39" t="s">
        <v>12</v>
      </c>
      <c r="F47" s="4"/>
      <c r="G47" s="19">
        <f aca="true" t="shared" si="14" ref="G47:K52">IF(ISERROR(G32/G$41),"",G32/G$41)</f>
        <v>0</v>
      </c>
      <c r="H47" s="19">
        <f t="shared" si="14"/>
        <v>0.295465777800038</v>
      </c>
      <c r="I47" s="19">
        <f t="shared" si="14"/>
        <v>0.05202844955723805</v>
      </c>
      <c r="J47" s="19">
        <f t="shared" si="14"/>
        <v>0.9108082638599715</v>
      </c>
      <c r="K47" s="40">
        <f t="shared" si="14"/>
        <v>0.553883102551073</v>
      </c>
    </row>
    <row r="48" spans="5:11" ht="14.25">
      <c r="E48" s="10" t="s">
        <v>36</v>
      </c>
      <c r="F48" s="4"/>
      <c r="G48" s="19">
        <f t="shared" si="14"/>
        <v>0</v>
      </c>
      <c r="H48" s="19">
        <f t="shared" si="14"/>
        <v>0.10030956441852318</v>
      </c>
      <c r="I48" s="19">
        <f t="shared" si="14"/>
        <v>0.023736563074904484</v>
      </c>
      <c r="J48" s="19">
        <f t="shared" si="14"/>
        <v>0.07771732837055531</v>
      </c>
      <c r="K48" s="40">
        <f t="shared" si="14"/>
        <v>0.12465962697773962</v>
      </c>
    </row>
    <row r="49" spans="5:11" ht="14.25">
      <c r="E49" s="10" t="s">
        <v>37</v>
      </c>
      <c r="F49" s="4"/>
      <c r="G49" s="19">
        <f t="shared" si="14"/>
        <v>0.7091556751371961</v>
      </c>
      <c r="H49" s="19">
        <f t="shared" si="14"/>
        <v>0.40007687497310496</v>
      </c>
      <c r="I49" s="19">
        <f t="shared" si="14"/>
        <v>0.6168946844036776</v>
      </c>
      <c r="J49" s="19">
        <f t="shared" si="14"/>
        <v>0.0107729810783951</v>
      </c>
      <c r="K49" s="40">
        <f t="shared" si="14"/>
        <v>0.22010170977345975</v>
      </c>
    </row>
    <row r="50" spans="5:11" ht="14.25">
      <c r="E50" s="10" t="s">
        <v>33</v>
      </c>
      <c r="F50" s="4"/>
      <c r="G50" s="19">
        <f t="shared" si="14"/>
        <v>0.1675317286520068</v>
      </c>
      <c r="H50" s="19">
        <f t="shared" si="14"/>
        <v>0.11122185750519915</v>
      </c>
      <c r="I50" s="19">
        <f t="shared" si="14"/>
        <v>0.17149747205227261</v>
      </c>
      <c r="J50" s="19">
        <f t="shared" si="14"/>
        <v>0.0002163908683504496</v>
      </c>
      <c r="K50" s="40">
        <f t="shared" si="14"/>
        <v>0.057548242762584745</v>
      </c>
    </row>
    <row r="51" spans="5:11" ht="14.25">
      <c r="E51" s="10" t="s">
        <v>13</v>
      </c>
      <c r="F51" s="4"/>
      <c r="G51" s="19">
        <f t="shared" si="14"/>
        <v>0.11221755117148112</v>
      </c>
      <c r="H51" s="19">
        <f t="shared" si="14"/>
        <v>0.08550486880707386</v>
      </c>
      <c r="I51" s="19">
        <f t="shared" si="14"/>
        <v>0.12789009240939989</v>
      </c>
      <c r="J51" s="19">
        <f t="shared" si="14"/>
        <v>3.95947610389905E-05</v>
      </c>
      <c r="K51" s="40">
        <f t="shared" si="14"/>
        <v>0.03530370903777588</v>
      </c>
    </row>
    <row r="52" spans="5:11" ht="14.25">
      <c r="E52" s="10" t="s">
        <v>74</v>
      </c>
      <c r="F52" s="4"/>
      <c r="G52" s="19">
        <f t="shared" si="14"/>
        <v>0</v>
      </c>
      <c r="H52" s="19">
        <f t="shared" si="14"/>
        <v>0.0022528965493502895</v>
      </c>
      <c r="I52" s="19">
        <f t="shared" si="14"/>
        <v>0</v>
      </c>
      <c r="J52" s="19">
        <f t="shared" si="14"/>
        <v>0.0004157449909094003</v>
      </c>
      <c r="K52" s="40">
        <f t="shared" si="14"/>
        <v>0.00371627038523215</v>
      </c>
    </row>
    <row r="53" spans="5:11" ht="14.25">
      <c r="E53" s="10" t="s">
        <v>14</v>
      </c>
      <c r="F53" s="4"/>
      <c r="G53" s="19">
        <f aca="true" t="shared" si="15" ref="G53:K54">IF(ISERROR(G38/G$41),"",G38/G$41)</f>
        <v>2.0718514628855498E-05</v>
      </c>
      <c r="H53" s="19">
        <f t="shared" si="15"/>
        <v>1.0542531613005704E-05</v>
      </c>
      <c r="I53" s="19">
        <f t="shared" si="15"/>
        <v>0</v>
      </c>
      <c r="J53" s="19">
        <f t="shared" si="15"/>
        <v>3.2995634199158752E-06</v>
      </c>
      <c r="K53" s="40">
        <f t="shared" si="15"/>
        <v>1.2547707197325333E-05</v>
      </c>
    </row>
    <row r="54" spans="5:11" ht="14.25">
      <c r="E54" s="10" t="s">
        <v>15</v>
      </c>
      <c r="F54" s="4"/>
      <c r="G54" s="20">
        <f t="shared" si="15"/>
        <v>0.011074326524687171</v>
      </c>
      <c r="H54" s="20">
        <f t="shared" si="15"/>
        <v>0.00515761741509749</v>
      </c>
      <c r="I54" s="20">
        <f t="shared" si="15"/>
        <v>0.007952738502507465</v>
      </c>
      <c r="J54" s="20">
        <f t="shared" si="15"/>
        <v>2.6396507359327002E-05</v>
      </c>
      <c r="K54" s="41">
        <f t="shared" si="15"/>
        <v>0.0047747908049375655</v>
      </c>
    </row>
    <row r="55" spans="5:11" ht="14.25">
      <c r="E55" s="10"/>
      <c r="F55" s="4"/>
      <c r="G55" s="4"/>
      <c r="H55" s="4"/>
      <c r="I55" s="4"/>
      <c r="J55" s="4"/>
      <c r="K55" s="42"/>
    </row>
    <row r="56" spans="5:11" ht="15.75" thickBot="1">
      <c r="E56" s="12" t="s">
        <v>16</v>
      </c>
      <c r="F56" s="4"/>
      <c r="G56" s="18">
        <f>SUM(G47:G54)</f>
        <v>1</v>
      </c>
      <c r="H56" s="18">
        <f>SUM(H47:H54)</f>
        <v>1</v>
      </c>
      <c r="I56" s="18">
        <f>SUM(I47:I54)</f>
        <v>1</v>
      </c>
      <c r="J56" s="18">
        <f>SUM(J47:J54)</f>
        <v>1</v>
      </c>
      <c r="K56" s="43">
        <f>SUM(K47:K54)</f>
        <v>1</v>
      </c>
    </row>
    <row r="57" spans="5:11" ht="15.75" thickBot="1" thickTop="1">
      <c r="E57" s="13"/>
      <c r="F57" s="14"/>
      <c r="G57" s="14"/>
      <c r="H57" s="81"/>
      <c r="I57" s="81"/>
      <c r="J57" s="81"/>
      <c r="K57" s="82"/>
    </row>
    <row r="58" ht="14.25">
      <c r="I58" s="6"/>
    </row>
    <row r="59" spans="5:15" ht="14.25">
      <c r="E59" s="115" t="s">
        <v>83</v>
      </c>
      <c r="F59" s="116"/>
      <c r="G59" s="116"/>
      <c r="H59" s="116"/>
      <c r="I59" s="116"/>
      <c r="J59" s="116"/>
      <c r="K59" s="116"/>
      <c r="L59" s="116"/>
      <c r="M59" s="116"/>
      <c r="N59" s="116"/>
      <c r="O59" s="116"/>
    </row>
    <row r="60" spans="5:15" ht="14.25">
      <c r="E60" s="116"/>
      <c r="F60" s="116"/>
      <c r="G60" s="116"/>
      <c r="H60" s="116"/>
      <c r="I60" s="116"/>
      <c r="J60" s="116"/>
      <c r="K60" s="116"/>
      <c r="L60" s="116"/>
      <c r="M60" s="116"/>
      <c r="N60" s="116"/>
      <c r="O60" s="116"/>
    </row>
    <row r="61" spans="5:15" ht="14.25">
      <c r="E61" s="116"/>
      <c r="F61" s="116"/>
      <c r="G61" s="116"/>
      <c r="H61" s="116"/>
      <c r="I61" s="116"/>
      <c r="J61" s="116"/>
      <c r="K61" s="116"/>
      <c r="L61" s="116"/>
      <c r="M61" s="116"/>
      <c r="N61" s="116"/>
      <c r="O61" s="116"/>
    </row>
    <row r="62" ht="14.25">
      <c r="I62" s="6"/>
    </row>
    <row r="63" spans="5:15" ht="14.25">
      <c r="E63" s="115" t="s">
        <v>84</v>
      </c>
      <c r="F63" s="116"/>
      <c r="G63" s="116"/>
      <c r="H63" s="116"/>
      <c r="I63" s="116"/>
      <c r="J63" s="116"/>
      <c r="K63" s="116"/>
      <c r="L63" s="116"/>
      <c r="M63" s="116"/>
      <c r="N63" s="116"/>
      <c r="O63" s="116"/>
    </row>
    <row r="64" spans="5:15" ht="14.25">
      <c r="E64" s="116"/>
      <c r="F64" s="116"/>
      <c r="G64" s="116"/>
      <c r="H64" s="116"/>
      <c r="I64" s="116"/>
      <c r="J64" s="116"/>
      <c r="K64" s="116"/>
      <c r="L64" s="116"/>
      <c r="M64" s="116"/>
      <c r="N64" s="116"/>
      <c r="O64" s="116"/>
    </row>
    <row r="65" spans="5:15" ht="14.25">
      <c r="E65" s="116"/>
      <c r="F65" s="116"/>
      <c r="G65" s="116"/>
      <c r="H65" s="116"/>
      <c r="I65" s="116"/>
      <c r="J65" s="116"/>
      <c r="K65" s="116"/>
      <c r="L65" s="116"/>
      <c r="M65" s="116"/>
      <c r="N65" s="116"/>
      <c r="O65" s="116"/>
    </row>
    <row r="66" spans="5:15" ht="14.25">
      <c r="E66" s="116"/>
      <c r="F66" s="116"/>
      <c r="G66" s="116"/>
      <c r="H66" s="116"/>
      <c r="I66" s="116"/>
      <c r="J66" s="116"/>
      <c r="K66" s="116"/>
      <c r="L66" s="116"/>
      <c r="M66" s="116"/>
      <c r="N66" s="116"/>
      <c r="O66" s="116"/>
    </row>
    <row r="67" ht="14.25">
      <c r="I67" s="6"/>
    </row>
    <row r="68" ht="14.25">
      <c r="I68" s="6"/>
    </row>
    <row r="69" ht="14.25">
      <c r="I69" s="6"/>
    </row>
    <row r="70" ht="14.25">
      <c r="I70" s="6"/>
    </row>
    <row r="71" ht="14.25">
      <c r="I71" s="6"/>
    </row>
    <row r="72" ht="14.25">
      <c r="I72" s="6"/>
    </row>
    <row r="73" ht="14.25">
      <c r="I73" s="6"/>
    </row>
    <row r="74" ht="14.25">
      <c r="I74" s="6"/>
    </row>
    <row r="75" ht="14.25">
      <c r="I75" s="6"/>
    </row>
    <row r="76" ht="14.25">
      <c r="I76" s="6"/>
    </row>
    <row r="77" ht="14.25">
      <c r="I77" s="6"/>
    </row>
    <row r="78" ht="14.25">
      <c r="I78" s="6"/>
    </row>
  </sheetData>
  <sheetProtection/>
  <mergeCells count="14">
    <mergeCell ref="E29:F31"/>
    <mergeCell ref="I44:I46"/>
    <mergeCell ref="J44:J46"/>
    <mergeCell ref="K44:K46"/>
    <mergeCell ref="G29:G31"/>
    <mergeCell ref="H29:H31"/>
    <mergeCell ref="K29:K31"/>
    <mergeCell ref="J29:J31"/>
    <mergeCell ref="I29:I31"/>
    <mergeCell ref="E63:O66"/>
    <mergeCell ref="E59:O61"/>
    <mergeCell ref="E44:F46"/>
    <mergeCell ref="G44:G46"/>
    <mergeCell ref="H44:H46"/>
  </mergeCells>
  <printOptions/>
  <pageMargins left="0.5118110236220472" right="0.35433070866141736" top="1.8110236220472442" bottom="0.31496062992125984" header="0.984251968503937" footer="0.2362204724409449"/>
  <pageSetup fitToHeight="1" fitToWidth="1" horizontalDpi="600" verticalDpi="600" orientation="landscape" scale="42" r:id="rId2"/>
  <headerFooter alignWithMargins="0">
    <oddHeader>&amp;L&amp;G&amp;RHydro Ottawa Limited
  EB-2010-0133
  Exhibit I1
Tab 1
Schedule 2
Attachment AM
  Filed: 2010-06-14
  Page &amp;P of &amp;N</oddHeader>
    <oddFooter>&amp;L&amp;"Helvetica,Regular"&amp;8 2011 Electricity Distribution Rate Application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N41"/>
  <sheetViews>
    <sheetView showGridLines="0" zoomScalePageLayoutView="0" workbookViewId="0" topLeftCell="A1">
      <selection activeCell="A5" sqref="A5"/>
    </sheetView>
  </sheetViews>
  <sheetFormatPr defaultColWidth="9.140625" defaultRowHeight="12.75"/>
  <cols>
    <col min="1" max="1" width="65.140625" style="7" customWidth="1"/>
    <col min="2" max="2" width="4.28125" style="7" customWidth="1"/>
    <col min="3" max="3" width="16.140625" style="7" customWidth="1"/>
    <col min="4" max="4" width="18.57421875" style="7" customWidth="1"/>
    <col min="5" max="5" width="15.421875" style="7" customWidth="1"/>
    <col min="6" max="6" width="15.140625" style="7" customWidth="1"/>
    <col min="7" max="7" width="15.00390625" style="7" customWidth="1"/>
    <col min="8" max="8" width="13.7109375" style="7" customWidth="1"/>
    <col min="9" max="9" width="14.421875" style="7" customWidth="1"/>
    <col min="10" max="10" width="13.8515625" style="7" customWidth="1"/>
    <col min="11" max="11" width="12.7109375" style="7" customWidth="1"/>
    <col min="12" max="12" width="13.421875" style="7" customWidth="1"/>
    <col min="13" max="13" width="16.140625" style="7" customWidth="1"/>
    <col min="14" max="14" width="11.7109375" style="7" customWidth="1"/>
    <col min="15" max="15" width="15.57421875" style="7" customWidth="1"/>
    <col min="16" max="16384" width="9.140625" style="7" customWidth="1"/>
  </cols>
  <sheetData>
    <row r="1" ht="15.75">
      <c r="A1" s="114" t="str">
        <f>+'Dec 31 2009 balances'!A1</f>
        <v>Attachment AM - Deferral and Variance Accounts Recovery Riders</v>
      </c>
    </row>
    <row r="3" spans="1:8" s="6" customFormat="1" ht="18" customHeight="1">
      <c r="A3" s="16" t="s">
        <v>25</v>
      </c>
      <c r="B3" s="16"/>
      <c r="H3" s="16"/>
    </row>
    <row r="4" spans="1:2" s="6" customFormat="1" ht="11.25" customHeight="1">
      <c r="A4" s="16"/>
      <c r="B4" s="16"/>
    </row>
    <row r="5" spans="1:14" s="23" customFormat="1" ht="46.5" customHeight="1">
      <c r="A5" s="16" t="s">
        <v>28</v>
      </c>
      <c r="B5" s="22"/>
      <c r="C5" s="109" t="s">
        <v>21</v>
      </c>
      <c r="D5" s="109" t="s">
        <v>22</v>
      </c>
      <c r="E5" s="109" t="s">
        <v>17</v>
      </c>
      <c r="F5" s="109" t="s">
        <v>18</v>
      </c>
      <c r="G5" s="109" t="s">
        <v>34</v>
      </c>
      <c r="H5" s="109" t="s">
        <v>35</v>
      </c>
      <c r="I5" s="109" t="s">
        <v>19</v>
      </c>
      <c r="J5" s="107" t="s">
        <v>75</v>
      </c>
      <c r="K5" s="109" t="s">
        <v>30</v>
      </c>
      <c r="L5" s="109" t="s">
        <v>31</v>
      </c>
      <c r="M5" s="109" t="s">
        <v>20</v>
      </c>
      <c r="N5" s="6"/>
    </row>
    <row r="6" spans="1:14" s="16" customFormat="1" ht="15">
      <c r="A6" s="24" t="str">
        <f>+'Dec 31 2009 balances'!A7</f>
        <v>RSVA - Wholesale Market Service Charge</v>
      </c>
      <c r="B6" s="25"/>
      <c r="C6" s="26">
        <f>'Dec 31 2009 balances'!S7</f>
        <v>-8366413.806933674</v>
      </c>
      <c r="D6" s="27" t="s">
        <v>23</v>
      </c>
      <c r="E6" s="26">
        <f>IF(ISERROR($C6*'Dec 31 2009 balances'!H$47),"",$C6*'Dec 31 2009 balances'!H$47)</f>
        <v>-2471988.962862635</v>
      </c>
      <c r="F6" s="26">
        <f>IF(ISERROR($C6*'Dec 31 2009 balances'!H$48),"",$C6*'Dec 31 2009 balances'!H$48)</f>
        <v>-839231.3247186351</v>
      </c>
      <c r="G6" s="26">
        <f>IF(ISERROR($C6*'Dec 31 2009 balances'!H$49),"",$C6*'Dec 31 2009 balances'!H$49)</f>
        <v>-3347208.6906098626</v>
      </c>
      <c r="H6" s="26">
        <f>IF(ISERROR($C6*'Dec 31 2009 balances'!H$50),"",$C6*'Dec 31 2009 balances'!H$50)</f>
        <v>-930528.0842643079</v>
      </c>
      <c r="I6" s="26">
        <f>IF(ISERROR($C6*'Dec 31 2009 balances'!$H51),"",$C6*'Dec 31 2009 balances'!$H51)</f>
        <v>-715369.1149475552</v>
      </c>
      <c r="J6" s="26">
        <f>IF(ISERROR($C6*'Dec 31 2009 balances'!H$52),"",$C6*'Dec 31 2009 balances'!H$52)</f>
        <v>-18848.664796077494</v>
      </c>
      <c r="K6" s="26">
        <f>IF(ISERROR($C6*'Dec 31 2009 balances'!H$53),"",$C6*'Dec 31 2009 balances'!H$53)</f>
        <v>-88.20318204708566</v>
      </c>
      <c r="L6" s="26">
        <f>IF(ISERROR($C6*'Dec 31 2009 balances'!H$54),"",$C6*'Dec 31 2009 balances'!H$54)</f>
        <v>-43150.76155255321</v>
      </c>
      <c r="M6" s="26">
        <f aca="true" t="shared" si="0" ref="M6:M14">SUM(E6:L6)</f>
        <v>-8366413.806933675</v>
      </c>
      <c r="N6" s="6"/>
    </row>
    <row r="7" spans="1:14" s="16" customFormat="1" ht="15">
      <c r="A7" s="24" t="str">
        <f>+'Dec 31 2009 balances'!A8</f>
        <v>RSVA - One-time Wholesale Market Service</v>
      </c>
      <c r="B7" s="25"/>
      <c r="C7" s="26">
        <f>'Dec 31 2009 balances'!S8</f>
        <v>4707</v>
      </c>
      <c r="D7" s="27" t="s">
        <v>23</v>
      </c>
      <c r="E7" s="26">
        <f>IF(ISERROR($C7*'Dec 31 2009 balances'!H$47),"",$C7*'Dec 31 2009 balances'!H$47)</f>
        <v>1390.757416104779</v>
      </c>
      <c r="F7" s="26">
        <f>IF(ISERROR($C7*'Dec 31 2009 balances'!H$48),"",$C7*'Dec 31 2009 balances'!H$48)</f>
        <v>472.1571197179886</v>
      </c>
      <c r="G7" s="26">
        <f>IF(ISERROR($C7*'Dec 31 2009 balances'!H$49),"",$C7*'Dec 31 2009 balances'!H$49)</f>
        <v>1883.161850498405</v>
      </c>
      <c r="H7" s="26">
        <f>IF(ISERROR($C7*'Dec 31 2009 balances'!H$50),"",$C7*'Dec 31 2009 balances'!H$50)</f>
        <v>523.5212832769724</v>
      </c>
      <c r="I7" s="26">
        <f>IF(ISERROR($C7*'Dec 31 2009 balances'!H$51),"",$C7*'Dec 31 2009 balances'!H$51)</f>
        <v>402.47141747489667</v>
      </c>
      <c r="J7" s="26">
        <f>IF(ISERROR($C7*'Dec 31 2009 balances'!H$52),"",$C7*'Dec 31 2009 balances'!H$52)</f>
        <v>10.604384057791814</v>
      </c>
      <c r="K7" s="26">
        <f>IF(ISERROR($C7*'Dec 31 2009 balances'!H$53),"",$C7*'Dec 31 2009 balances'!H$53)</f>
        <v>0.04962369630241785</v>
      </c>
      <c r="L7" s="26">
        <f>IF(ISERROR($C7*'Dec 31 2009 balances'!H$54),"",$C7*'Dec 31 2009 balances'!H$54)</f>
        <v>24.276905172863884</v>
      </c>
      <c r="M7" s="26">
        <f t="shared" si="0"/>
        <v>4707</v>
      </c>
      <c r="N7" s="6"/>
    </row>
    <row r="8" spans="1:14" s="16" customFormat="1" ht="15">
      <c r="A8" s="24" t="str">
        <f>+'Dec 31 2009 balances'!A9</f>
        <v>RSVA - Retail Transmission Network Charge</v>
      </c>
      <c r="B8" s="25"/>
      <c r="C8" s="26">
        <f>'Dec 31 2009 balances'!S9</f>
        <v>-5833550.21694972</v>
      </c>
      <c r="D8" s="27" t="s">
        <v>23</v>
      </c>
      <c r="E8" s="26">
        <f>IF(ISERROR($C8*'Dec 31 2009 balances'!H$47),"",$C8*'Dec 31 2009 balances'!H$47)</f>
        <v>-1723614.4521866296</v>
      </c>
      <c r="F8" s="26">
        <f>IF(ISERROR($C8*'Dec 31 2009 balances'!H$48),"",$C8*'Dec 31 2009 balances'!H$48)</f>
        <v>-585160.8812758077</v>
      </c>
      <c r="G8" s="26">
        <f>IF(ISERROR($C8*'Dec 31 2009 balances'!H$49),"",$C8*'Dec 31 2009 balances'!H$49)</f>
        <v>-2333868.5407959223</v>
      </c>
      <c r="H8" s="26">
        <f>IF(ISERROR($C8*'Dec 31 2009 balances'!H$50),"",$C8*'Dec 31 2009 balances'!H$50)</f>
        <v>-648818.2909790054</v>
      </c>
      <c r="I8" s="26">
        <f>IF(ISERROR($C8*'Dec 31 2009 balances'!H$51),"",$C8*'Dec 31 2009 balances'!H$51)</f>
        <v>-498796.94597976306</v>
      </c>
      <c r="J8" s="26">
        <f>IF(ISERROR($C8*'Dec 31 2009 balances'!H$52),"",$C8*'Dec 31 2009 balances'!H$52)</f>
        <v>-13142.385154227657</v>
      </c>
      <c r="K8" s="26">
        <f>IF(ISERROR($C8*'Dec 31 2009 balances'!H$53),"",$C8*'Dec 31 2009 balances'!H$53)</f>
        <v>-61.500387578248706</v>
      </c>
      <c r="L8" s="26">
        <f>IF(ISERROR($C8*'Dec 31 2009 balances'!H$54),"",$C8*'Dec 31 2009 balances'!H$54)</f>
        <v>-30087.220190785618</v>
      </c>
      <c r="M8" s="26">
        <f t="shared" si="0"/>
        <v>-5833550.21694972</v>
      </c>
      <c r="N8" s="6"/>
    </row>
    <row r="9" spans="1:14" s="16" customFormat="1" ht="15">
      <c r="A9" s="24" t="str">
        <f>+'Dec 31 2009 balances'!A10</f>
        <v>RSVA - Retail Transmission Connection Charge</v>
      </c>
      <c r="B9" s="25"/>
      <c r="C9" s="26">
        <f>'Dec 31 2009 balances'!S10</f>
        <v>-6418096.079537655</v>
      </c>
      <c r="D9" s="27" t="s">
        <v>23</v>
      </c>
      <c r="E9" s="26">
        <f>IF(ISERROR($C9*'Dec 31 2009 balances'!H$47),"",$C9*'Dec 31 2009 balances'!H$47)</f>
        <v>-1896327.750135968</v>
      </c>
      <c r="F9" s="26">
        <f>IF(ISERROR($C9*'Dec 31 2009 balances'!H$48),"",$C9*'Dec 31 2009 balances'!H$48)</f>
        <v>-643796.4221346534</v>
      </c>
      <c r="G9" s="26">
        <f>IF(ISERROR($C9*'Dec 31 2009 balances'!H$49),"",$C9*'Dec 31 2009 balances'!H$49)</f>
        <v>-2567731.8227785616</v>
      </c>
      <c r="H9" s="26">
        <f>IF(ISERROR($C9*'Dec 31 2009 balances'!H$50),"",$C9*'Dec 31 2009 balances'!H$50)</f>
        <v>-713832.5676130144</v>
      </c>
      <c r="I9" s="26">
        <f>IF(ISERROR($C9*'Dec 31 2009 balances'!H$51),"",$C9*'Dec 31 2009 balances'!H$51)</f>
        <v>-548778.4632720624</v>
      </c>
      <c r="J9" s="26">
        <f>IF(ISERROR($C9*'Dec 31 2009 balances'!H$52),"",$C9*'Dec 31 2009 balances'!H$52)</f>
        <v>-14459.306510989005</v>
      </c>
      <c r="K9" s="26">
        <f>IF(ISERROR($C9*'Dec 31 2009 balances'!H$53),"",$C9*'Dec 31 2009 balances'!H$53)</f>
        <v>-67.6629808138337</v>
      </c>
      <c r="L9" s="26">
        <f>IF(ISERROR($C9*'Dec 31 2009 balances'!H$54),"",$C9*'Dec 31 2009 balances'!H$54)</f>
        <v>-33102.08411159234</v>
      </c>
      <c r="M9" s="26">
        <f t="shared" si="0"/>
        <v>-6418096.079537653</v>
      </c>
      <c r="N9" s="6"/>
    </row>
    <row r="10" spans="1:14" s="16" customFormat="1" ht="15">
      <c r="A10" s="24" t="str">
        <f>+'Dec 31 2009 balances'!A11</f>
        <v>RSVA - Power - Commodity Only</v>
      </c>
      <c r="B10" s="25"/>
      <c r="C10" s="26">
        <f>'Dec 31 2009 balances'!S11</f>
        <v>7999123.096334221</v>
      </c>
      <c r="D10" s="27" t="s">
        <v>23</v>
      </c>
      <c r="E10" s="26">
        <f>IF(ISERROR($C10*'Dec 31 2009 balances'!H$47),"",$C10*'Dec 31 2009 balances'!H$47)</f>
        <v>2363467.127376639</v>
      </c>
      <c r="F10" s="26">
        <f>IF(ISERROR($C10*'Dec 31 2009 balances'!H$48),"",$C10*'Dec 31 2009 balances'!H$48)</f>
        <v>802388.5535234341</v>
      </c>
      <c r="G10" s="26">
        <f>IF(ISERROR($C10*'Dec 31 2009 balances'!H$49),"",$C10*'Dec 31 2009 balances'!H$49)</f>
        <v>3200264.1709065824</v>
      </c>
      <c r="H10" s="26">
        <f>IF(ISERROR($C10*'Dec 31 2009 balances'!H$50),"",$C10*'Dec 31 2009 balances'!H$50)</f>
        <v>889677.3291870322</v>
      </c>
      <c r="I10" s="26">
        <f>IF(ISERROR($C10*'Dec 31 2009 balances'!H$51),"",$C10*'Dec 31 2009 balances'!H$51)</f>
        <v>683963.970923692</v>
      </c>
      <c r="J10" s="26">
        <f>IF(ISERROR($C10*'Dec 31 2009 balances'!H$52),"",$C10*'Dec 31 2009 balances'!H$52)</f>
        <v>18021.19682155957</v>
      </c>
      <c r="K10" s="26">
        <f>IF(ISERROR($C10*'Dec 31 2009 balances'!H$53),"",$C10*'Dec 31 2009 balances'!H$53)</f>
        <v>84.3310081194276</v>
      </c>
      <c r="L10" s="26">
        <f>IF(ISERROR($C10*'Dec 31 2009 balances'!H$54),"",$C10*'Dec 31 2009 balances'!H$54)</f>
        <v>41256.41658716193</v>
      </c>
      <c r="M10" s="26">
        <f>SUM(E10:L10)</f>
        <v>7999123.09633422</v>
      </c>
      <c r="N10" s="6"/>
    </row>
    <row r="11" spans="1:14" s="16" customFormat="1" ht="15">
      <c r="A11" s="24" t="str">
        <f>+'Dec 31 2009 balances'!A12</f>
        <v>RSVA - Power - Global Adjustment sub</v>
      </c>
      <c r="B11" s="25"/>
      <c r="C11" s="26">
        <f>'Dec 31 2009 balances'!S12</f>
        <v>17045942.58581595</v>
      </c>
      <c r="D11" s="27" t="s">
        <v>48</v>
      </c>
      <c r="E11" s="26">
        <f>IF(ISERROR($C11*'Dec 31 2009 balances'!I$47),"",$C11*'Dec 31 2009 balances'!I$47)</f>
        <v>886873.9639817012</v>
      </c>
      <c r="F11" s="26">
        <f>IF(ISERROR($C11*'Dec 31 2009 balances'!I$48),"",$C11*'Dec 31 2009 balances'!I$48)</f>
        <v>404612.0913594208</v>
      </c>
      <c r="G11" s="26">
        <f>IF(ISERROR($C11*'Dec 31 2009 balances'!I$49),"",$C11*'Dec 31 2009 balances'!I$49)</f>
        <v>10515551.371840138</v>
      </c>
      <c r="H11" s="26">
        <f>IF(ISERROR($C11*'Dec 31 2009 balances'!I$50),"",$C11*'Dec 31 2009 balances'!I$50)</f>
        <v>2923336.0622156146</v>
      </c>
      <c r="I11" s="26">
        <f>IF(ISERROR($C11*'Dec 31 2009 balances'!I$51),"",$C11*'Dec 31 2009 balances'!I$51)</f>
        <v>2180007.172505327</v>
      </c>
      <c r="J11" s="26">
        <f>IF(ISERROR($C11*'Dec 31 2009 balances'!I$52),"",$C11*'Dec 31 2009 balances'!I$52)</f>
        <v>0</v>
      </c>
      <c r="K11" s="26">
        <f>IF(ISERROR($C11*'Dec 31 2009 balances'!I$53),"",$C11*'Dec 31 2009 balances'!I$53)</f>
        <v>0</v>
      </c>
      <c r="L11" s="26">
        <f>IF(ISERROR($C11*'Dec 31 2009 balances'!I$54),"",$C11*'Dec 31 2009 balances'!I$54)</f>
        <v>135561.9239137502</v>
      </c>
      <c r="M11" s="26">
        <f>SUM(E11:L11)</f>
        <v>17045942.585815955</v>
      </c>
      <c r="N11" s="6"/>
    </row>
    <row r="12" spans="1:14" s="16" customFormat="1" ht="15">
      <c r="A12" s="3"/>
      <c r="B12" s="25"/>
      <c r="C12" s="26"/>
      <c r="D12" s="27"/>
      <c r="E12" s="26"/>
      <c r="F12" s="26"/>
      <c r="G12" s="26"/>
      <c r="H12" s="26"/>
      <c r="I12" s="26"/>
      <c r="J12" s="26"/>
      <c r="K12" s="26"/>
      <c r="L12" s="26"/>
      <c r="M12" s="26"/>
      <c r="N12" s="6"/>
    </row>
    <row r="13" spans="1:14" s="16" customFormat="1" ht="15">
      <c r="A13" s="24"/>
      <c r="B13" s="25"/>
      <c r="C13" s="28"/>
      <c r="D13" s="29"/>
      <c r="E13" s="28"/>
      <c r="F13" s="28"/>
      <c r="G13" s="28"/>
      <c r="H13" s="28"/>
      <c r="I13" s="28"/>
      <c r="J13" s="28"/>
      <c r="K13" s="28"/>
      <c r="L13" s="28"/>
      <c r="M13" s="28"/>
      <c r="N13" s="6"/>
    </row>
    <row r="14" spans="1:14" s="16" customFormat="1" ht="15">
      <c r="A14" s="30" t="s">
        <v>26</v>
      </c>
      <c r="B14" s="25"/>
      <c r="C14" s="26">
        <f>SUM(C6:C13)</f>
        <v>4431712.578729121</v>
      </c>
      <c r="D14" s="27"/>
      <c r="E14" s="26">
        <f>SUM(E6:E13)</f>
        <v>-2840199.316410788</v>
      </c>
      <c r="F14" s="26">
        <f aca="true" t="shared" si="1" ref="F14:L14">SUM(F6:F13)</f>
        <v>-860715.8261265232</v>
      </c>
      <c r="G14" s="26">
        <f t="shared" si="1"/>
        <v>5468889.650412872</v>
      </c>
      <c r="H14" s="26">
        <f t="shared" si="1"/>
        <v>1520357.969829596</v>
      </c>
      <c r="I14" s="26">
        <f t="shared" si="1"/>
        <v>1101429.0906471133</v>
      </c>
      <c r="J14" s="26">
        <f t="shared" si="1"/>
        <v>-28418.555255676794</v>
      </c>
      <c r="K14" s="26">
        <f t="shared" si="1"/>
        <v>-132.98591862343804</v>
      </c>
      <c r="L14" s="26">
        <f t="shared" si="1"/>
        <v>70502.55155115381</v>
      </c>
      <c r="M14" s="26">
        <f t="shared" si="0"/>
        <v>4431712.578729125</v>
      </c>
      <c r="N14" s="6"/>
    </row>
    <row r="15" spans="1:14" ht="15">
      <c r="A15" s="21"/>
      <c r="B15" s="11"/>
      <c r="D15" s="31"/>
      <c r="E15" s="26"/>
      <c r="F15" s="26"/>
      <c r="G15" s="26"/>
      <c r="H15" s="26"/>
      <c r="I15" s="26"/>
      <c r="J15" s="26"/>
      <c r="K15" s="26"/>
      <c r="L15" s="26"/>
      <c r="M15" s="26"/>
      <c r="N15" s="6"/>
    </row>
    <row r="16" spans="1:14" ht="15">
      <c r="A16" s="17" t="str">
        <f>+'Dec 31 2009 balances'!A16</f>
        <v>Other Regulatory Assets-IFRS</v>
      </c>
      <c r="B16" s="11"/>
      <c r="C16" s="26">
        <f>'Dec 31 2009 balances'!S16</f>
        <v>514281.5992841369</v>
      </c>
      <c r="D16" s="27" t="s">
        <v>11</v>
      </c>
      <c r="E16" s="26">
        <f>IF(ISERROR($C16*'Dec 31 2009 balances'!$K47),"",$C16*'Dec 31 2009 balances'!$K47)</f>
        <v>284851.88779642544</v>
      </c>
      <c r="F16" s="26">
        <f>IF(ISERROR($C16*'Dec 31 2009 balances'!$K48),"",$C16*'Dec 31 2009 balances'!$K48)</f>
        <v>64110.15232827587</v>
      </c>
      <c r="G16" s="26">
        <f>IF(ISERROR($C16*'Dec 31 2009 balances'!$K49),"",$C16*'Dec 31 2009 balances'!$K49)</f>
        <v>113194.25930746783</v>
      </c>
      <c r="H16" s="26">
        <f>IF(ISERROR($C16*'Dec 31 2009 balances'!$K50),"",$C16*'Dec 31 2009 balances'!$K50)</f>
        <v>29596.00232393384</v>
      </c>
      <c r="I16" s="26">
        <f>IF(ISERROR($C16*'Dec 31 2009 balances'!$K51),"",$C16*'Dec 31 2009 balances'!$K51)</f>
        <v>18156.047944609218</v>
      </c>
      <c r="J16" s="26">
        <f>IF(ISERROR($C16*'Dec 31 2009 balances'!$K52),"",$C16*'Dec 31 2009 balances'!$K52)</f>
        <v>1911.2094770894655</v>
      </c>
      <c r="K16" s="26">
        <f>IF(ISERROR($C16*'Dec 31 2009 balances'!$K53),"",$C16*'Dec 31 2009 balances'!$K53)</f>
        <v>6.453054924789548</v>
      </c>
      <c r="L16" s="26">
        <f>IF(ISERROR($C16*'Dec 31 2009 balances'!$K54),"",$C16*'Dec 31 2009 balances'!$K54)</f>
        <v>2455.5870514104827</v>
      </c>
      <c r="M16" s="26">
        <f aca="true" t="shared" si="2" ref="M16:M22">SUM(E16:L16)</f>
        <v>514281.5992841369</v>
      </c>
      <c r="N16" s="6"/>
    </row>
    <row r="17" spans="1:14" ht="15">
      <c r="A17" s="17" t="str">
        <f>+'Dec 31 2009 balances'!A17</f>
        <v>Retail Cost Variance Account - Retail</v>
      </c>
      <c r="B17" s="11"/>
      <c r="C17" s="26">
        <f>'Dec 31 2009 balances'!S17</f>
        <v>-621053.4693676734</v>
      </c>
      <c r="D17" s="31" t="s">
        <v>24</v>
      </c>
      <c r="E17" s="26">
        <f>IF(ISERROR($C17*'Dec 31 2009 balances'!J$47),"",$C17*'Dec 31 2009 balances'!J$47)</f>
        <v>-565660.6321989826</v>
      </c>
      <c r="F17" s="26">
        <f>IF(ISERROR($C17*'Dec 31 2009 balances'!J$48),"",$C17*'Dec 31 2009 balances'!J$48)</f>
        <v>-48266.61641452009</v>
      </c>
      <c r="G17" s="26">
        <f>IF(ISERROR($C17*'Dec 31 2009 balances'!J$49),"",$C17*'Dec 31 2009 balances'!J$49)</f>
        <v>-6690.597274169577</v>
      </c>
      <c r="H17" s="26">
        <f>IF(ISERROR($C17*'Dec 31 2009 balances'!J$50),"",$C17*'Dec 31 2009 balances'!J$50)</f>
        <v>-134.3902995285302</v>
      </c>
      <c r="I17" s="26">
        <f>IF(ISERROR($C17*'Dec 31 2009 balances'!J$51),"",$C17*'Dec 31 2009 balances'!J$51)</f>
        <v>-24.590463712049036</v>
      </c>
      <c r="J17" s="26">
        <f>IF(ISERROR($C17*'Dec 31 2009 balances'!J$52),"",$C17*'Dec 31 2009 balances'!J$52)</f>
        <v>-258.1998689765149</v>
      </c>
      <c r="K17" s="26">
        <f>IF(ISERROR($C17*'Dec 31 2009 balances'!J$53),"",$C17*'Dec 31 2009 balances'!J$53)</f>
        <v>-2.04920530933742</v>
      </c>
      <c r="L17" s="26">
        <f>IF(ISERROR($C17*'Dec 31 2009 balances'!J$54),"",$C17*'Dec 31 2009 balances'!J$54)</f>
        <v>-16.39364247469936</v>
      </c>
      <c r="M17" s="26">
        <f t="shared" si="2"/>
        <v>-621053.4693676733</v>
      </c>
      <c r="N17" s="6"/>
    </row>
    <row r="18" spans="1:14" ht="15">
      <c r="A18" s="17" t="str">
        <f>+'Dec 31 2009 balances'!A18</f>
        <v>Retail Cost Variance Account - STR</v>
      </c>
      <c r="B18" s="11"/>
      <c r="C18" s="26">
        <f>'Dec 31 2009 balances'!S18</f>
        <v>796098.0290585947</v>
      </c>
      <c r="D18" s="31" t="s">
        <v>24</v>
      </c>
      <c r="E18" s="26">
        <f>IF(ISERROR($C18*'Dec 31 2009 balances'!J$47),"",$C18*'Dec 31 2009 balances'!J$47)</f>
        <v>725092.6637092038</v>
      </c>
      <c r="F18" s="26">
        <f>IF(ISERROR($C18*'Dec 31 2009 balances'!J$48),"",$C18*'Dec 31 2009 balances'!J$48)</f>
        <v>61870.61193949869</v>
      </c>
      <c r="G18" s="26">
        <f>IF(ISERROR($C18*'Dec 31 2009 balances'!J$49),"",$C18*'Dec 31 2009 balances'!J$49)</f>
        <v>8576.349003595873</v>
      </c>
      <c r="H18" s="26">
        <f>IF(ISERROR($C18*'Dec 31 2009 balances'!J$50),"",$C18*'Dec 31 2009 balances'!J$50)</f>
        <v>172.26834380007077</v>
      </c>
      <c r="I18" s="26">
        <f>IF(ISERROR($C18*'Dec 31 2009 balances'!J$51),"",$C18*'Dec 31 2009 balances'!J$51)</f>
        <v>31.521311224186373</v>
      </c>
      <c r="J18" s="26">
        <f>IF(ISERROR($C18*'Dec 31 2009 balances'!J$52),"",$C18*'Dec 31 2009 balances'!J$52)</f>
        <v>330.97376785395693</v>
      </c>
      <c r="K18" s="26">
        <f>IF(ISERROR($C18*'Dec 31 2009 balances'!J$53),"",$C18*'Dec 31 2009 balances'!J$53)</f>
        <v>2.6267759353488644</v>
      </c>
      <c r="L18" s="26">
        <f>IF(ISERROR($C18*'Dec 31 2009 balances'!J$54),"",$C18*'Dec 31 2009 balances'!J$54)</f>
        <v>21.014207482790916</v>
      </c>
      <c r="M18" s="26">
        <f t="shared" si="2"/>
        <v>796098.0290585947</v>
      </c>
      <c r="N18" s="6"/>
    </row>
    <row r="19" spans="1:14" ht="15">
      <c r="A19" s="17" t="str">
        <f>+'Dec 31 2009 balances'!A19</f>
        <v>Low Voltage ("LV") Charges</v>
      </c>
      <c r="B19" s="11"/>
      <c r="C19" s="26">
        <f>'Dec 31 2009 balances'!S19</f>
        <v>-457710.6421267447</v>
      </c>
      <c r="D19" s="27" t="s">
        <v>23</v>
      </c>
      <c r="E19" s="26">
        <f>IF(ISERROR($C19*'Dec 31 2009 balances'!H$47),"",$C19*'Dec 31 2009 balances'!H$47)</f>
        <v>-135237.83088333346</v>
      </c>
      <c r="F19" s="26">
        <f>IF(ISERROR($C19*'Dec 31 2009 balances'!H$48),"",$C19*'Dec 31 2009 balances'!H$48)</f>
        <v>-45912.755141456306</v>
      </c>
      <c r="G19" s="26">
        <f>IF(ISERROR($C19*'Dec 31 2009 balances'!H$49),"",$C19*'Dec 31 2009 balances'!H$49)</f>
        <v>-183119.44334400122</v>
      </c>
      <c r="H19" s="26">
        <f>IF(ISERROR($C19*'Dec 31 2009 balances'!H$50),"",$C19*'Dec 31 2009 balances'!H$50)</f>
        <v>-50907.427817234</v>
      </c>
      <c r="I19" s="26">
        <f>IF(ISERROR($C19*'Dec 31 2009 balances'!H$51),"",$C19*'Dec 31 2009 balances'!H$51)</f>
        <v>-39136.48840664884</v>
      </c>
      <c r="J19" s="26">
        <f>IF(ISERROR($C19*'Dec 31 2009 balances'!H$52),"",$C19*'Dec 31 2009 balances'!H$52)</f>
        <v>-1031.1747262482484</v>
      </c>
      <c r="K19" s="26">
        <f>IF(ISERROR($C19*'Dec 31 2009 balances'!H$53),"",$C19*'Dec 31 2009 balances'!H$53)</f>
        <v>-4.825428914230346</v>
      </c>
      <c r="L19" s="26">
        <f>IF(ISERROR($C19*'Dec 31 2009 balances'!H$54),"",$C19*'Dec 31 2009 balances'!H$54)</f>
        <v>-2360.6963789083534</v>
      </c>
      <c r="M19" s="26">
        <f t="shared" si="2"/>
        <v>-457710.64212674473</v>
      </c>
      <c r="N19" s="6"/>
    </row>
    <row r="20" spans="1:14" ht="14.25">
      <c r="A20" s="17" t="str">
        <f>+'Dec 31 2009 balances'!A20</f>
        <v>PILs and Tax Variance</v>
      </c>
      <c r="B20" s="32"/>
      <c r="C20" s="26">
        <f>+'Dec 31 2009 balances'!S20</f>
        <v>-210262.34798581948</v>
      </c>
      <c r="D20" s="27" t="s">
        <v>11</v>
      </c>
      <c r="E20" s="26">
        <f>IF(ISERROR($C20*'Dec 31 2009 balances'!$K47),"",$C20*'Dec 31 2009 balances'!$K47)</f>
        <v>-116460.76165205904</v>
      </c>
      <c r="F20" s="26">
        <f>IF(ISERROR($C20*'Dec 31 2009 balances'!$K48),"",$C20*'Dec 31 2009 balances'!$K48)</f>
        <v>-26211.22586737594</v>
      </c>
      <c r="G20" s="26">
        <f>IF(ISERROR($C20*'Dec 31 2009 balances'!$K49),"",$C20*'Dec 31 2009 balances'!$K49)</f>
        <v>-46279.10229266104</v>
      </c>
      <c r="H20" s="26">
        <f>IF(ISERROR($C20*'Dec 31 2009 balances'!$K50),"",$C20*'Dec 31 2009 balances'!$K50)</f>
        <v>-12100.228645719011</v>
      </c>
      <c r="I20" s="26">
        <f>IF(ISERROR($C20*'Dec 31 2009 balances'!$K51),"",$C20*'Dec 31 2009 balances'!$K51)</f>
        <v>-7423.0407548909525</v>
      </c>
      <c r="J20" s="26">
        <f>IF(ISERROR($C20*'Dec 31 2009 balances'!$K52),"",$C20*'Dec 31 2009 balances'!$K52)</f>
        <v>-781.3917369490777</v>
      </c>
      <c r="K20" s="26">
        <f>IF(ISERROR($C20*'Dec 31 2009 balances'!$K53),"",$C20*'Dec 31 2009 balances'!$K53)</f>
        <v>-2.638310377148191</v>
      </c>
      <c r="L20" s="26">
        <f>IF(ISERROR($C20*'Dec 31 2009 balances'!$K54),"",$C20*'Dec 31 2009 balances'!$K54)</f>
        <v>-1003.9587257872735</v>
      </c>
      <c r="M20" s="26">
        <f t="shared" si="2"/>
        <v>-210262.34798581942</v>
      </c>
      <c r="N20" s="6"/>
    </row>
    <row r="21" spans="1:14" ht="15">
      <c r="A21" s="17" t="str">
        <f>+'Dec 31 2009 balances'!A21</f>
        <v>Recovery of Regulatory Asset balances</v>
      </c>
      <c r="B21" s="11"/>
      <c r="C21" s="26">
        <f>'Dec 31 2009 balances'!S21</f>
        <v>705718.3550000001</v>
      </c>
      <c r="D21" s="27" t="s">
        <v>23</v>
      </c>
      <c r="E21" s="26">
        <f>IF(ISERROR($C21*'Dec 31 2009 balances'!H$47),"",$C21*'Dec 31 2009 balances'!H$47)</f>
        <v>208515.62266783838</v>
      </c>
      <c r="F21" s="26">
        <f>IF(ISERROR($C21*'Dec 31 2009 balances'!H$48),"",$C21*'Dec 31 2009 balances'!H$48)</f>
        <v>70790.30079220672</v>
      </c>
      <c r="G21" s="26">
        <f>IF(ISERROR($C21*'Dec 31 2009 balances'!H$49),"",$C21*'Dec 31 2009 balances'!H$49)</f>
        <v>282341.59407956037</v>
      </c>
      <c r="H21" s="26">
        <f>IF(ISERROR($C21*'Dec 31 2009 balances'!H$50),"",$C21*'Dec 31 2009 balances'!H$50)</f>
        <v>78491.30631861356</v>
      </c>
      <c r="I21" s="26">
        <f>IF(ISERROR($C21*'Dec 31 2009 balances'!H$51),"",$C21*'Dec 31 2009 balances'!H$51)</f>
        <v>60342.35535901899</v>
      </c>
      <c r="J21" s="26">
        <f>IF(ISERROR($C21*'Dec 31 2009 balances'!H$52),"",$C21*'Dec 31 2009 balances'!H$52)</f>
        <v>1589.910446792663</v>
      </c>
      <c r="K21" s="26">
        <f>IF(ISERROR($C21*'Dec 31 2009 balances'!H$53),"",$C21*'Dec 31 2009 balances'!H$53)</f>
        <v>7.440058067465883</v>
      </c>
      <c r="L21" s="26">
        <f>IF(ISERROR($C21*'Dec 31 2009 balances'!H$54),"",$C21*'Dec 31 2009 balances'!H$54)</f>
        <v>3639.825277901953</v>
      </c>
      <c r="M21" s="26">
        <f t="shared" si="2"/>
        <v>705718.3550000001</v>
      </c>
      <c r="N21" s="6"/>
    </row>
    <row r="22" spans="1:14" ht="15">
      <c r="A22" s="17" t="str">
        <f>+'Dec 31 2009 balances'!A22</f>
        <v>Disposition of Account Balances Approved in 2008</v>
      </c>
      <c r="B22" s="11"/>
      <c r="C22" s="26">
        <f>'Dec 31 2009 balances'!S22</f>
        <v>-142548.5611648415</v>
      </c>
      <c r="D22" s="27" t="s">
        <v>23</v>
      </c>
      <c r="E22" s="26">
        <f>IF(ISERROR($C22*'Dec 31 2009 balances'!H$47),"",$C22*'Dec 31 2009 balances'!H$47)</f>
        <v>-42118.221498846186</v>
      </c>
      <c r="F22" s="26">
        <f>IF(ISERROR($C22*'Dec 31 2009 balances'!H$48),"",$C22*'Dec 31 2009 balances'!H$48)</f>
        <v>-14298.984078932459</v>
      </c>
      <c r="G22" s="26">
        <f>IF(ISERROR($C22*'Dec 31 2009 balances'!H$49),"",$C22*'Dec 31 2009 balances'!H$49)</f>
        <v>-57030.38288274229</v>
      </c>
      <c r="H22" s="26">
        <f>IF(ISERROR($C22*'Dec 31 2009 balances'!H$50),"",$C22*'Dec 31 2009 balances'!H$50)</f>
        <v>-15854.515757447167</v>
      </c>
      <c r="I22" s="26">
        <f>IF(ISERROR($C22*'Dec 31 2009 balances'!H$51),"",$C22*'Dec 31 2009 balances'!H$51)</f>
        <v>-12188.596021036916</v>
      </c>
      <c r="J22" s="26">
        <f>IF(ISERROR($C22*'Dec 31 2009 balances'!H$52),"",$C22*'Dec 31 2009 balances'!H$52)</f>
        <v>-321.1471615631201</v>
      </c>
      <c r="K22" s="26">
        <f>IF(ISERROR($C22*'Dec 31 2009 balances'!H$53),"",$C22*'Dec 31 2009 balances'!H$53)</f>
        <v>-1.5028227124688185</v>
      </c>
      <c r="L22" s="26">
        <f>IF(ISERROR($C22*'Dec 31 2009 balances'!H$54),"",$C22*'Dec 31 2009 balances'!H$54)</f>
        <v>-735.2109415608762</v>
      </c>
      <c r="M22" s="26">
        <f t="shared" si="2"/>
        <v>-142548.5611648415</v>
      </c>
      <c r="N22" s="6"/>
    </row>
    <row r="23" spans="1:14" ht="14.25">
      <c r="A23" s="17"/>
      <c r="B23" s="32"/>
      <c r="C23" s="28"/>
      <c r="D23" s="27"/>
      <c r="E23" s="28"/>
      <c r="F23" s="28"/>
      <c r="G23" s="28"/>
      <c r="H23" s="28"/>
      <c r="I23" s="28"/>
      <c r="J23" s="28"/>
      <c r="K23" s="28"/>
      <c r="L23" s="28"/>
      <c r="M23" s="28"/>
      <c r="N23" s="6"/>
    </row>
    <row r="24" spans="1:13" s="6" customFormat="1" ht="15">
      <c r="A24" s="30" t="s">
        <v>27</v>
      </c>
      <c r="B24" s="32"/>
      <c r="C24" s="28">
        <f>SUM(C16:C23)</f>
        <v>584522.9626976526</v>
      </c>
      <c r="D24" s="27"/>
      <c r="E24" s="62">
        <f aca="true" t="shared" si="3" ref="E24:L24">SUM(E16:E23)</f>
        <v>358982.72794024635</v>
      </c>
      <c r="F24" s="62">
        <f t="shared" si="3"/>
        <v>62081.48355769649</v>
      </c>
      <c r="G24" s="62">
        <f t="shared" si="3"/>
        <v>110992.67659704993</v>
      </c>
      <c r="H24" s="62">
        <f t="shared" si="3"/>
        <v>29263.01446641876</v>
      </c>
      <c r="I24" s="62">
        <f t="shared" si="3"/>
        <v>19757.208968563642</v>
      </c>
      <c r="J24" s="62">
        <f t="shared" si="3"/>
        <v>1440.1801979991244</v>
      </c>
      <c r="K24" s="62">
        <f t="shared" si="3"/>
        <v>5.504121614419519</v>
      </c>
      <c r="L24" s="62">
        <f t="shared" si="3"/>
        <v>2000.1668480640242</v>
      </c>
      <c r="M24" s="62">
        <f>SUM(E24:L24)</f>
        <v>584522.9626976528</v>
      </c>
    </row>
    <row r="25" spans="1:14" s="6" customFormat="1" ht="15">
      <c r="A25" s="33" t="s">
        <v>32</v>
      </c>
      <c r="B25" s="25"/>
      <c r="C25" s="28">
        <f>C14+C24</f>
        <v>5016235.541426774</v>
      </c>
      <c r="D25" s="34"/>
      <c r="E25" s="26">
        <f aca="true" t="shared" si="4" ref="E25:L25">E14+E24</f>
        <v>-2481216.5884705414</v>
      </c>
      <c r="F25" s="26">
        <f t="shared" si="4"/>
        <v>-798634.3425688267</v>
      </c>
      <c r="G25" s="26">
        <f t="shared" si="4"/>
        <v>5579882.327009922</v>
      </c>
      <c r="H25" s="26">
        <f t="shared" si="4"/>
        <v>1549620.9842960148</v>
      </c>
      <c r="I25" s="26">
        <f t="shared" si="4"/>
        <v>1121186.299615677</v>
      </c>
      <c r="J25" s="26">
        <f t="shared" si="4"/>
        <v>-26978.37505767767</v>
      </c>
      <c r="K25" s="26">
        <f t="shared" si="4"/>
        <v>-127.48179700901852</v>
      </c>
      <c r="L25" s="26">
        <f t="shared" si="4"/>
        <v>72502.71839921783</v>
      </c>
      <c r="M25" s="26">
        <f>SUM(E25:L25)</f>
        <v>5016235.541426777</v>
      </c>
      <c r="N25" s="7"/>
    </row>
    <row r="26" spans="1:14" s="6" customFormat="1" ht="14.25">
      <c r="A26" s="7"/>
      <c r="B26" s="25"/>
      <c r="C26" s="35"/>
      <c r="D26" s="34"/>
      <c r="E26" s="35"/>
      <c r="F26" s="35"/>
      <c r="G26" s="35"/>
      <c r="H26" s="35"/>
      <c r="I26" s="35"/>
      <c r="J26" s="35"/>
      <c r="K26" s="35"/>
      <c r="L26" s="35"/>
      <c r="M26" s="35"/>
      <c r="N26" s="7"/>
    </row>
    <row r="27" spans="1:14" s="6" customFormat="1" ht="15.75" thickBot="1">
      <c r="A27" s="6" t="s">
        <v>81</v>
      </c>
      <c r="B27" s="16"/>
      <c r="C27" s="83">
        <f>SUM(C6:C10)+C24</f>
        <v>-12029707.044389177</v>
      </c>
      <c r="D27" s="37"/>
      <c r="E27" s="83">
        <f aca="true" t="shared" si="5" ref="E27:L27">SUM(E6:E10)+E24</f>
        <v>-3368090.5524522425</v>
      </c>
      <c r="F27" s="83">
        <f t="shared" si="5"/>
        <v>-1203246.4339282475</v>
      </c>
      <c r="G27" s="83">
        <f t="shared" si="5"/>
        <v>-4935669.044830216</v>
      </c>
      <c r="H27" s="83">
        <f t="shared" si="5"/>
        <v>-1373715.0779195998</v>
      </c>
      <c r="I27" s="83">
        <f t="shared" si="5"/>
        <v>-1058820.87288965</v>
      </c>
      <c r="J27" s="83">
        <f t="shared" si="5"/>
        <v>-26978.37505767767</v>
      </c>
      <c r="K27" s="83">
        <f t="shared" si="5"/>
        <v>-127.48179700901852</v>
      </c>
      <c r="L27" s="83">
        <f t="shared" si="5"/>
        <v>-63059.205514532354</v>
      </c>
      <c r="M27" s="83">
        <f>SUM((E27:L27))</f>
        <v>-12029707.044389175</v>
      </c>
      <c r="N27" s="36"/>
    </row>
    <row r="28" spans="1:14" s="6" customFormat="1" ht="16.5" thickBot="1" thickTop="1">
      <c r="A28" s="6" t="s">
        <v>82</v>
      </c>
      <c r="B28" s="16"/>
      <c r="C28" s="83">
        <f>+C11</f>
        <v>17045942.58581595</v>
      </c>
      <c r="D28" s="37"/>
      <c r="E28" s="83">
        <f aca="true" t="shared" si="6" ref="E28:L28">+E11</f>
        <v>886873.9639817012</v>
      </c>
      <c r="F28" s="83">
        <f t="shared" si="6"/>
        <v>404612.0913594208</v>
      </c>
      <c r="G28" s="83">
        <f t="shared" si="6"/>
        <v>10515551.371840138</v>
      </c>
      <c r="H28" s="83">
        <f t="shared" si="6"/>
        <v>2923336.0622156146</v>
      </c>
      <c r="I28" s="83">
        <f t="shared" si="6"/>
        <v>2180007.172505327</v>
      </c>
      <c r="J28" s="83">
        <f t="shared" si="6"/>
        <v>0</v>
      </c>
      <c r="K28" s="83">
        <f t="shared" si="6"/>
        <v>0</v>
      </c>
      <c r="L28" s="83">
        <f t="shared" si="6"/>
        <v>135561.9239137502</v>
      </c>
      <c r="M28" s="83">
        <f>SUM((E28:L28))</f>
        <v>17045942.585815955</v>
      </c>
      <c r="N28" s="36"/>
    </row>
    <row r="29" ht="15" thickTop="1"/>
    <row r="30" spans="1:14" ht="14.25">
      <c r="A30" s="3"/>
      <c r="B30" s="3"/>
      <c r="C30" s="3"/>
      <c r="D30" s="3"/>
      <c r="E30" s="105"/>
      <c r="F30" s="3"/>
      <c r="G30" s="3"/>
      <c r="H30" s="3"/>
      <c r="I30" s="3"/>
      <c r="J30" s="3"/>
      <c r="K30" s="3"/>
      <c r="L30" s="3"/>
      <c r="M30" s="3"/>
      <c r="N30" s="3"/>
    </row>
    <row r="31" spans="1:13" ht="36" customHeight="1">
      <c r="A31" s="103"/>
      <c r="B31" s="63"/>
      <c r="C31" s="63"/>
      <c r="D31" s="63"/>
      <c r="E31" s="104"/>
      <c r="F31" s="93"/>
      <c r="G31" s="94"/>
      <c r="H31" s="93"/>
      <c r="I31" s="93"/>
      <c r="J31" s="93"/>
      <c r="K31" s="93"/>
      <c r="L31" s="93"/>
      <c r="M31" s="22"/>
    </row>
    <row r="32" spans="1:13" ht="50.25" customHeight="1">
      <c r="A32" s="135" t="s">
        <v>88</v>
      </c>
      <c r="B32" s="135"/>
      <c r="C32" s="135"/>
      <c r="D32" s="135"/>
      <c r="E32" s="109" t="str">
        <f>+E5</f>
        <v>Residential</v>
      </c>
      <c r="F32" s="109" t="str">
        <f aca="true" t="shared" si="7" ref="F32:L32">+F5</f>
        <v>GS &lt; 50 KW</v>
      </c>
      <c r="G32" s="109" t="str">
        <f t="shared" si="7"/>
        <v>GS &gt; 50 &lt; 1500</v>
      </c>
      <c r="H32" s="109" t="str">
        <f t="shared" si="7"/>
        <v>GS &gt; 1500</v>
      </c>
      <c r="I32" s="109" t="str">
        <f t="shared" si="7"/>
        <v>Large Users</v>
      </c>
      <c r="J32" s="107" t="str">
        <f t="shared" si="7"/>
        <v>UnmeteredScattered Load</v>
      </c>
      <c r="K32" s="109" t="str">
        <f t="shared" si="7"/>
        <v>Sentinel Lighting</v>
      </c>
      <c r="L32" s="109" t="str">
        <f t="shared" si="7"/>
        <v>Street Lighting</v>
      </c>
      <c r="M32" s="22"/>
    </row>
    <row r="33" spans="1:13" ht="19.5" customHeight="1">
      <c r="A33" s="139" t="s">
        <v>89</v>
      </c>
      <c r="B33" s="140"/>
      <c r="C33" s="140"/>
      <c r="D33" s="140"/>
      <c r="E33" s="111" t="s">
        <v>23</v>
      </c>
      <c r="F33" s="111" t="s">
        <v>23</v>
      </c>
      <c r="G33" s="111" t="s">
        <v>9</v>
      </c>
      <c r="H33" s="111" t="s">
        <v>9</v>
      </c>
      <c r="I33" s="111" t="s">
        <v>9</v>
      </c>
      <c r="J33" s="111" t="s">
        <v>23</v>
      </c>
      <c r="K33" s="111" t="s">
        <v>9</v>
      </c>
      <c r="L33" s="111" t="s">
        <v>9</v>
      </c>
      <c r="M33" s="6"/>
    </row>
    <row r="34" spans="1:13" ht="19.5" customHeight="1">
      <c r="A34" s="141" t="s">
        <v>86</v>
      </c>
      <c r="B34" s="142"/>
      <c r="C34" s="142"/>
      <c r="D34" s="142"/>
      <c r="E34" s="110">
        <f>+(E14-E11)/'Dec 31 2009 balances'!H32</f>
        <v>-0.001671517328097512</v>
      </c>
      <c r="F34" s="110">
        <f>+(F14-F11)/'Dec 31 2009 balances'!H33</f>
        <v>-0.0016715173280975116</v>
      </c>
      <c r="G34" s="110">
        <f>+(G14-G11)/'Dec 31 2009 balances'!G34</f>
        <v>-0.6671583943218505</v>
      </c>
      <c r="H34" s="110">
        <f>+(H14-H11)/'Dec 31 2009 balances'!G35</f>
        <v>-0.7850912958924935</v>
      </c>
      <c r="I34" s="110">
        <f>+(I14-I11)/'Dec 31 2009 balances'!G36</f>
        <v>-0.9010671272272416</v>
      </c>
      <c r="J34" s="110">
        <f>+(J14-J11)/'Dec 31 2009 balances'!H37</f>
        <v>-0.001671517328097512</v>
      </c>
      <c r="K34" s="110">
        <f>+(K14-K11)/'Dec 31 2009 balances'!G38</f>
        <v>-0.6017462381151042</v>
      </c>
      <c r="L34" s="110">
        <f>+(L14-L11)/'Dec 31 2009 balances'!G39</f>
        <v>-0.5507555565890522</v>
      </c>
      <c r="M34" s="22"/>
    </row>
    <row r="35" spans="1:13" ht="19.5" customHeight="1">
      <c r="A35" s="141" t="s">
        <v>85</v>
      </c>
      <c r="B35" s="142"/>
      <c r="C35" s="142"/>
      <c r="D35" s="142"/>
      <c r="E35" s="110">
        <f>+E24/'Dec 31 2009 balances'!H32</f>
        <v>0.0001609965259863759</v>
      </c>
      <c r="F35" s="110">
        <f>+F24/'Dec 31 2009 balances'!H33</f>
        <v>8.201057930253339E-05</v>
      </c>
      <c r="G35" s="110">
        <f>+G24/'Dec 31 2009 balances'!G34</f>
        <v>0.014673005639662725</v>
      </c>
      <c r="H35" s="110">
        <f>+H24/'Dec 31 2009 balances'!G35</f>
        <v>0.01637526492668877</v>
      </c>
      <c r="I35" s="110">
        <f>+I24/'Dec 31 2009 balances'!G36</f>
        <v>0.0165055936392301</v>
      </c>
      <c r="J35" s="110">
        <f>+J24/'Dec 31 2009 balances'!H37</f>
        <v>8.47082525793626E-05</v>
      </c>
      <c r="K35" s="110">
        <f>+K24/'Dec 31 2009 balances'!G38</f>
        <v>0.02490552766705665</v>
      </c>
      <c r="L35" s="110">
        <f>+L24/'Dec 31 2009 balances'!G39</f>
        <v>0.016932272256438185</v>
      </c>
      <c r="M35" s="22"/>
    </row>
    <row r="36" spans="1:14" s="6" customFormat="1" ht="19.5" customHeight="1">
      <c r="A36" s="138" t="s">
        <v>90</v>
      </c>
      <c r="B36" s="138"/>
      <c r="C36" s="138"/>
      <c r="D36" s="138"/>
      <c r="E36" s="96">
        <f>IF(ISERROR(E27/'Dec 31 2009 balances'!H32),"",E27/'Dec 31 2009 balances'!H32)</f>
        <v>-0.001510520802111136</v>
      </c>
      <c r="F36" s="96">
        <f>IF(ISERROR(F27/'Dec 31 2009 balances'!H33),"",F27/'Dec 31 2009 balances'!H33)</f>
        <v>-0.0015895067487949781</v>
      </c>
      <c r="G36" s="96">
        <f>IF(ISERROR(G27/'Dec 31 2009 balances'!G34),"",G27/'Dec 31 2009 balances'!G34)</f>
        <v>-0.6524853886821879</v>
      </c>
      <c r="H36" s="96">
        <f>IF(ISERROR(H27/'Dec 31 2009 balances'!G35),"",H27/'Dec 31 2009 balances'!G35)</f>
        <v>-0.7687160309658048</v>
      </c>
      <c r="I36" s="96">
        <f>IF(ISERROR(I27/'Dec 31 2009 balances'!G36),"",I27/'Dec 31 2009 balances'!G36)</f>
        <v>-0.8845615335880115</v>
      </c>
      <c r="J36" s="96">
        <f>IF(ISERROR(J27/'Dec 31 2009 balances'!H37),"",J27/'Dec 31 2009 balances'!H37)</f>
        <v>-0.0015868090755181495</v>
      </c>
      <c r="K36" s="96">
        <f>IF(ISERROR(K27/'Dec 31 2009 balances'!G38),"",K27/'Dec 31 2009 balances'!G38)</f>
        <v>-0.5768407104480476</v>
      </c>
      <c r="L36" s="96">
        <f>IF(ISERROR(L27/'Dec 31 2009 balances'!G39),"",L27/'Dec 31 2009 balances'!G39)</f>
        <v>-0.5338232843326141</v>
      </c>
      <c r="M36" s="16"/>
      <c r="N36" s="44"/>
    </row>
    <row r="37" spans="1:14" s="6" customFormat="1" ht="28.5" customHeight="1" thickBot="1">
      <c r="A37" s="108"/>
      <c r="B37" s="100"/>
      <c r="C37" s="100"/>
      <c r="D37" s="101"/>
      <c r="E37" s="102"/>
      <c r="F37" s="102"/>
      <c r="G37" s="102"/>
      <c r="H37" s="102"/>
      <c r="I37" s="102"/>
      <c r="J37" s="102"/>
      <c r="K37" s="102"/>
      <c r="L37" s="102"/>
      <c r="M37" s="16"/>
      <c r="N37" s="44"/>
    </row>
    <row r="38" spans="2:14" s="6" customFormat="1" ht="28.5" customHeight="1">
      <c r="B38" s="64"/>
      <c r="C38" s="64"/>
      <c r="D38" s="65"/>
      <c r="E38" s="95"/>
      <c r="F38" s="95"/>
      <c r="G38" s="95"/>
      <c r="H38" s="95"/>
      <c r="I38" s="95"/>
      <c r="J38" s="95"/>
      <c r="K38" s="95"/>
      <c r="L38" s="95"/>
      <c r="M38" s="16"/>
      <c r="N38" s="44"/>
    </row>
    <row r="39" spans="1:13" ht="49.5">
      <c r="A39" s="135" t="s">
        <v>91</v>
      </c>
      <c r="B39" s="135"/>
      <c r="C39" s="135"/>
      <c r="D39" s="135"/>
      <c r="E39" s="109" t="str">
        <f>+E32</f>
        <v>Residential</v>
      </c>
      <c r="F39" s="109" t="str">
        <f aca="true" t="shared" si="8" ref="F39:L39">+F32</f>
        <v>GS &lt; 50 KW</v>
      </c>
      <c r="G39" s="109" t="str">
        <f t="shared" si="8"/>
        <v>GS &gt; 50 &lt; 1500</v>
      </c>
      <c r="H39" s="109" t="str">
        <f t="shared" si="8"/>
        <v>GS &gt; 1500</v>
      </c>
      <c r="I39" s="109" t="str">
        <f t="shared" si="8"/>
        <v>Large Users</v>
      </c>
      <c r="J39" s="107" t="str">
        <f t="shared" si="8"/>
        <v>UnmeteredScattered Load</v>
      </c>
      <c r="K39" s="109" t="str">
        <f t="shared" si="8"/>
        <v>Sentinel Lighting</v>
      </c>
      <c r="L39" s="109" t="str">
        <f t="shared" si="8"/>
        <v>Street Lighting</v>
      </c>
      <c r="M39" s="6"/>
    </row>
    <row r="40" spans="1:14" s="6" customFormat="1" ht="19.5" customHeight="1">
      <c r="A40" s="136" t="s">
        <v>94</v>
      </c>
      <c r="B40" s="137"/>
      <c r="C40" s="137"/>
      <c r="D40" s="137"/>
      <c r="E40" s="97" t="s">
        <v>23</v>
      </c>
      <c r="F40" s="97" t="s">
        <v>23</v>
      </c>
      <c r="G40" s="97" t="s">
        <v>23</v>
      </c>
      <c r="H40" s="97" t="str">
        <f>+G40</f>
        <v>kWh</v>
      </c>
      <c r="I40" s="97" t="str">
        <f>+H40</f>
        <v>kWh</v>
      </c>
      <c r="J40" s="97" t="str">
        <f>+I40</f>
        <v>kWh</v>
      </c>
      <c r="K40" s="97" t="str">
        <f>+J40</f>
        <v>kWh</v>
      </c>
      <c r="L40" s="97" t="str">
        <f>+K40</f>
        <v>kWh</v>
      </c>
      <c r="M40" s="16"/>
      <c r="N40" s="44"/>
    </row>
    <row r="41" spans="1:14" ht="19.5" customHeight="1">
      <c r="A41" s="138" t="s">
        <v>92</v>
      </c>
      <c r="B41" s="138"/>
      <c r="C41" s="138"/>
      <c r="D41" s="138"/>
      <c r="E41" s="96">
        <f>IF(ISERROR(E28/'Dec 31 2009 balances'!I32),"",E28/'Dec 31 2009 balances'!I32)</f>
        <v>0.003355296270970198</v>
      </c>
      <c r="F41" s="96">
        <f>IF(ISERROR(F28/'Dec 31 2009 balances'!I33),"",F28/'Dec 31 2009 balances'!I33)</f>
        <v>0.003355296270970198</v>
      </c>
      <c r="G41" s="96">
        <f>IF(ISERROR(G28/'Dec 31 2009 balances'!I34),"",G28/'Dec 31 2009 balances'!I34)</f>
        <v>0.0033552962709701975</v>
      </c>
      <c r="H41" s="96">
        <f>IF(ISERROR(H28/'Dec 31 2009 balances'!I35),"",H28/'Dec 31 2009 balances'!I35)</f>
        <v>0.0033552962709701975</v>
      </c>
      <c r="I41" s="96">
        <f>IF(ISERROR(I28/'Dec 31 2009 balances'!I36),"",I28/'Dec 31 2009 balances'!I36)</f>
        <v>0.0033552962709701983</v>
      </c>
      <c r="J41" s="98" t="str">
        <f>IF(ISERROR(J28/'Dec 31 2009 balances'!I37),"-",J28/'Dec 31 2009 balances'!I37)</f>
        <v>-</v>
      </c>
      <c r="K41" s="98" t="str">
        <f>IF(ISERROR(K28/'Dec 31 2009 balances'!I38),"-",K28/'Dec 31 2009 balances'!I38)</f>
        <v>-</v>
      </c>
      <c r="L41" s="99">
        <f>IF(ISERROR(L28/'Dec 31 2009 balances'!I39),"",L28/'Dec 31 2009 balances'!I39)</f>
        <v>0.003355296270970198</v>
      </c>
      <c r="M41" s="3"/>
      <c r="N41" s="3"/>
    </row>
  </sheetData>
  <sheetProtection/>
  <mergeCells count="8">
    <mergeCell ref="A39:D39"/>
    <mergeCell ref="A40:D40"/>
    <mergeCell ref="A41:D41"/>
    <mergeCell ref="A32:D32"/>
    <mergeCell ref="A33:D33"/>
    <mergeCell ref="A34:D34"/>
    <mergeCell ref="A35:D35"/>
    <mergeCell ref="A36:D36"/>
  </mergeCells>
  <printOptions/>
  <pageMargins left="0.5118110236220472" right="0.4724409448818898" top="2.125984251968504" bottom="0.31496062992125984" header="0.984251968503937" footer="0.2362204724409449"/>
  <pageSetup fitToHeight="1" fitToWidth="1" horizontalDpi="600" verticalDpi="600" orientation="landscape" scale="54" r:id="rId2"/>
  <headerFooter alignWithMargins="0">
    <oddHeader>&amp;L&amp;G&amp;RHydro Ottawa Limited
  EB-2010-0133
  Exhibit I1
Tab 1
Schedule 2
Attachment AM
  Filed: 2010-06-14
  Page &amp;P of &amp;N</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Theodore Antonopoulos</dc:creator>
  <cp:keywords/>
  <dc:description/>
  <cp:lastModifiedBy>Janes</cp:lastModifiedBy>
  <cp:lastPrinted>2010-05-31T20:05:19Z</cp:lastPrinted>
  <dcterms:created xsi:type="dcterms:W3CDTF">2005-04-25T20:13:02Z</dcterms:created>
  <dcterms:modified xsi:type="dcterms:W3CDTF">2010-06-14T16:13:20Z</dcterms:modified>
  <cp:category/>
  <cp:version/>
  <cp:contentType/>
  <cp:contentStatus/>
</cp:coreProperties>
</file>