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120" activeTab="0"/>
  </bookViews>
  <sheets>
    <sheet name="Cover Sheet" sheetId="1" r:id="rId1"/>
    <sheet name="Tariff Sheet" sheetId="2" r:id="rId2"/>
    <sheet name="Forecast Data" sheetId="3" r:id="rId3"/>
    <sheet name="2007 GLP DRO" sheetId="4" r:id="rId4"/>
    <sheet name="Customer Forecast" sheetId="5" r:id="rId5"/>
    <sheet name="2010 Dx Revenue Forecast" sheetId="6" r:id="rId6"/>
    <sheet name="2011 Dx Revenue Forecast" sheetId="7" r:id="rId7"/>
    <sheet name="Cost Allocation Sheet O1" sheetId="8" r:id="rId8"/>
    <sheet name="2010 Cost Allocation Design" sheetId="9" r:id="rId9"/>
    <sheet name="2010 Allocated Revenues" sheetId="10" r:id="rId10"/>
    <sheet name="2011 Cost Allocation Design" sheetId="11" r:id="rId11"/>
    <sheet name="2011 Allocated Revenues" sheetId="12" r:id="rId12"/>
    <sheet name="2010 RRRP Determination" sheetId="13" r:id="rId13"/>
    <sheet name="2011 RRRP Determination" sheetId="14" r:id="rId14"/>
    <sheet name="2010 Non-RRRP Rate Design" sheetId="15" r:id="rId15"/>
    <sheet name="2011 Non-RRRP Rate Design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<sst xmlns="http://schemas.openxmlformats.org/spreadsheetml/2006/main" count="555" uniqueCount="213">
  <si>
    <t>2006 Cost Allocation Information Filing</t>
  </si>
  <si>
    <t>Algoma Power Inc.</t>
  </si>
  <si>
    <t xml:space="preserve">Sheet O1 Revenue to Cost Summary Worksheet  - First Run  </t>
  </si>
  <si>
    <t>Rate Base Assets</t>
  </si>
  <si>
    <t>Total</t>
  </si>
  <si>
    <t>R1</t>
  </si>
  <si>
    <t>R2</t>
  </si>
  <si>
    <t>GS&gt;50-Regular</t>
  </si>
  <si>
    <t>GS&gt; 50-TOU</t>
  </si>
  <si>
    <t>GS &gt;50-Intermediate</t>
  </si>
  <si>
    <t>Large Use &gt;5MW</t>
  </si>
  <si>
    <t>Street Light</t>
  </si>
  <si>
    <t>Sentinel</t>
  </si>
  <si>
    <t>Unmetered Scattered Load</t>
  </si>
  <si>
    <t>Embedded Distributor</t>
  </si>
  <si>
    <t>Back-up/Standby Power</t>
  </si>
  <si>
    <t>Seasonal</t>
  </si>
  <si>
    <t>crev</t>
  </si>
  <si>
    <t>Distribution Revenue  (sale)</t>
  </si>
  <si>
    <t>mi</t>
  </si>
  <si>
    <t>Miscellaneous Revenue (mi)</t>
  </si>
  <si>
    <t>Total Revenue</t>
  </si>
  <si>
    <t>Expenses</t>
  </si>
  <si>
    <t>di</t>
  </si>
  <si>
    <t>Distribution Costs (di)</t>
  </si>
  <si>
    <t>cu</t>
  </si>
  <si>
    <t>Customer Related Costs (cu)</t>
  </si>
  <si>
    <t>ad</t>
  </si>
  <si>
    <t>General and Administration (ad)</t>
  </si>
  <si>
    <t>dep</t>
  </si>
  <si>
    <t>Depreciation and Amortization (dep)</t>
  </si>
  <si>
    <t>INPUT</t>
  </si>
  <si>
    <t>PILs  (INPUT)</t>
  </si>
  <si>
    <t>INT</t>
  </si>
  <si>
    <t>Interest</t>
  </si>
  <si>
    <t>Total Expenses</t>
  </si>
  <si>
    <t>Direct Allocation</t>
  </si>
  <si>
    <t>NI</t>
  </si>
  <si>
    <t>Allocated Net Income  (NI)</t>
  </si>
  <si>
    <t>Revenue Requirement (includes NI)</t>
  </si>
  <si>
    <t>Revenue Requirement Input equals Output</t>
  </si>
  <si>
    <t>Rate Base Calculation</t>
  </si>
  <si>
    <t>Net Assets</t>
  </si>
  <si>
    <t>dp</t>
  </si>
  <si>
    <t xml:space="preserve">Distribution Plant - Gross </t>
  </si>
  <si>
    <t>gp</t>
  </si>
  <si>
    <t>General Plant - Gross</t>
  </si>
  <si>
    <t>accum dep</t>
  </si>
  <si>
    <t>Accumulated Depreciation</t>
  </si>
  <si>
    <t>co</t>
  </si>
  <si>
    <t xml:space="preserve">Capital Contribution </t>
  </si>
  <si>
    <t>Total Net Plant</t>
  </si>
  <si>
    <t>Directly Allocated Net Fixed Assets</t>
  </si>
  <si>
    <t>COP</t>
  </si>
  <si>
    <t>Cost of Power  (COP)</t>
  </si>
  <si>
    <t>OM&amp;A Expenses</t>
  </si>
  <si>
    <t xml:space="preserve">Directly Allocated Expenses </t>
  </si>
  <si>
    <t xml:space="preserve">Subtotal </t>
  </si>
  <si>
    <t>Working Capital</t>
  </si>
  <si>
    <t>Total Rate Base</t>
  </si>
  <si>
    <t>Rate Base Input equals Output</t>
  </si>
  <si>
    <t>Equity Component of Rate Base</t>
  </si>
  <si>
    <t>Net Income on Allocated Assets</t>
  </si>
  <si>
    <t>Net Income on Direct Allocation Assets</t>
  </si>
  <si>
    <t>Net Income</t>
  </si>
  <si>
    <t>RATIOS ANALYSIS</t>
  </si>
  <si>
    <t>REVENUE TO EXPENSES %</t>
  </si>
  <si>
    <t>0.00%</t>
  </si>
  <si>
    <t>EXISTING REVENUE MINUS ALLOCATED COSTS</t>
  </si>
  <si>
    <t>RETURN ON EQUITY COMPONENT OF RATE BASE</t>
  </si>
  <si>
    <t>Residential - R1</t>
  </si>
  <si>
    <t>Residential - R2</t>
  </si>
  <si>
    <t>Street Lighting</t>
  </si>
  <si>
    <t>kW</t>
  </si>
  <si>
    <t>kWh</t>
  </si>
  <si>
    <t>Proposed Revenue to Cost Ratio</t>
  </si>
  <si>
    <t>Proposed Proportion of Revenue</t>
  </si>
  <si>
    <t>Board's Guideline</t>
  </si>
  <si>
    <t>85-115%</t>
  </si>
  <si>
    <t>80-180%</t>
  </si>
  <si>
    <t>70-120%</t>
  </si>
  <si>
    <t>Customer Class</t>
  </si>
  <si>
    <t>Metric</t>
  </si>
  <si>
    <t>Average # of Customers</t>
  </si>
  <si>
    <t>Billing Determinant</t>
  </si>
  <si>
    <t>Revenues</t>
  </si>
  <si>
    <t>Monthly Service Charge</t>
  </si>
  <si>
    <t>Variable Charge</t>
  </si>
  <si>
    <t>Fixed</t>
  </si>
  <si>
    <t>Variable</t>
  </si>
  <si>
    <t>Fixed Allocation</t>
  </si>
  <si>
    <t>Variable Allocation</t>
  </si>
  <si>
    <t>Distribution Rates</t>
  </si>
  <si>
    <t>One Third Increment</t>
  </si>
  <si>
    <t>Beneficary</t>
  </si>
  <si>
    <t>F/V Split</t>
  </si>
  <si>
    <t>Monthly Rates and Charges</t>
  </si>
  <si>
    <t>$</t>
  </si>
  <si>
    <t>Distribution Volumetric Rate</t>
  </si>
  <si>
    <t>$/kWh</t>
  </si>
  <si>
    <t>$/kW</t>
  </si>
  <si>
    <t>Algoma Load and Customer Forecast Information</t>
  </si>
  <si>
    <t>2010 Test Year</t>
  </si>
  <si>
    <t>2011 Test Year</t>
  </si>
  <si>
    <t>Number of Customers</t>
  </si>
  <si>
    <t>Change in Customer Count</t>
  </si>
  <si>
    <t>Kilowatt-hours</t>
  </si>
  <si>
    <t>Weather Normalized Kilowatt-hours</t>
  </si>
  <si>
    <t>Average per Customer - kWh</t>
  </si>
  <si>
    <t>Normalized Average per Customer - kWh</t>
  </si>
  <si>
    <t>Kilowatts</t>
  </si>
  <si>
    <t>Weather Normalized Kilowatts</t>
  </si>
  <si>
    <t>Average per Customer - kW</t>
  </si>
  <si>
    <t>Normalized Average per Customer - kW</t>
  </si>
  <si>
    <t>Totals</t>
  </si>
  <si>
    <t>Weather Normal Kilowatt-hours</t>
  </si>
  <si>
    <t>Weather Normal Kilowatts</t>
  </si>
  <si>
    <t>2010 Algoma Customer Count By Rate Class</t>
  </si>
  <si>
    <t>Actual</t>
  </si>
  <si>
    <t>Forecast</t>
  </si>
  <si>
    <t>Change</t>
  </si>
  <si>
    <t>Rate Class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</si>
  <si>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</si>
  <si>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</si>
  <si>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</si>
  <si>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</si>
  <si>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</si>
  <si>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</si>
  <si>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</si>
  <si>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</si>
  <si>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</si>
  <si>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</si>
  <si>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</si>
  <si>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</si>
  <si>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Street Lights</t>
  </si>
  <si>
    <t>2011 Algoma Customer Count By Rate Class</t>
  </si>
  <si>
    <t>2010 Weather Normalized Forecasted Revenue Recovery Summary</t>
  </si>
  <si>
    <t>Billing Metric</t>
  </si>
  <si>
    <t>No. of Cust.</t>
  </si>
  <si>
    <t>Charge Determinant</t>
  </si>
  <si>
    <t>Rates</t>
  </si>
  <si>
    <t>Revenue</t>
  </si>
  <si>
    <t>Volumetric</t>
  </si>
  <si>
    <t>Residential</t>
  </si>
  <si>
    <t>R1 Energy Rate</t>
  </si>
  <si>
    <t>R2 Demand Rate</t>
  </si>
  <si>
    <t>Total Residential</t>
  </si>
  <si>
    <t>Street Lights (conn.)</t>
  </si>
  <si>
    <t>2011 Weather Normalized Forecasted Revenue Recovery Summary</t>
  </si>
  <si>
    <t>Table C10 - Revenue Recovery Summary</t>
  </si>
  <si>
    <t>EB-2007-0744 Draft Rate Order</t>
  </si>
  <si>
    <t>2007 Revenue Requirement</t>
  </si>
  <si>
    <t>Total Rvenue from Rates</t>
  </si>
  <si>
    <t>RRRP</t>
  </si>
  <si>
    <t>Approved Deferrals</t>
  </si>
  <si>
    <t>Annual Revenue Shortfall</t>
  </si>
  <si>
    <t>Simulated Distribution Rates to Recover Total Revenue Requirement</t>
  </si>
  <si>
    <t>Data From EB-2007-0744 Draft Rate Order</t>
  </si>
  <si>
    <t>No. of Customers</t>
  </si>
  <si>
    <t>Volumetric Distribution Charge</t>
  </si>
  <si>
    <t>Fixed Revenue Amount</t>
  </si>
  <si>
    <t>Variable Revenue Amount</t>
  </si>
  <si>
    <t>Street Lighting based on number of connections</t>
  </si>
  <si>
    <t>2010 Distribution Base Rate Determination</t>
  </si>
  <si>
    <t>2010 Base Distribution Rate Cost Allcation Design</t>
  </si>
  <si>
    <t>Application of Rate Indexing Methodology</t>
  </si>
  <si>
    <t>The Rural and Remote Rate Protection Amount Required for 2010</t>
  </si>
  <si>
    <t>2011 Distribution Base Rate Determination</t>
  </si>
  <si>
    <t>The Rural and Remote Rate Protection Amount Required for 2011</t>
  </si>
  <si>
    <t>Delivery Charges Indexed by Simple Average of Other LDC Increases in Current Year</t>
  </si>
  <si>
    <t>2007 Board Approved Tariff, EB-2007-0744</t>
  </si>
  <si>
    <t>Effective September 2007</t>
  </si>
  <si>
    <t>Simple Average Increase in Delivery Charge for 2010 using the Board Approved Methodology, EB-2007-0744</t>
  </si>
  <si>
    <t>Simple Average Increase in Delivery Charge for 2011using the Board Approved Methodology, EB-2007-0744</t>
  </si>
  <si>
    <t xml:space="preserve">Seasonal </t>
  </si>
  <si>
    <t>2010 Average Monthly Consumption per customer</t>
  </si>
  <si>
    <t>Delivery Charges Based on Designed Rates</t>
  </si>
  <si>
    <t>Percentage Change in the Delivery Component</t>
  </si>
  <si>
    <t>Delivery Charges Based on Current Rates</t>
  </si>
  <si>
    <t>Delivery Charges Based on 2010 Rates</t>
  </si>
  <si>
    <t>Delivery Charges</t>
  </si>
  <si>
    <t>Proposed July 1, 2010</t>
  </si>
  <si>
    <t>Proposed</t>
  </si>
  <si>
    <t>Rural and Remote Rate Protection</t>
  </si>
  <si>
    <t>Proposed January 1, 2011</t>
  </si>
  <si>
    <t>2007 Application</t>
  </si>
  <si>
    <t>Simulated Rates</t>
  </si>
  <si>
    <t>2010 Cost Allcoaction Results</t>
  </si>
  <si>
    <t>Cost Allocation Revenue Requirement</t>
  </si>
  <si>
    <t>Revenue Requirement Allocation Percentage</t>
  </si>
  <si>
    <t>Cost Allocation Misc.</t>
  </si>
  <si>
    <t>Cost Allocation Misc. Percentage</t>
  </si>
  <si>
    <t>2010 Service Revenue Requirement</t>
  </si>
  <si>
    <t>2010 Misc. Revenue</t>
  </si>
  <si>
    <t>2010 Base Revenue Requirement</t>
  </si>
  <si>
    <t>2010 Forecasted Revenue @ 100% R|C</t>
  </si>
  <si>
    <t>Revenue Proportions @ 100% R|C</t>
  </si>
  <si>
    <t>Base Revenue @ Proposed Proportion</t>
  </si>
  <si>
    <t>Over/(Under) Contributing</t>
  </si>
  <si>
    <t>2010 Cost Allocation R|C</t>
  </si>
  <si>
    <t>2011 Cost Allcoaction Results</t>
  </si>
  <si>
    <t>2011 Base Distribution Rate Cost Allcation Design</t>
  </si>
  <si>
    <t>2011 Service Revenue Requirement</t>
  </si>
  <si>
    <t>2011 Misc. Revenue</t>
  </si>
  <si>
    <t>Two Third Increment</t>
  </si>
  <si>
    <t>2011 Base Revenue Requirement</t>
  </si>
  <si>
    <t>2011 Forecasted Revenue @ 100% R|C</t>
  </si>
  <si>
    <t xml:space="preserve">EB-2010-0278   </t>
  </si>
  <si>
    <t>2010 Electricity Distribution Rate Application</t>
  </si>
  <si>
    <t>June 1, 2010</t>
  </si>
  <si>
    <t>Distribution Rate Design Module</t>
  </si>
  <si>
    <t>EB-2009-0278</t>
  </si>
  <si>
    <t>Addendum No. 1 Filed June 7,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</si>
</sst>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_(* #,##0_);_(* \(#,##0\);_(* &quot;-&quot;??_);_(@_)"/>
    <numFmt numFmtId="167" formatCode="0.0%"/>
    <numFmt numFmtId="168" formatCode="_(* #,##0.0000_);_(* \(#,##0.0000\);_(* &quot;-&quot;??_);_(@_)"/>
    <numFmt numFmtId="169" formatCode="_(* #,##0.0_);_(* \(#,##0.0\);_(* &quot;-&quot;?_);_(@_)"/>
    <numFmt numFmtId="170" formatCode="_(* #,##0.00000_);_(* \(#,##0.00000\);_(* &quot;-&quot;??_);_(@_)"/>
    <numFmt numFmtId="171" formatCode="[$-409]mmm\-yy;@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"/>
    <numFmt numFmtId="175" formatCode="0.0"/>
    <numFmt numFmtId="176" formatCode="_(* #,##0.0000_);_(* \(#,##0.0000\);_(* &quot;-&quot;????_);_(@_)"/>
    <numFmt numFmtId="177" formatCode="_(* #,##0.0_);_(* \(#,##0.0\);_(* &quot;-&quot;??_);_(@_)"/>
  </numFmts>
  <fonts count="21">
    <font>
      <sz val="10"/>
      <name val="Arial"/>
      <family val="0"/>
    </font>
    <font>
      <sz val="16"/>
      <color indexed="12"/>
      <name val="Algerian"/>
      <family val="5"/>
    </font>
    <font>
      <sz val="8"/>
      <name val="Arial"/>
      <family val="0"/>
    </font>
    <font>
      <sz val="16"/>
      <name val="Cooper Black"/>
      <family val="1"/>
    </font>
    <font>
      <sz val="14"/>
      <name val="Cooper Black"/>
      <family val="1"/>
    </font>
    <font>
      <sz val="22"/>
      <name val="Algerian"/>
      <family val="5"/>
    </font>
    <font>
      <b/>
      <sz val="16"/>
      <color indexed="10"/>
      <name val="Cooper Black"/>
      <family val="1"/>
    </font>
    <font>
      <b/>
      <sz val="16"/>
      <name val="Cooper Black"/>
      <family val="1"/>
    </font>
    <font>
      <b/>
      <sz val="8"/>
      <name val="Arial"/>
      <family val="2"/>
    </font>
    <font>
      <sz val="12"/>
      <name val="Arial"/>
      <family val="2"/>
    </font>
    <font>
      <b/>
      <sz val="8"/>
      <color indexed="21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2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indent="10"/>
    </xf>
    <xf numFmtId="0" fontId="2" fillId="2" borderId="0" xfId="0" applyFont="1" applyFill="1" applyAlignment="1">
      <alignment horizontal="left" indent="10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indent="5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6" fontId="8" fillId="2" borderId="0" xfId="0" applyNumberFormat="1" applyFont="1" applyFill="1" applyBorder="1" applyAlignment="1">
      <alignment/>
    </xf>
    <xf numFmtId="6" fontId="2" fillId="2" borderId="0" xfId="0" applyNumberFormat="1" applyFont="1" applyFill="1" applyBorder="1" applyAlignment="1">
      <alignment/>
    </xf>
    <xf numFmtId="6" fontId="9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6" fontId="11" fillId="2" borderId="0" xfId="0" applyNumberFormat="1" applyFont="1" applyFill="1" applyBorder="1" applyAlignment="1">
      <alignment/>
    </xf>
    <xf numFmtId="6" fontId="0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11" fillId="2" borderId="1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wrapText="1"/>
      <protection/>
    </xf>
    <xf numFmtId="0" fontId="11" fillId="2" borderId="3" xfId="0" applyFont="1" applyFill="1" applyBorder="1" applyAlignment="1" applyProtection="1">
      <alignment horizontal="center" vertical="center" wrapText="1"/>
      <protection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6" fontId="14" fillId="2" borderId="5" xfId="0" applyNumberFormat="1" applyFont="1" applyFill="1" applyBorder="1" applyAlignment="1">
      <alignment/>
    </xf>
    <xf numFmtId="6" fontId="0" fillId="2" borderId="1" xfId="0" applyNumberFormat="1" applyFont="1" applyFill="1" applyBorder="1" applyAlignment="1">
      <alignment/>
    </xf>
    <xf numFmtId="6" fontId="14" fillId="2" borderId="6" xfId="0" applyNumberFormat="1" applyFont="1" applyFill="1" applyBorder="1" applyAlignment="1">
      <alignment/>
    </xf>
    <xf numFmtId="6" fontId="0" fillId="2" borderId="7" xfId="0" applyNumberFormat="1" applyFont="1" applyFill="1" applyBorder="1" applyAlignment="1">
      <alignment/>
    </xf>
    <xf numFmtId="0" fontId="11" fillId="3" borderId="3" xfId="0" applyFont="1" applyFill="1" applyBorder="1" applyAlignment="1">
      <alignment/>
    </xf>
    <xf numFmtId="6" fontId="14" fillId="3" borderId="8" xfId="0" applyNumberFormat="1" applyFont="1" applyFill="1" applyBorder="1" applyAlignment="1">
      <alignment/>
    </xf>
    <xf numFmtId="6" fontId="11" fillId="3" borderId="9" xfId="0" applyNumberFormat="1" applyFont="1" applyFill="1" applyBorder="1" applyAlignment="1">
      <alignment/>
    </xf>
    <xf numFmtId="6" fontId="14" fillId="2" borderId="3" xfId="0" applyNumberFormat="1" applyFont="1" applyFill="1" applyBorder="1" applyAlignment="1">
      <alignment/>
    </xf>
    <xf numFmtId="6" fontId="0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6" fontId="14" fillId="2" borderId="3" xfId="0" applyNumberFormat="1" applyFont="1" applyFill="1" applyBorder="1" applyAlignment="1">
      <alignment horizontal="right"/>
    </xf>
    <xf numFmtId="6" fontId="0" fillId="2" borderId="10" xfId="0" applyNumberFormat="1" applyFont="1" applyFill="1" applyBorder="1" applyAlignment="1">
      <alignment horizontal="right"/>
    </xf>
    <xf numFmtId="6" fontId="11" fillId="2" borderId="10" xfId="0" applyNumberFormat="1" applyFont="1" applyFill="1" applyBorder="1" applyAlignment="1">
      <alignment/>
    </xf>
    <xf numFmtId="6" fontId="0" fillId="2" borderId="10" xfId="15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2" borderId="3" xfId="0" applyFont="1" applyFill="1" applyBorder="1" applyAlignment="1">
      <alignment/>
    </xf>
    <xf numFmtId="6" fontId="14" fillId="2" borderId="6" xfId="0" applyNumberFormat="1" applyFont="1" applyFill="1" applyBorder="1" applyAlignment="1">
      <alignment horizontal="right"/>
    </xf>
    <xf numFmtId="6" fontId="0" fillId="2" borderId="7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6" fontId="17" fillId="3" borderId="3" xfId="0" applyNumberFormat="1" applyFont="1" applyFill="1" applyBorder="1" applyAlignment="1">
      <alignment/>
    </xf>
    <xf numFmtId="6" fontId="16" fillId="3" borderId="10" xfId="0" applyNumberFormat="1" applyFont="1" applyFill="1" applyBorder="1" applyAlignment="1">
      <alignment/>
    </xf>
    <xf numFmtId="6" fontId="0" fillId="2" borderId="3" xfId="0" applyNumberFormat="1" applyFont="1" applyFill="1" applyBorder="1" applyAlignment="1">
      <alignment/>
    </xf>
    <xf numFmtId="6" fontId="14" fillId="3" borderId="11" xfId="0" applyNumberFormat="1" applyFont="1" applyFill="1" applyBorder="1" applyAlignment="1">
      <alignment/>
    </xf>
    <xf numFmtId="6" fontId="11" fillId="3" borderId="12" xfId="0" applyNumberFormat="1" applyFont="1" applyFill="1" applyBorder="1" applyAlignment="1">
      <alignment/>
    </xf>
    <xf numFmtId="6" fontId="14" fillId="3" borderId="3" xfId="0" applyNumberFormat="1" applyFont="1" applyFill="1" applyBorder="1" applyAlignment="1">
      <alignment/>
    </xf>
    <xf numFmtId="6" fontId="11" fillId="3" borderId="10" xfId="0" applyNumberFormat="1" applyFont="1" applyFill="1" applyBorder="1" applyAlignment="1">
      <alignment/>
    </xf>
    <xf numFmtId="10" fontId="13" fillId="2" borderId="0" xfId="19" applyNumberFormat="1" applyFont="1" applyFill="1" applyBorder="1" applyAlignment="1">
      <alignment horizontal="center"/>
    </xf>
    <xf numFmtId="10" fontId="0" fillId="2" borderId="3" xfId="19" applyNumberFormat="1" applyFont="1" applyFill="1" applyBorder="1" applyAlignment="1">
      <alignment/>
    </xf>
    <xf numFmtId="10" fontId="14" fillId="2" borderId="3" xfId="19" applyNumberFormat="1" applyFont="1" applyFill="1" applyBorder="1" applyAlignment="1">
      <alignment horizontal="right"/>
    </xf>
    <xf numFmtId="10" fontId="0" fillId="2" borderId="10" xfId="19" applyNumberFormat="1" applyFont="1" applyFill="1" applyBorder="1" applyAlignment="1">
      <alignment horizontal="right"/>
    </xf>
    <xf numFmtId="10" fontId="0" fillId="2" borderId="6" xfId="19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6" fontId="0" fillId="0" borderId="13" xfId="15" applyNumberFormat="1" applyBorder="1" applyAlignment="1">
      <alignment/>
    </xf>
    <xf numFmtId="43" fontId="0" fillId="0" borderId="13" xfId="15" applyBorder="1" applyAlignment="1">
      <alignment/>
    </xf>
    <xf numFmtId="168" fontId="0" fillId="0" borderId="13" xfId="15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6" fontId="11" fillId="0" borderId="13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167" fontId="0" fillId="0" borderId="13" xfId="19" applyNumberForma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left" indent="1"/>
    </xf>
    <xf numFmtId="0" fontId="11" fillId="0" borderId="13" xfId="0" applyFont="1" applyBorder="1" applyAlignment="1">
      <alignment horizontal="left"/>
    </xf>
    <xf numFmtId="166" fontId="0" fillId="0" borderId="13" xfId="15" applyNumberFormat="1" applyBorder="1" applyAlignment="1">
      <alignment/>
    </xf>
    <xf numFmtId="43" fontId="0" fillId="0" borderId="13" xfId="0" applyNumberFormat="1" applyBorder="1" applyAlignment="1">
      <alignment/>
    </xf>
    <xf numFmtId="166" fontId="0" fillId="0" borderId="13" xfId="15" applyNumberFormat="1" applyFont="1" applyBorder="1" applyAlignment="1">
      <alignment/>
    </xf>
    <xf numFmtId="166" fontId="19" fillId="0" borderId="13" xfId="0" applyNumberFormat="1" applyFont="1" applyBorder="1" applyAlignment="1">
      <alignment/>
    </xf>
    <xf numFmtId="168" fontId="0" fillId="0" borderId="13" xfId="15" applyNumberFormat="1" applyBorder="1" applyAlignment="1">
      <alignment/>
    </xf>
    <xf numFmtId="167" fontId="0" fillId="0" borderId="13" xfId="19" applyNumberFormat="1" applyBorder="1" applyAlignment="1">
      <alignment horizontal="center"/>
    </xf>
    <xf numFmtId="43" fontId="0" fillId="0" borderId="13" xfId="15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10" fontId="11" fillId="0" borderId="13" xfId="19" applyNumberFormat="1" applyFont="1" applyBorder="1" applyAlignment="1">
      <alignment/>
    </xf>
    <xf numFmtId="173" fontId="11" fillId="0" borderId="13" xfId="17" applyNumberFormat="1" applyFont="1" applyBorder="1" applyAlignment="1">
      <alignment/>
    </xf>
    <xf numFmtId="44" fontId="0" fillId="0" borderId="0" xfId="17" applyAlignment="1">
      <alignment/>
    </xf>
    <xf numFmtId="1" fontId="0" fillId="0" borderId="0" xfId="0" applyNumberFormat="1" applyAlignment="1">
      <alignment horizontal="center"/>
    </xf>
    <xf numFmtId="9" fontId="0" fillId="0" borderId="0" xfId="19" applyAlignment="1">
      <alignment horizontal="center"/>
    </xf>
    <xf numFmtId="0" fontId="11" fillId="0" borderId="0" xfId="0" applyFont="1" applyBorder="1" applyAlignment="1">
      <alignment/>
    </xf>
    <xf numFmtId="168" fontId="0" fillId="0" borderId="13" xfId="15" applyNumberFormat="1" applyFont="1" applyBorder="1" applyAlignment="1">
      <alignment/>
    </xf>
    <xf numFmtId="0" fontId="11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/>
    </xf>
    <xf numFmtId="43" fontId="0" fillId="3" borderId="13" xfId="15" applyFill="1" applyBorder="1" applyAlignment="1">
      <alignment/>
    </xf>
    <xf numFmtId="168" fontId="0" fillId="3" borderId="13" xfId="15" applyNumberFormat="1" applyFill="1" applyBorder="1" applyAlignment="1">
      <alignment/>
    </xf>
    <xf numFmtId="168" fontId="0" fillId="3" borderId="13" xfId="15" applyNumberFormat="1" applyFont="1" applyFill="1" applyBorder="1" applyAlignment="1">
      <alignment/>
    </xf>
    <xf numFmtId="171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7" fontId="0" fillId="4" borderId="13" xfId="19" applyNumberFormat="1" applyFill="1" applyBorder="1" applyAlignment="1">
      <alignment horizontal="center"/>
    </xf>
    <xf numFmtId="10" fontId="0" fillId="0" borderId="13" xfId="19" applyNumberFormat="1" applyFill="1" applyBorder="1" applyAlignment="1">
      <alignment horizontal="center"/>
    </xf>
    <xf numFmtId="167" fontId="0" fillId="0" borderId="13" xfId="19" applyNumberFormat="1" applyFont="1" applyBorder="1" applyAlignment="1">
      <alignment horizontal="center"/>
    </xf>
    <xf numFmtId="167" fontId="0" fillId="0" borderId="13" xfId="19" applyNumberFormat="1" applyFill="1" applyBorder="1" applyAlignment="1">
      <alignment horizontal="center"/>
    </xf>
    <xf numFmtId="10" fontId="0" fillId="0" borderId="13" xfId="19" applyNumberFormat="1" applyFont="1" applyFill="1" applyBorder="1" applyAlignment="1">
      <alignment horizontal="center"/>
    </xf>
    <xf numFmtId="167" fontId="0" fillId="4" borderId="13" xfId="19" applyNumberFormat="1" applyFill="1" applyBorder="1" applyAlignment="1">
      <alignment horizontal="center"/>
    </xf>
    <xf numFmtId="10" fontId="0" fillId="0" borderId="13" xfId="19" applyNumberFormat="1" applyFill="1" applyBorder="1" applyAlignment="1">
      <alignment horizontal="center"/>
    </xf>
    <xf numFmtId="167" fontId="0" fillId="0" borderId="13" xfId="19" applyNumberFormat="1" applyFont="1" applyBorder="1" applyAlignment="1">
      <alignment horizontal="center"/>
    </xf>
    <xf numFmtId="167" fontId="0" fillId="0" borderId="13" xfId="19" applyNumberFormat="1" applyFill="1" applyBorder="1" applyAlignment="1">
      <alignment horizontal="center"/>
    </xf>
    <xf numFmtId="10" fontId="0" fillId="0" borderId="13" xfId="19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166" fontId="0" fillId="0" borderId="13" xfId="15" applyNumberFormat="1" applyFill="1" applyBorder="1" applyAlignment="1">
      <alignment/>
    </xf>
    <xf numFmtId="166" fontId="0" fillId="0" borderId="13" xfId="15" applyNumberFormat="1" applyFont="1" applyFill="1" applyBorder="1" applyAlignment="1">
      <alignment/>
    </xf>
    <xf numFmtId="166" fontId="0" fillId="0" borderId="13" xfId="15" applyNumberFormat="1" applyFont="1" applyBorder="1" applyAlignment="1">
      <alignment/>
    </xf>
    <xf numFmtId="0" fontId="11" fillId="0" borderId="13" xfId="0" applyFont="1" applyFill="1" applyBorder="1" applyAlignment="1">
      <alignment/>
    </xf>
    <xf numFmtId="166" fontId="0" fillId="5" borderId="13" xfId="0" applyNumberForma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6" fontId="8" fillId="2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 indent="10"/>
    </xf>
    <xf numFmtId="0" fontId="3" fillId="2" borderId="0" xfId="0" applyFont="1" applyFill="1" applyAlignment="1">
      <alignment horizontal="left" indent="10"/>
    </xf>
    <xf numFmtId="0" fontId="4" fillId="2" borderId="0" xfId="0" applyFont="1" applyFill="1" applyAlignment="1">
      <alignment horizontal="left" wrapText="1" indent="10"/>
    </xf>
    <xf numFmtId="164" fontId="4" fillId="2" borderId="0" xfId="0" applyNumberFormat="1" applyFont="1" applyFill="1" applyAlignment="1">
      <alignment horizontal="left" indent="1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</xdr:row>
      <xdr:rowOff>114300</xdr:rowOff>
    </xdr:from>
    <xdr:to>
      <xdr:col>8</xdr:col>
      <xdr:colOff>800100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09700"/>
          <a:ext cx="2857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0:I25"/>
  <sheetViews>
    <sheetView showGridLines="0" tabSelected="1" workbookViewId="0" topLeftCell="A1">
      <selection activeCell="G35" sqref="G35"/>
    </sheetView>
  </sheetViews>
  <sheetFormatPr defaultColWidth="9.140625" defaultRowHeight="12.75"/>
  <cols>
    <col min="1" max="1" width="5.00390625" style="0" customWidth="1"/>
    <col min="9" max="9" width="47.00390625" style="0" customWidth="1"/>
  </cols>
  <sheetData>
    <row r="20" spans="2:9" ht="33.75">
      <c r="B20" s="135" t="s">
        <v>1</v>
      </c>
      <c r="C20" s="135"/>
      <c r="D20" s="135"/>
      <c r="E20" s="135"/>
      <c r="F20" s="135"/>
      <c r="G20" s="135"/>
      <c r="H20" s="135"/>
      <c r="I20" s="135"/>
    </row>
    <row r="21" spans="2:9" ht="33.75">
      <c r="B21" s="135" t="s">
        <v>210</v>
      </c>
      <c r="C21" s="135"/>
      <c r="D21" s="135"/>
      <c r="E21" s="135"/>
      <c r="F21" s="135"/>
      <c r="G21" s="135"/>
      <c r="H21" s="135"/>
      <c r="I21" s="135"/>
    </row>
    <row r="22" spans="2:9" ht="33.75">
      <c r="B22" s="135" t="s">
        <v>208</v>
      </c>
      <c r="C22" s="135"/>
      <c r="D22" s="135"/>
      <c r="E22" s="135"/>
      <c r="F22" s="135"/>
      <c r="G22" s="135"/>
      <c r="H22" s="135"/>
      <c r="I22" s="135"/>
    </row>
    <row r="23" spans="2:9" ht="33.75">
      <c r="B23" s="135" t="s">
        <v>211</v>
      </c>
      <c r="C23" s="135"/>
      <c r="D23" s="135"/>
      <c r="E23" s="135"/>
      <c r="F23" s="135"/>
      <c r="G23" s="135"/>
      <c r="H23" s="135"/>
      <c r="I23" s="135"/>
    </row>
    <row r="24" spans="2:9" ht="33.75">
      <c r="B24" s="134" t="s">
        <v>209</v>
      </c>
      <c r="C24" s="134"/>
      <c r="D24" s="134"/>
      <c r="E24" s="134"/>
      <c r="F24" s="134"/>
      <c r="G24" s="134"/>
      <c r="H24" s="134"/>
      <c r="I24" s="134"/>
    </row>
    <row r="25" spans="2:9" ht="33.75">
      <c r="B25" s="134" t="s">
        <v>212</v>
      </c>
      <c r="C25" s="134"/>
      <c r="D25" s="134"/>
      <c r="E25" s="134"/>
      <c r="F25" s="134"/>
      <c r="G25" s="134"/>
      <c r="H25" s="134"/>
      <c r="I25" s="134"/>
    </row>
  </sheetData>
  <mergeCells count="6">
    <mergeCell ref="B25:I25"/>
    <mergeCell ref="B24:I24"/>
    <mergeCell ref="B20:I20"/>
    <mergeCell ref="B21:I21"/>
    <mergeCell ref="B22:I22"/>
    <mergeCell ref="B23:I23"/>
  </mergeCells>
  <printOptions/>
  <pageMargins left="0.75" right="0.75" top="1" bottom="1" header="0.5" footer="0.5"/>
  <pageSetup fitToHeight="1" fitToWidth="1" orientation="portrait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6.421875" style="0" customWidth="1"/>
    <col min="4" max="4" width="10.140625" style="0" customWidth="1"/>
    <col min="5" max="5" width="12.28125" style="0" bestFit="1" customWidth="1"/>
    <col min="6" max="6" width="8.7109375" style="0" bestFit="1" customWidth="1"/>
    <col min="7" max="8" width="10.140625" style="0" bestFit="1" customWidth="1"/>
    <col min="9" max="9" width="9.28125" style="0" bestFit="1" customWidth="1"/>
    <col min="10" max="10" width="8.7109375" style="0" bestFit="1" customWidth="1"/>
    <col min="11" max="11" width="10.28125" style="0" bestFit="1" customWidth="1"/>
    <col min="12" max="13" width="11.28125" style="0" bestFit="1" customWidth="1"/>
  </cols>
  <sheetData>
    <row r="2" spans="2:13" ht="12.75">
      <c r="B2" s="141" t="s">
        <v>163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ht="12.75">
      <c r="B3" s="145" t="s">
        <v>81</v>
      </c>
      <c r="C3" s="145" t="s">
        <v>82</v>
      </c>
      <c r="D3" s="159" t="s">
        <v>83</v>
      </c>
      <c r="E3" s="141" t="s">
        <v>84</v>
      </c>
      <c r="F3" s="141"/>
      <c r="G3" s="142" t="s">
        <v>95</v>
      </c>
      <c r="H3" s="144"/>
      <c r="I3" s="141" t="s">
        <v>92</v>
      </c>
      <c r="J3" s="141"/>
      <c r="K3" s="141" t="s">
        <v>85</v>
      </c>
      <c r="L3" s="141"/>
      <c r="M3" s="141"/>
    </row>
    <row r="4" spans="2:13" ht="38.25">
      <c r="B4" s="145"/>
      <c r="C4" s="145"/>
      <c r="D4" s="159"/>
      <c r="E4" s="69" t="s">
        <v>74</v>
      </c>
      <c r="F4" s="69" t="s">
        <v>73</v>
      </c>
      <c r="G4" s="70" t="s">
        <v>90</v>
      </c>
      <c r="H4" s="70" t="s">
        <v>91</v>
      </c>
      <c r="I4" s="70" t="s">
        <v>86</v>
      </c>
      <c r="J4" s="70" t="s">
        <v>87</v>
      </c>
      <c r="K4" s="70" t="s">
        <v>88</v>
      </c>
      <c r="L4" s="70" t="s">
        <v>89</v>
      </c>
      <c r="M4" s="70" t="s">
        <v>21</v>
      </c>
    </row>
    <row r="5" spans="2:13" ht="12.75">
      <c r="B5" s="71" t="s">
        <v>70</v>
      </c>
      <c r="C5" s="72" t="s">
        <v>74</v>
      </c>
      <c r="D5" s="73">
        <f>'2010 Dx Revenue Forecast'!D6</f>
        <v>8011.75</v>
      </c>
      <c r="E5" s="74">
        <f>'2010 Dx Revenue Forecast'!E6</f>
        <v>104754767</v>
      </c>
      <c r="F5" s="74"/>
      <c r="G5" s="81">
        <v>0.14095128439919358</v>
      </c>
      <c r="H5" s="81">
        <f>1-G5</f>
        <v>0.8590487156008064</v>
      </c>
      <c r="I5" s="75">
        <f>K5/(D5*12)</f>
        <v>20.410000000000004</v>
      </c>
      <c r="J5" s="76">
        <f>L5/E5</f>
        <v>0.11416332254345685</v>
      </c>
      <c r="K5" s="74">
        <f>G5*M5</f>
        <v>1962237.8100000005</v>
      </c>
      <c r="L5" s="74">
        <f>H5*M5</f>
        <v>11959152.25298567</v>
      </c>
      <c r="M5" s="77">
        <f>'2010 Cost Allocation Design'!F13</f>
        <v>13921390.06298567</v>
      </c>
    </row>
    <row r="6" spans="2:13" ht="12.75">
      <c r="B6" s="71" t="s">
        <v>71</v>
      </c>
      <c r="C6" s="72" t="s">
        <v>73</v>
      </c>
      <c r="D6" s="73">
        <f>'2010 Dx Revenue Forecast'!D7</f>
        <v>48</v>
      </c>
      <c r="E6" s="74"/>
      <c r="F6" s="74">
        <f>'2010 Dx Revenue Forecast'!E7</f>
        <v>151138</v>
      </c>
      <c r="G6" s="81">
        <v>0.1518713633198003</v>
      </c>
      <c r="H6" s="81">
        <f>1-G6</f>
        <v>0.8481286366801997</v>
      </c>
      <c r="I6" s="75">
        <f>K6/(D6*12)</f>
        <v>596.1199999999994</v>
      </c>
      <c r="J6" s="76">
        <f>L6/F6</f>
        <v>12.687274635826885</v>
      </c>
      <c r="K6" s="74">
        <f>G6*M6</f>
        <v>343365.11999999965</v>
      </c>
      <c r="L6" s="74">
        <f>H6*M6</f>
        <v>1917529.3139096037</v>
      </c>
      <c r="M6" s="77">
        <f>'2010 Cost Allocation Design'!F14</f>
        <v>2260894.4339096034</v>
      </c>
    </row>
    <row r="7" spans="2:13" ht="12.75">
      <c r="B7" s="71" t="s">
        <v>16</v>
      </c>
      <c r="C7" s="72" t="s">
        <v>74</v>
      </c>
      <c r="D7" s="73">
        <f>'2010 Dx Revenue Forecast'!D9</f>
        <v>3649.1666666666665</v>
      </c>
      <c r="E7" s="74">
        <f>'2010 Dx Revenue Forecast'!E9</f>
        <v>12459994</v>
      </c>
      <c r="F7" s="74"/>
      <c r="G7" s="81">
        <v>0.4593299245774052</v>
      </c>
      <c r="H7" s="81">
        <f>1-G7</f>
        <v>0.5406700754225948</v>
      </c>
      <c r="I7" s="75">
        <f>K7/(D7*12)</f>
        <v>23.99999999999999</v>
      </c>
      <c r="J7" s="76">
        <f>L7/E7</f>
        <v>0.09928324128455793</v>
      </c>
      <c r="K7" s="74">
        <f>G7*M7</f>
        <v>1050959.9999999995</v>
      </c>
      <c r="L7" s="74">
        <f>H7*M7</f>
        <v>1237068.590706144</v>
      </c>
      <c r="M7" s="77">
        <f>'2010 Cost Allocation Design'!F15</f>
        <v>2288028.5907061435</v>
      </c>
    </row>
    <row r="8" spans="2:13" ht="12.75">
      <c r="B8" s="71" t="s">
        <v>72</v>
      </c>
      <c r="C8" s="72" t="s">
        <v>74</v>
      </c>
      <c r="D8" s="73">
        <f>'2010 Dx Revenue Forecast'!D10</f>
        <v>1052</v>
      </c>
      <c r="E8" s="74">
        <f>'2010 Dx Revenue Forecast'!E10</f>
        <v>791996</v>
      </c>
      <c r="F8" s="74"/>
      <c r="G8" s="81">
        <v>0</v>
      </c>
      <c r="H8" s="81">
        <f>1-G8</f>
        <v>1</v>
      </c>
      <c r="I8" s="75">
        <f>K8/(D8*12)</f>
        <v>0</v>
      </c>
      <c r="J8" s="76">
        <f>L8/E8</f>
        <v>0.14481753998578775</v>
      </c>
      <c r="K8" s="74">
        <f>G8*M8</f>
        <v>0</v>
      </c>
      <c r="L8" s="74">
        <f>H8*M8</f>
        <v>114694.91239858395</v>
      </c>
      <c r="M8" s="77">
        <f>'2010 Cost Allocation Design'!F16</f>
        <v>114694.91239858395</v>
      </c>
    </row>
    <row r="9" spans="2:13" ht="12.75">
      <c r="B9" s="78"/>
      <c r="C9" s="78"/>
      <c r="D9" s="78"/>
      <c r="E9" s="78"/>
      <c r="F9" s="78"/>
      <c r="G9" s="78"/>
      <c r="H9" s="78"/>
      <c r="I9" s="78"/>
      <c r="J9" s="78"/>
      <c r="K9" s="79">
        <f>SUM(K5:K8)</f>
        <v>3356562.9299999997</v>
      </c>
      <c r="L9" s="79">
        <f>SUM(L5:L8)</f>
        <v>15228445.07</v>
      </c>
      <c r="M9" s="79">
        <f>SUM(M5:M8)</f>
        <v>18585008</v>
      </c>
    </row>
    <row r="11" ht="12.75">
      <c r="M11" s="80"/>
    </row>
  </sheetData>
  <mergeCells count="8">
    <mergeCell ref="B2:M2"/>
    <mergeCell ref="B3:B4"/>
    <mergeCell ref="C3:C4"/>
    <mergeCell ref="D3:D4"/>
    <mergeCell ref="E3:F3"/>
    <mergeCell ref="I3:J3"/>
    <mergeCell ref="K3:M3"/>
    <mergeCell ref="G3:H3"/>
  </mergeCells>
  <printOptions/>
  <pageMargins left="0.75" right="0.75" top="1" bottom="1" header="0.5" footer="0.5"/>
  <pageSetup fitToHeight="1" fitToWidth="1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2.421875" style="0" customWidth="1"/>
    <col min="2" max="2" width="14.28125" style="0" bestFit="1" customWidth="1"/>
    <col min="3" max="3" width="11.7109375" style="0" bestFit="1" customWidth="1"/>
    <col min="4" max="4" width="11.8515625" style="0" customWidth="1"/>
    <col min="5" max="5" width="11.421875" style="0" customWidth="1"/>
    <col min="6" max="6" width="11.00390625" style="0" customWidth="1"/>
    <col min="7" max="7" width="11.57421875" style="0" customWidth="1"/>
    <col min="8" max="8" width="10.00390625" style="0" customWidth="1"/>
    <col min="9" max="9" width="11.28125" style="0" bestFit="1" customWidth="1"/>
    <col min="10" max="10" width="9.7109375" style="0" customWidth="1"/>
    <col min="12" max="12" width="9.57421875" style="0" customWidth="1"/>
  </cols>
  <sheetData>
    <row r="2" spans="2:11" ht="12.75">
      <c r="B2" s="141" t="s">
        <v>200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2:11" ht="51">
      <c r="B3" s="78"/>
      <c r="C3" s="111" t="s">
        <v>188</v>
      </c>
      <c r="D3" s="111" t="s">
        <v>189</v>
      </c>
      <c r="E3" s="111" t="s">
        <v>190</v>
      </c>
      <c r="F3" s="111" t="s">
        <v>191</v>
      </c>
      <c r="G3" s="111" t="s">
        <v>202</v>
      </c>
      <c r="H3" s="111" t="s">
        <v>203</v>
      </c>
      <c r="I3" s="112" t="s">
        <v>205</v>
      </c>
      <c r="J3" s="78"/>
      <c r="K3" s="78"/>
    </row>
    <row r="4" spans="2:11" ht="12.75">
      <c r="B4" s="78" t="s">
        <v>70</v>
      </c>
      <c r="C4" s="87">
        <f>'Cost Allocation Sheet O1'!D35</f>
        <v>11313812.334581368</v>
      </c>
      <c r="D4" s="92">
        <f>C4/C$8</f>
        <v>0.6395703833660632</v>
      </c>
      <c r="E4" s="87">
        <f>'Cost Allocation Sheet O1'!D19</f>
        <v>217489.6827090995</v>
      </c>
      <c r="F4" s="92">
        <f>E4/E$8</f>
        <v>0.633975353101961</v>
      </c>
      <c r="G4" s="87">
        <f>D4*G$8</f>
        <v>13080580.462174863</v>
      </c>
      <c r="H4" s="87">
        <f>F4*H$8</f>
        <v>234622.86662667993</v>
      </c>
      <c r="I4" s="77">
        <f>G4-H4</f>
        <v>12845957.595548183</v>
      </c>
      <c r="J4" s="78"/>
      <c r="K4" s="78"/>
    </row>
    <row r="5" spans="2:11" ht="12.75">
      <c r="B5" s="78" t="s">
        <v>71</v>
      </c>
      <c r="C5" s="87">
        <f>'Cost Allocation Sheet O1'!E35</f>
        <v>4225827.588095055</v>
      </c>
      <c r="D5" s="92">
        <f>C5/C$8</f>
        <v>0.2388862472374433</v>
      </c>
      <c r="E5" s="87">
        <f>'Cost Allocation Sheet O1'!E19</f>
        <v>88132.6245424829</v>
      </c>
      <c r="F5" s="92">
        <f>E5/E$8</f>
        <v>0.2569037347801761</v>
      </c>
      <c r="G5" s="87">
        <f>D5*G$8</f>
        <v>4885734.017029815</v>
      </c>
      <c r="H5" s="87">
        <f>F5*H$8</f>
        <v>95075.44797491713</v>
      </c>
      <c r="I5" s="77">
        <f>G5-H5</f>
        <v>4790658.569054898</v>
      </c>
      <c r="J5" s="78"/>
      <c r="K5" s="78"/>
    </row>
    <row r="6" spans="2:11" ht="12.75">
      <c r="B6" s="78" t="s">
        <v>16</v>
      </c>
      <c r="C6" s="87">
        <f>'Cost Allocation Sheet O1'!O35</f>
        <v>1872334.1238699965</v>
      </c>
      <c r="D6" s="92">
        <f>C6/C$8</f>
        <v>0.10584314269847796</v>
      </c>
      <c r="E6" s="87">
        <f>'Cost Allocation Sheet O1'!O19</f>
        <v>32431.40322114977</v>
      </c>
      <c r="F6" s="92">
        <f>E6/E$8</f>
        <v>0.09453648583515205</v>
      </c>
      <c r="G6" s="87">
        <f>D6*G$8</f>
        <v>2164718.349136678</v>
      </c>
      <c r="H6" s="87">
        <f>F6*H$8</f>
        <v>34986.25175084474</v>
      </c>
      <c r="I6" s="77">
        <f>G6-H6</f>
        <v>2129732.0973858335</v>
      </c>
      <c r="J6" s="78"/>
      <c r="K6" s="78"/>
    </row>
    <row r="7" spans="2:11" ht="12.75">
      <c r="B7" s="78" t="s">
        <v>72</v>
      </c>
      <c r="C7" s="87">
        <f>'Cost Allocation Sheet O1'!J35</f>
        <v>277732.40145497007</v>
      </c>
      <c r="D7" s="92">
        <f>C7/C$8</f>
        <v>0.015700226698015598</v>
      </c>
      <c r="E7" s="87">
        <f>'Cost Allocation Sheet O1'!J19</f>
        <v>5003.289527267954</v>
      </c>
      <c r="F7" s="92">
        <f>E7/E$8</f>
        <v>0.014584426282710899</v>
      </c>
      <c r="G7" s="87">
        <f>D7*G$8</f>
        <v>321103.17165864597</v>
      </c>
      <c r="H7" s="87">
        <f>F7*H$8</f>
        <v>5397.433647558215</v>
      </c>
      <c r="I7" s="77">
        <f>G7-H7</f>
        <v>315705.73801108776</v>
      </c>
      <c r="J7" s="78"/>
      <c r="K7" s="78"/>
    </row>
    <row r="8" spans="2:11" ht="12.75">
      <c r="B8" s="78"/>
      <c r="C8" s="77">
        <f>SUM(C4:C7)</f>
        <v>17689706.44800139</v>
      </c>
      <c r="D8" s="92">
        <f>SUM(D4:D7)</f>
        <v>1</v>
      </c>
      <c r="E8" s="77">
        <f>SUM(E4:E7)</f>
        <v>343057.0000000001</v>
      </c>
      <c r="F8" s="92">
        <f>SUM(F4:F7)</f>
        <v>1</v>
      </c>
      <c r="G8" s="132">
        <v>20452136</v>
      </c>
      <c r="H8" s="132">
        <v>370082</v>
      </c>
      <c r="I8" s="77">
        <f>SUM(I4:I7)</f>
        <v>20082054.000000004</v>
      </c>
      <c r="J8" s="78"/>
      <c r="K8" s="78"/>
    </row>
    <row r="9" spans="2:11" ht="12.75">
      <c r="B9" s="156"/>
      <c r="C9" s="157"/>
      <c r="D9" s="157"/>
      <c r="E9" s="157"/>
      <c r="F9" s="157"/>
      <c r="G9" s="157"/>
      <c r="H9" s="157"/>
      <c r="I9" s="157"/>
      <c r="J9" s="157"/>
      <c r="K9" s="158"/>
    </row>
    <row r="10" spans="2:11" ht="12.75">
      <c r="B10" s="156"/>
      <c r="C10" s="157"/>
      <c r="D10" s="157"/>
      <c r="E10" s="157"/>
      <c r="F10" s="157"/>
      <c r="G10" s="157"/>
      <c r="H10" s="157"/>
      <c r="I10" s="157"/>
      <c r="J10" s="157"/>
      <c r="K10" s="158"/>
    </row>
    <row r="11" spans="2:12" ht="12.75">
      <c r="B11" s="141" t="s">
        <v>201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10"/>
    </row>
    <row r="12" spans="2:11" ht="51">
      <c r="B12" s="78"/>
      <c r="C12" s="111" t="s">
        <v>206</v>
      </c>
      <c r="D12" s="111" t="s">
        <v>196</v>
      </c>
      <c r="E12" s="113" t="s">
        <v>76</v>
      </c>
      <c r="F12" s="111" t="s">
        <v>197</v>
      </c>
      <c r="G12" s="111" t="s">
        <v>198</v>
      </c>
      <c r="H12" s="113" t="s">
        <v>75</v>
      </c>
      <c r="I12" s="114" t="s">
        <v>199</v>
      </c>
      <c r="J12" s="115" t="s">
        <v>77</v>
      </c>
      <c r="K12" s="115" t="s">
        <v>204</v>
      </c>
    </row>
    <row r="13" spans="2:11" ht="12.75">
      <c r="B13" s="78" t="s">
        <v>70</v>
      </c>
      <c r="C13" s="87">
        <f>I4</f>
        <v>12845957.595548183</v>
      </c>
      <c r="D13" s="92">
        <f>C13/C$17</f>
        <v>0.63967349134447</v>
      </c>
      <c r="E13" s="121">
        <f>1-(E14+E15+E16)</f>
        <v>0.7283384248629676</v>
      </c>
      <c r="F13" s="87">
        <f>E13*C$17</f>
        <v>14626531.578373061</v>
      </c>
      <c r="G13" s="87">
        <f>F13-C13</f>
        <v>1780573.9828248788</v>
      </c>
      <c r="H13" s="121">
        <f>F13/C13</f>
        <v>1.1386096730882829</v>
      </c>
      <c r="I13" s="122">
        <f>'Cost Allocation Sheet O1'!D70</f>
        <v>1.1821839341330829</v>
      </c>
      <c r="J13" s="72" t="s">
        <v>78</v>
      </c>
      <c r="K13" s="118" t="s">
        <v>94</v>
      </c>
    </row>
    <row r="14" spans="2:11" ht="12.75">
      <c r="B14" s="78" t="s">
        <v>71</v>
      </c>
      <c r="C14" s="87">
        <f>I5</f>
        <v>4790658.569054898</v>
      </c>
      <c r="D14" s="92">
        <f>C14/C$17</f>
        <v>0.23855421208681626</v>
      </c>
      <c r="E14" s="121">
        <v>0.15622306652577514</v>
      </c>
      <c r="F14" s="87">
        <f>E14*C$17</f>
        <v>3137280.0580162094</v>
      </c>
      <c r="G14" s="87">
        <f>F14-C14</f>
        <v>-1653378.5110386885</v>
      </c>
      <c r="H14" s="121">
        <f>F14/C14</f>
        <v>0.6548744839136246</v>
      </c>
      <c r="I14" s="122">
        <f>'Cost Allocation Sheet O1'!E70</f>
        <v>0.3645379215909416</v>
      </c>
      <c r="J14" s="72" t="s">
        <v>79</v>
      </c>
      <c r="K14" s="92">
        <f>I14+((0.8-I14)*2/3)</f>
        <v>0.6548459738636472</v>
      </c>
    </row>
    <row r="15" spans="2:11" ht="12.75">
      <c r="B15" s="78" t="s">
        <v>16</v>
      </c>
      <c r="C15" s="87">
        <f>I6</f>
        <v>2129732.0973858335</v>
      </c>
      <c r="D15" s="92">
        <f>C15/C$17</f>
        <v>0.10605150735008645</v>
      </c>
      <c r="E15" s="121">
        <v>0.10605150735008653</v>
      </c>
      <c r="F15" s="87">
        <f>E15*C$17</f>
        <v>2129732.097385835</v>
      </c>
      <c r="G15" s="87">
        <f>F15-C15</f>
        <v>0</v>
      </c>
      <c r="H15" s="121">
        <f>F15/C15</f>
        <v>1.0000000000000007</v>
      </c>
      <c r="I15" s="122">
        <f>'Cost Allocation Sheet O1'!O70</f>
        <v>1.518083502881367</v>
      </c>
      <c r="J15" s="72" t="s">
        <v>78</v>
      </c>
      <c r="K15" s="123">
        <v>1</v>
      </c>
    </row>
    <row r="16" spans="2:11" ht="12.75">
      <c r="B16" s="78" t="s">
        <v>72</v>
      </c>
      <c r="C16" s="87">
        <f>I7</f>
        <v>315705.73801108776</v>
      </c>
      <c r="D16" s="92">
        <f>C16/C$17</f>
        <v>0.015720789218627122</v>
      </c>
      <c r="E16" s="121">
        <v>0.009387001261170652</v>
      </c>
      <c r="F16" s="87">
        <f>E16*C$17</f>
        <v>188510.26622489718</v>
      </c>
      <c r="G16" s="87">
        <f>F16-C16</f>
        <v>-127195.47178619058</v>
      </c>
      <c r="H16" s="121">
        <f>F16/C16</f>
        <v>0.5971075071758012</v>
      </c>
      <c r="I16" s="122">
        <f>'Cost Allocation Sheet O1'!J70</f>
        <v>0.18971299217941057</v>
      </c>
      <c r="J16" s="72" t="s">
        <v>80</v>
      </c>
      <c r="K16" s="92">
        <f>I16+((0.8-I16)*2/3)</f>
        <v>0.5965709973931369</v>
      </c>
    </row>
    <row r="17" spans="2:12" ht="12.75">
      <c r="B17" s="78"/>
      <c r="C17" s="87">
        <f>SUM(C13:C16)</f>
        <v>20082054.000000004</v>
      </c>
      <c r="D17" s="92">
        <f>SUM(D13:D16)</f>
        <v>0.9999999999999998</v>
      </c>
      <c r="E17" s="121">
        <f>SUM(E13:E16)</f>
        <v>0.9999999999999999</v>
      </c>
      <c r="F17" s="87">
        <f>SUM(F13:F16)</f>
        <v>20082054.000000004</v>
      </c>
      <c r="G17" s="78"/>
      <c r="H17" s="124"/>
      <c r="I17" s="78"/>
      <c r="J17" s="125"/>
      <c r="K17" s="78"/>
      <c r="L17" s="109"/>
    </row>
  </sheetData>
  <mergeCells count="4">
    <mergeCell ref="B2:K2"/>
    <mergeCell ref="B11:K11"/>
    <mergeCell ref="B9:K9"/>
    <mergeCell ref="B10:K10"/>
  </mergeCells>
  <printOptions/>
  <pageMargins left="0.75" right="0.75" top="1" bottom="1" header="0.5" footer="0.5"/>
  <pageSetup fitToHeight="1" fitToWidth="1" orientation="portrait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3.7109375" style="0" customWidth="1"/>
    <col min="2" max="2" width="15.28125" style="0" bestFit="1" customWidth="1"/>
    <col min="3" max="3" width="6.421875" style="0" customWidth="1"/>
    <col min="4" max="4" width="10.140625" style="0" customWidth="1"/>
    <col min="5" max="5" width="12.28125" style="0" bestFit="1" customWidth="1"/>
    <col min="6" max="6" width="8.7109375" style="0" bestFit="1" customWidth="1"/>
    <col min="7" max="8" width="10.140625" style="0" bestFit="1" customWidth="1"/>
    <col min="9" max="9" width="9.28125" style="0" bestFit="1" customWidth="1"/>
    <col min="10" max="10" width="8.7109375" style="0" bestFit="1" customWidth="1"/>
    <col min="11" max="11" width="10.28125" style="0" bestFit="1" customWidth="1"/>
    <col min="12" max="13" width="11.28125" style="0" bestFit="1" customWidth="1"/>
  </cols>
  <sheetData>
    <row r="2" spans="2:13" ht="12.75">
      <c r="B2" s="141" t="s">
        <v>167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ht="12.75">
      <c r="B3" s="145" t="s">
        <v>81</v>
      </c>
      <c r="C3" s="145" t="s">
        <v>82</v>
      </c>
      <c r="D3" s="159" t="s">
        <v>83</v>
      </c>
      <c r="E3" s="141" t="s">
        <v>84</v>
      </c>
      <c r="F3" s="141"/>
      <c r="G3" s="142" t="s">
        <v>95</v>
      </c>
      <c r="H3" s="144"/>
      <c r="I3" s="141" t="s">
        <v>92</v>
      </c>
      <c r="J3" s="141"/>
      <c r="K3" s="141" t="s">
        <v>85</v>
      </c>
      <c r="L3" s="141"/>
      <c r="M3" s="141"/>
    </row>
    <row r="4" spans="2:13" ht="38.25">
      <c r="B4" s="145"/>
      <c r="C4" s="145"/>
      <c r="D4" s="159"/>
      <c r="E4" s="69" t="s">
        <v>74</v>
      </c>
      <c r="F4" s="69" t="s">
        <v>73</v>
      </c>
      <c r="G4" s="70" t="s">
        <v>90</v>
      </c>
      <c r="H4" s="70" t="s">
        <v>91</v>
      </c>
      <c r="I4" s="70" t="s">
        <v>86</v>
      </c>
      <c r="J4" s="70" t="s">
        <v>87</v>
      </c>
      <c r="K4" s="70" t="s">
        <v>88</v>
      </c>
      <c r="L4" s="70" t="s">
        <v>89</v>
      </c>
      <c r="M4" s="70" t="s">
        <v>21</v>
      </c>
    </row>
    <row r="5" spans="2:13" ht="12.75">
      <c r="B5" s="71" t="s">
        <v>70</v>
      </c>
      <c r="C5" s="72" t="s">
        <v>74</v>
      </c>
      <c r="D5" s="73">
        <f>'2011 Dx Revenue Forecast'!D6</f>
        <v>8038.583333333333</v>
      </c>
      <c r="E5" s="87">
        <f>'2011 Dx Revenue Forecast'!E6</f>
        <v>106119297</v>
      </c>
      <c r="F5" s="87"/>
      <c r="G5" s="92">
        <v>0.13460537923502672</v>
      </c>
      <c r="H5" s="92">
        <f>1-G5</f>
        <v>0.8653946207649733</v>
      </c>
      <c r="I5" s="93">
        <f>K5/(D5*12)</f>
        <v>20.409999999999997</v>
      </c>
      <c r="J5" s="91">
        <f>L5/E5</f>
        <v>0.11927822842977429</v>
      </c>
      <c r="K5" s="87">
        <f>G5*M5</f>
        <v>1968809.8299999998</v>
      </c>
      <c r="L5" s="87">
        <f>H5*M5</f>
        <v>12657721.748373061</v>
      </c>
      <c r="M5" s="77">
        <f>'2011 Cost Allocation Design'!F13</f>
        <v>14626531.578373061</v>
      </c>
    </row>
    <row r="6" spans="2:13" ht="12.75">
      <c r="B6" s="71" t="s">
        <v>71</v>
      </c>
      <c r="C6" s="72" t="s">
        <v>73</v>
      </c>
      <c r="D6" s="73">
        <f>'2011 Dx Revenue Forecast'!D7</f>
        <v>48</v>
      </c>
      <c r="E6" s="87"/>
      <c r="F6" s="87">
        <f>'2011 Dx Revenue Forecast'!E7</f>
        <v>151952</v>
      </c>
      <c r="G6" s="92">
        <v>0.10944675440200244</v>
      </c>
      <c r="H6" s="92">
        <f>1-G6</f>
        <v>0.8905532455979975</v>
      </c>
      <c r="I6" s="93">
        <f>K6/(D6*12)</f>
        <v>596.1200000000001</v>
      </c>
      <c r="J6" s="91">
        <f>L6/F6</f>
        <v>18.386825695062974</v>
      </c>
      <c r="K6" s="87">
        <f>G6*M6</f>
        <v>343365.12000000005</v>
      </c>
      <c r="L6" s="87">
        <f>H6*M6</f>
        <v>2793914.9380162093</v>
      </c>
      <c r="M6" s="77">
        <f>'2011 Cost Allocation Design'!F14</f>
        <v>3137280.0580162094</v>
      </c>
    </row>
    <row r="7" spans="2:13" ht="12.75">
      <c r="B7" s="71" t="s">
        <v>16</v>
      </c>
      <c r="C7" s="72" t="s">
        <v>74</v>
      </c>
      <c r="D7" s="73">
        <f>'2011 Dx Revenue Forecast'!D9</f>
        <v>3659.75</v>
      </c>
      <c r="E7" s="87">
        <f>'2011 Dx Revenue Forecast'!E9</f>
        <v>12622297</v>
      </c>
      <c r="F7" s="87"/>
      <c r="G7" s="92">
        <v>0.4949016833120723</v>
      </c>
      <c r="H7" s="92">
        <f>1-G7</f>
        <v>0.5050983166879277</v>
      </c>
      <c r="I7" s="93">
        <f>K7/(D7*12)</f>
        <v>24</v>
      </c>
      <c r="J7" s="91">
        <f>L7/E7</f>
        <v>0.08522411549861605</v>
      </c>
      <c r="K7" s="87">
        <f>G7*M7</f>
        <v>1054008</v>
      </c>
      <c r="L7" s="87">
        <f>H7*M7</f>
        <v>1075724.097385835</v>
      </c>
      <c r="M7" s="77">
        <f>'2011 Cost Allocation Design'!F15</f>
        <v>2129732.097385835</v>
      </c>
    </row>
    <row r="8" spans="2:13" ht="12.75">
      <c r="B8" s="71" t="s">
        <v>72</v>
      </c>
      <c r="C8" s="72" t="s">
        <v>74</v>
      </c>
      <c r="D8" s="73">
        <f>'2011 Dx Revenue Forecast'!D10</f>
        <v>1052</v>
      </c>
      <c r="E8" s="87">
        <f>'2011 Dx Revenue Forecast'!E10</f>
        <v>791996</v>
      </c>
      <c r="F8" s="87"/>
      <c r="G8" s="92">
        <v>0</v>
      </c>
      <c r="H8" s="92">
        <f>1-G8</f>
        <v>1</v>
      </c>
      <c r="I8" s="93">
        <f>K8/(D8*12)</f>
        <v>0</v>
      </c>
      <c r="J8" s="91">
        <f>L8/E8</f>
        <v>0.2380192150274713</v>
      </c>
      <c r="K8" s="87">
        <f>G8*M8</f>
        <v>0</v>
      </c>
      <c r="L8" s="87">
        <f>H8*M8</f>
        <v>188510.26622489718</v>
      </c>
      <c r="M8" s="77">
        <f>'2011 Cost Allocation Design'!F16</f>
        <v>188510.26622489718</v>
      </c>
    </row>
    <row r="9" spans="2:13" ht="12.75">
      <c r="B9" s="78"/>
      <c r="C9" s="78"/>
      <c r="D9" s="78"/>
      <c r="E9" s="78"/>
      <c r="F9" s="78"/>
      <c r="G9" s="78"/>
      <c r="H9" s="78"/>
      <c r="I9" s="78"/>
      <c r="J9" s="78"/>
      <c r="K9" s="79">
        <f>SUM(K5:K8)</f>
        <v>3366182.9499999997</v>
      </c>
      <c r="L9" s="79">
        <f>SUM(L5:L8)</f>
        <v>16715871.050000003</v>
      </c>
      <c r="M9" s="79">
        <f>SUM(M5:M8)</f>
        <v>20082054.000000004</v>
      </c>
    </row>
    <row r="11" ht="12.75">
      <c r="M11" s="80"/>
    </row>
  </sheetData>
  <mergeCells count="8">
    <mergeCell ref="B2:M2"/>
    <mergeCell ref="B3:B4"/>
    <mergeCell ref="C3:C4"/>
    <mergeCell ref="D3:D4"/>
    <mergeCell ref="E3:F3"/>
    <mergeCell ref="I3:J3"/>
    <mergeCell ref="K3:M3"/>
    <mergeCell ref="G3:H3"/>
  </mergeCells>
  <printOptions/>
  <pageMargins left="0.75" right="0.75" top="1" bottom="1" header="0.5" footer="0.5"/>
  <pageSetup fitToHeight="1" fitToWidth="1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4.00390625" style="0" customWidth="1"/>
    <col min="2" max="2" width="15.28125" style="0" bestFit="1" customWidth="1"/>
    <col min="3" max="3" width="6.421875" style="0" customWidth="1"/>
    <col min="4" max="4" width="10.140625" style="0" customWidth="1"/>
    <col min="5" max="5" width="12.28125" style="0" bestFit="1" customWidth="1"/>
    <col min="6" max="6" width="8.7109375" style="0" bestFit="1" customWidth="1"/>
    <col min="7" max="8" width="10.140625" style="0" bestFit="1" customWidth="1"/>
    <col min="9" max="9" width="9.28125" style="0" bestFit="1" customWidth="1"/>
    <col min="10" max="10" width="8.7109375" style="0" bestFit="1" customWidth="1"/>
    <col min="11" max="11" width="10.28125" style="0" bestFit="1" customWidth="1"/>
    <col min="12" max="12" width="11.28125" style="0" bestFit="1" customWidth="1"/>
    <col min="13" max="13" width="12.28125" style="0" bestFit="1" customWidth="1"/>
  </cols>
  <sheetData>
    <row r="2" spans="2:13" ht="12.75">
      <c r="B2" s="141" t="s">
        <v>163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ht="12.75">
      <c r="B3" s="145" t="s">
        <v>81</v>
      </c>
      <c r="C3" s="145" t="s">
        <v>82</v>
      </c>
      <c r="D3" s="159" t="s">
        <v>83</v>
      </c>
      <c r="E3" s="141" t="s">
        <v>84</v>
      </c>
      <c r="F3" s="141"/>
      <c r="G3" s="141" t="s">
        <v>95</v>
      </c>
      <c r="H3" s="141"/>
      <c r="I3" s="141" t="s">
        <v>92</v>
      </c>
      <c r="J3" s="141"/>
      <c r="K3" s="141" t="s">
        <v>85</v>
      </c>
      <c r="L3" s="141"/>
      <c r="M3" s="141"/>
    </row>
    <row r="4" spans="2:13" ht="38.25">
      <c r="B4" s="145"/>
      <c r="C4" s="145"/>
      <c r="D4" s="159"/>
      <c r="E4" s="69" t="s">
        <v>74</v>
      </c>
      <c r="F4" s="69" t="s">
        <v>73</v>
      </c>
      <c r="G4" s="70" t="s">
        <v>90</v>
      </c>
      <c r="H4" s="70" t="s">
        <v>91</v>
      </c>
      <c r="I4" s="70" t="s">
        <v>86</v>
      </c>
      <c r="J4" s="70" t="s">
        <v>87</v>
      </c>
      <c r="K4" s="70" t="s">
        <v>88</v>
      </c>
      <c r="L4" s="70" t="s">
        <v>89</v>
      </c>
      <c r="M4" s="70" t="s">
        <v>21</v>
      </c>
    </row>
    <row r="5" spans="2:13" ht="12.75">
      <c r="B5" s="71" t="s">
        <v>70</v>
      </c>
      <c r="C5" s="72" t="s">
        <v>74</v>
      </c>
      <c r="D5" s="73">
        <f>'2010 Dx Revenue Forecast'!D6</f>
        <v>8011.75</v>
      </c>
      <c r="E5" s="87">
        <f>'2010 Dx Revenue Forecast'!E6</f>
        <v>104754767</v>
      </c>
      <c r="F5" s="87"/>
      <c r="G5" s="92">
        <v>0.14095128439919358</v>
      </c>
      <c r="H5" s="92">
        <f>1-G5</f>
        <v>0.8590487156008064</v>
      </c>
      <c r="I5" s="93">
        <f>K5/(D5*12)</f>
        <v>20.410000000000004</v>
      </c>
      <c r="J5" s="91">
        <f>L5/E5</f>
        <v>0.11416332254345685</v>
      </c>
      <c r="K5" s="87">
        <f>G5*M5</f>
        <v>1962237.8100000005</v>
      </c>
      <c r="L5" s="87">
        <f>H5*M5</f>
        <v>11959152.25298567</v>
      </c>
      <c r="M5" s="77">
        <f>'2010 Cost Allocation Design'!F13</f>
        <v>13921390.06298567</v>
      </c>
    </row>
    <row r="6" spans="2:13" ht="12.75">
      <c r="B6" s="71" t="s">
        <v>71</v>
      </c>
      <c r="C6" s="72" t="s">
        <v>73</v>
      </c>
      <c r="D6" s="73">
        <f>'2010 Dx Revenue Forecast'!D7</f>
        <v>48</v>
      </c>
      <c r="E6" s="87"/>
      <c r="F6" s="87">
        <f>'2010 Dx Revenue Forecast'!E7</f>
        <v>151138</v>
      </c>
      <c r="G6" s="92">
        <v>0.1518713633198003</v>
      </c>
      <c r="H6" s="92">
        <f>1-G6</f>
        <v>0.8481286366801997</v>
      </c>
      <c r="I6" s="93">
        <f>K6/(D6*12)</f>
        <v>596.1199999999994</v>
      </c>
      <c r="J6" s="91">
        <f>L6/F6</f>
        <v>12.687274635826885</v>
      </c>
      <c r="K6" s="87">
        <f>G6*M6</f>
        <v>343365.11999999965</v>
      </c>
      <c r="L6" s="87">
        <f>H6*M6</f>
        <v>1917529.3139096037</v>
      </c>
      <c r="M6" s="77">
        <f>'2010 Cost Allocation Design'!F14</f>
        <v>2260894.4339096034</v>
      </c>
    </row>
    <row r="7" spans="2:13" ht="12.75">
      <c r="B7" s="78"/>
      <c r="C7" s="78"/>
      <c r="D7" s="78"/>
      <c r="E7" s="78"/>
      <c r="F7" s="78"/>
      <c r="G7" s="78"/>
      <c r="H7" s="78"/>
      <c r="I7" s="78"/>
      <c r="J7" s="78"/>
      <c r="K7" s="79">
        <f>SUM(K5:K6)</f>
        <v>2305602.93</v>
      </c>
      <c r="L7" s="79">
        <f>SUM(L5:L6)</f>
        <v>13876681.566895273</v>
      </c>
      <c r="M7" s="79">
        <f>SUM(M5:M6)</f>
        <v>16182284.496895272</v>
      </c>
    </row>
    <row r="8" spans="2:13" ht="12.75"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2:13" ht="12.75">
      <c r="B9" s="141" t="s">
        <v>165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2:13" ht="12.75">
      <c r="B10" s="141" t="s">
        <v>169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2:13" ht="12.75">
      <c r="B11" s="161" t="s">
        <v>172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3"/>
      <c r="M11" s="96">
        <v>0.055</v>
      </c>
    </row>
    <row r="12" spans="2:13" ht="12.75">
      <c r="B12" s="145" t="s">
        <v>81</v>
      </c>
      <c r="C12" s="145" t="s">
        <v>82</v>
      </c>
      <c r="D12" s="159" t="s">
        <v>83</v>
      </c>
      <c r="E12" s="141" t="s">
        <v>84</v>
      </c>
      <c r="F12" s="141"/>
      <c r="G12" s="141" t="s">
        <v>95</v>
      </c>
      <c r="H12" s="141"/>
      <c r="I12" s="141" t="s">
        <v>92</v>
      </c>
      <c r="J12" s="141"/>
      <c r="K12" s="141" t="s">
        <v>85</v>
      </c>
      <c r="L12" s="141"/>
      <c r="M12" s="141"/>
    </row>
    <row r="13" spans="2:13" ht="38.25">
      <c r="B13" s="145"/>
      <c r="C13" s="145"/>
      <c r="D13" s="159"/>
      <c r="E13" s="69" t="s">
        <v>74</v>
      </c>
      <c r="F13" s="69" t="s">
        <v>73</v>
      </c>
      <c r="G13" s="70" t="s">
        <v>90</v>
      </c>
      <c r="H13" s="70" t="s">
        <v>91</v>
      </c>
      <c r="I13" s="70" t="s">
        <v>86</v>
      </c>
      <c r="J13" s="70" t="s">
        <v>87</v>
      </c>
      <c r="K13" s="70" t="s">
        <v>88</v>
      </c>
      <c r="L13" s="70" t="s">
        <v>89</v>
      </c>
      <c r="M13" s="70" t="s">
        <v>21</v>
      </c>
    </row>
    <row r="14" spans="2:13" ht="12.75">
      <c r="B14" s="71" t="s">
        <v>70</v>
      </c>
      <c r="C14" s="72" t="s">
        <v>74</v>
      </c>
      <c r="D14" s="73">
        <f>D5</f>
        <v>8011.75</v>
      </c>
      <c r="E14" s="87">
        <f>E5</f>
        <v>104754767</v>
      </c>
      <c r="F14" s="87"/>
      <c r="G14" s="92">
        <f>K14/M14</f>
        <v>0.39491978966817326</v>
      </c>
      <c r="H14" s="92">
        <f>L14/M14</f>
        <v>0.6050802103318266</v>
      </c>
      <c r="I14" s="93">
        <f>'Tariff Sheet'!D6*(1+M11)</f>
        <v>21.53255</v>
      </c>
      <c r="J14" s="91">
        <f>'Tariff Sheet'!D7*(1+'2010 RRRP Determination'!M11)</f>
        <v>0.030278499999999996</v>
      </c>
      <c r="K14" s="87">
        <f>D14*I14*12</f>
        <v>2070160.88955</v>
      </c>
      <c r="L14" s="87">
        <f>J14*E14</f>
        <v>3171817.2126094997</v>
      </c>
      <c r="M14" s="77">
        <f>K14+L14</f>
        <v>5241978.1021595</v>
      </c>
    </row>
    <row r="15" spans="2:13" ht="12.75">
      <c r="B15" s="71" t="s">
        <v>71</v>
      </c>
      <c r="C15" s="72" t="s">
        <v>73</v>
      </c>
      <c r="D15" s="73">
        <f>D6</f>
        <v>48</v>
      </c>
      <c r="E15" s="87"/>
      <c r="F15" s="87">
        <f>F6</f>
        <v>151138</v>
      </c>
      <c r="G15" s="92">
        <f>K15/M15</f>
        <v>0.48063844034820297</v>
      </c>
      <c r="H15" s="92">
        <f>L15/M15</f>
        <v>0.519361559651797</v>
      </c>
      <c r="I15" s="93">
        <f>'Tariff Sheet'!D10*(1+M11)</f>
        <v>628.9065999999999</v>
      </c>
      <c r="J15" s="91">
        <f>'Tariff Sheet'!D11*(1+'2010 RRRP Determination'!M11)</f>
        <v>2.5899194999999997</v>
      </c>
      <c r="K15" s="87">
        <f>D15*I15*12</f>
        <v>362250.2016</v>
      </c>
      <c r="L15" s="87">
        <f>J15*F15</f>
        <v>391435.253391</v>
      </c>
      <c r="M15" s="77">
        <f>K15+L15</f>
        <v>753685.454991</v>
      </c>
    </row>
    <row r="16" spans="2:13" ht="12.75">
      <c r="B16" s="78"/>
      <c r="C16" s="78"/>
      <c r="D16" s="78"/>
      <c r="E16" s="78"/>
      <c r="F16" s="78"/>
      <c r="G16" s="78"/>
      <c r="H16" s="78"/>
      <c r="I16" s="78"/>
      <c r="J16" s="78"/>
      <c r="K16" s="79">
        <f>SUM(K14:K15)</f>
        <v>2432411.0911499998</v>
      </c>
      <c r="L16" s="79">
        <f>SUM(L14:L15)</f>
        <v>3563252.4660004997</v>
      </c>
      <c r="M16" s="79">
        <f>SUM(M14:M15)</f>
        <v>5995663.5571505</v>
      </c>
    </row>
    <row r="17" spans="2:13" ht="12.75">
      <c r="B17" s="156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8"/>
    </row>
    <row r="18" spans="2:13" ht="12.75">
      <c r="B18" s="160" t="s">
        <v>166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97">
        <f>M7-M16</f>
        <v>10186620.939744772</v>
      </c>
    </row>
  </sheetData>
  <mergeCells count="21">
    <mergeCell ref="B11:L11"/>
    <mergeCell ref="G3:H3"/>
    <mergeCell ref="B18:L18"/>
    <mergeCell ref="B17:M17"/>
    <mergeCell ref="B9:M9"/>
    <mergeCell ref="B12:B13"/>
    <mergeCell ref="C12:C13"/>
    <mergeCell ref="D12:D13"/>
    <mergeCell ref="E12:F12"/>
    <mergeCell ref="G12:H12"/>
    <mergeCell ref="I12:J12"/>
    <mergeCell ref="B8:M8"/>
    <mergeCell ref="K12:M12"/>
    <mergeCell ref="B10:M10"/>
    <mergeCell ref="B2:M2"/>
    <mergeCell ref="B3:B4"/>
    <mergeCell ref="C3:C4"/>
    <mergeCell ref="D3:D4"/>
    <mergeCell ref="E3:F3"/>
    <mergeCell ref="I3:J3"/>
    <mergeCell ref="K3:M3"/>
  </mergeCells>
  <printOptions/>
  <pageMargins left="0.75" right="0.75" top="1" bottom="1" header="0.5" footer="0.5"/>
  <pageSetup fitToHeight="1" fitToWidth="1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3.421875" style="0" customWidth="1"/>
    <col min="2" max="2" width="15.28125" style="0" bestFit="1" customWidth="1"/>
    <col min="3" max="3" width="6.421875" style="0" customWidth="1"/>
    <col min="4" max="4" width="10.140625" style="0" customWidth="1"/>
    <col min="5" max="5" width="12.28125" style="0" bestFit="1" customWidth="1"/>
    <col min="6" max="6" width="8.7109375" style="0" bestFit="1" customWidth="1"/>
    <col min="7" max="8" width="10.140625" style="0" bestFit="1" customWidth="1"/>
    <col min="9" max="9" width="9.28125" style="0" bestFit="1" customWidth="1"/>
    <col min="10" max="10" width="8.7109375" style="0" bestFit="1" customWidth="1"/>
    <col min="11" max="11" width="10.28125" style="0" bestFit="1" customWidth="1"/>
    <col min="12" max="13" width="12.28125" style="0" bestFit="1" customWidth="1"/>
  </cols>
  <sheetData>
    <row r="2" spans="2:13" ht="12.75">
      <c r="B2" s="141" t="s">
        <v>167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ht="12.75">
      <c r="B3" s="145" t="s">
        <v>81</v>
      </c>
      <c r="C3" s="145" t="s">
        <v>82</v>
      </c>
      <c r="D3" s="159" t="s">
        <v>83</v>
      </c>
      <c r="E3" s="141" t="s">
        <v>84</v>
      </c>
      <c r="F3" s="141"/>
      <c r="G3" s="141" t="s">
        <v>95</v>
      </c>
      <c r="H3" s="141"/>
      <c r="I3" s="141" t="s">
        <v>92</v>
      </c>
      <c r="J3" s="141"/>
      <c r="K3" s="141" t="s">
        <v>85</v>
      </c>
      <c r="L3" s="141"/>
      <c r="M3" s="141"/>
    </row>
    <row r="4" spans="2:13" ht="38.25">
      <c r="B4" s="145"/>
      <c r="C4" s="145"/>
      <c r="D4" s="159"/>
      <c r="E4" s="69" t="s">
        <v>74</v>
      </c>
      <c r="F4" s="69" t="s">
        <v>73</v>
      </c>
      <c r="G4" s="70" t="s">
        <v>90</v>
      </c>
      <c r="H4" s="70" t="s">
        <v>91</v>
      </c>
      <c r="I4" s="70" t="s">
        <v>86</v>
      </c>
      <c r="J4" s="70" t="s">
        <v>87</v>
      </c>
      <c r="K4" s="70" t="s">
        <v>88</v>
      </c>
      <c r="L4" s="70" t="s">
        <v>89</v>
      </c>
      <c r="M4" s="70" t="s">
        <v>21</v>
      </c>
    </row>
    <row r="5" spans="2:13" ht="12.75">
      <c r="B5" s="71" t="s">
        <v>70</v>
      </c>
      <c r="C5" s="72" t="s">
        <v>74</v>
      </c>
      <c r="D5" s="73">
        <f>'2011 Dx Revenue Forecast'!D6</f>
        <v>8038.583333333333</v>
      </c>
      <c r="E5" s="87">
        <f>'2011 Dx Revenue Forecast'!E6</f>
        <v>106119297</v>
      </c>
      <c r="F5" s="87"/>
      <c r="G5" s="92">
        <v>0.13460537923502675</v>
      </c>
      <c r="H5" s="92">
        <f>1-G5</f>
        <v>0.8653946207649732</v>
      </c>
      <c r="I5" s="93">
        <f>K5/(D5*12)</f>
        <v>20.410000000000004</v>
      </c>
      <c r="J5" s="91">
        <f>L5/E5</f>
        <v>0.11927822842977427</v>
      </c>
      <c r="K5" s="87">
        <f>G5*M5</f>
        <v>1968809.8300000003</v>
      </c>
      <c r="L5" s="87">
        <f>H5*M5</f>
        <v>12657721.74837306</v>
      </c>
      <c r="M5" s="77">
        <f>'2011 Cost Allocation Design'!F13</f>
        <v>14626531.578373061</v>
      </c>
    </row>
    <row r="6" spans="2:13" ht="12.75">
      <c r="B6" s="71" t="s">
        <v>71</v>
      </c>
      <c r="C6" s="72" t="s">
        <v>73</v>
      </c>
      <c r="D6" s="73">
        <f>'2011 Dx Revenue Forecast'!D7</f>
        <v>48</v>
      </c>
      <c r="E6" s="87"/>
      <c r="F6" s="87">
        <f>'2011 Dx Revenue Forecast'!E7</f>
        <v>151952</v>
      </c>
      <c r="G6" s="92">
        <v>0.10944675440200244</v>
      </c>
      <c r="H6" s="92">
        <f>1-G6</f>
        <v>0.8905532455979975</v>
      </c>
      <c r="I6" s="93">
        <f>K6/(D6*12)</f>
        <v>596.1200000000001</v>
      </c>
      <c r="J6" s="91">
        <f>L6/F6</f>
        <v>18.386825695062974</v>
      </c>
      <c r="K6" s="87">
        <f>G6*M6</f>
        <v>343365.12000000005</v>
      </c>
      <c r="L6" s="87">
        <f>H6*M6</f>
        <v>2793914.9380162093</v>
      </c>
      <c r="M6" s="77">
        <f>'2011 Cost Allocation Design'!F14</f>
        <v>3137280.0580162094</v>
      </c>
    </row>
    <row r="7" spans="2:13" ht="12.75">
      <c r="B7" s="78"/>
      <c r="C7" s="78"/>
      <c r="D7" s="78"/>
      <c r="E7" s="78"/>
      <c r="F7" s="78"/>
      <c r="G7" s="78"/>
      <c r="H7" s="78"/>
      <c r="I7" s="78"/>
      <c r="J7" s="78"/>
      <c r="K7" s="79">
        <f>SUM(K5:K6)</f>
        <v>2312174.95</v>
      </c>
      <c r="L7" s="79">
        <f>SUM(L5:L6)</f>
        <v>15451636.68638927</v>
      </c>
      <c r="M7" s="79">
        <f>SUM(M5:M6)</f>
        <v>17763811.63638927</v>
      </c>
    </row>
    <row r="8" spans="2:13" ht="12.75"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2:13" ht="12.75">
      <c r="B9" s="141" t="s">
        <v>165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2:13" ht="12.75" customHeight="1">
      <c r="B10" s="141" t="s">
        <v>169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2:13" ht="12.75">
      <c r="B11" s="161" t="s">
        <v>173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3"/>
      <c r="M11" s="96">
        <v>0.02</v>
      </c>
    </row>
    <row r="12" spans="2:13" ht="12.75">
      <c r="B12" s="145" t="s">
        <v>81</v>
      </c>
      <c r="C12" s="145" t="s">
        <v>82</v>
      </c>
      <c r="D12" s="159" t="s">
        <v>83</v>
      </c>
      <c r="E12" s="141" t="s">
        <v>84</v>
      </c>
      <c r="F12" s="141"/>
      <c r="G12" s="141" t="s">
        <v>95</v>
      </c>
      <c r="H12" s="141"/>
      <c r="I12" s="141" t="s">
        <v>92</v>
      </c>
      <c r="J12" s="141"/>
      <c r="K12" s="141" t="s">
        <v>85</v>
      </c>
      <c r="L12" s="141"/>
      <c r="M12" s="141"/>
    </row>
    <row r="13" spans="2:13" ht="38.25">
      <c r="B13" s="145"/>
      <c r="C13" s="145"/>
      <c r="D13" s="159"/>
      <c r="E13" s="69" t="s">
        <v>74</v>
      </c>
      <c r="F13" s="69" t="s">
        <v>73</v>
      </c>
      <c r="G13" s="70" t="s">
        <v>90</v>
      </c>
      <c r="H13" s="70" t="s">
        <v>91</v>
      </c>
      <c r="I13" s="70" t="s">
        <v>86</v>
      </c>
      <c r="J13" s="70" t="s">
        <v>87</v>
      </c>
      <c r="K13" s="70" t="s">
        <v>88</v>
      </c>
      <c r="L13" s="70" t="s">
        <v>89</v>
      </c>
      <c r="M13" s="70" t="s">
        <v>21</v>
      </c>
    </row>
    <row r="14" spans="2:13" ht="12.75">
      <c r="B14" s="71" t="s">
        <v>70</v>
      </c>
      <c r="C14" s="72" t="s">
        <v>74</v>
      </c>
      <c r="D14" s="73">
        <f>D5</f>
        <v>8038.583333333333</v>
      </c>
      <c r="E14" s="87">
        <f>E5</f>
        <v>106119297</v>
      </c>
      <c r="F14" s="87"/>
      <c r="G14" s="92">
        <f>K14/M14</f>
        <v>0.3926285530707439</v>
      </c>
      <c r="H14" s="92">
        <f>L14/M14</f>
        <v>0.6073714469292562</v>
      </c>
      <c r="I14" s="93">
        <f>'Tariff Sheet'!D6*(1+'2010 RRRP Determination'!M11)*(1+'2011 RRRP Determination'!M11)</f>
        <v>21.963201</v>
      </c>
      <c r="J14" s="91">
        <f>'Tariff Sheet'!D7*(1+'2010 RRRP Determination'!M11)*(1+'2011 RRRP Determination'!M11)</f>
        <v>0.030884069999999996</v>
      </c>
      <c r="K14" s="87">
        <f>D14*I14*12</f>
        <v>2118636.258063</v>
      </c>
      <c r="L14" s="87">
        <f>J14*E14</f>
        <v>3277395.7968987897</v>
      </c>
      <c r="M14" s="77">
        <f>K14+L14</f>
        <v>5396032.054961789</v>
      </c>
    </row>
    <row r="15" spans="2:13" ht="12.75">
      <c r="B15" s="71" t="s">
        <v>71</v>
      </c>
      <c r="C15" s="72" t="s">
        <v>73</v>
      </c>
      <c r="D15" s="73">
        <f>D6</f>
        <v>48</v>
      </c>
      <c r="E15" s="87"/>
      <c r="F15" s="87">
        <f>F6</f>
        <v>151952</v>
      </c>
      <c r="G15" s="92">
        <f>K15/M15</f>
        <v>0.47929775786936496</v>
      </c>
      <c r="H15" s="92">
        <f>L15/M15</f>
        <v>0.520702242130635</v>
      </c>
      <c r="I15" s="93">
        <f>'Tariff Sheet'!D10*(1+'2010 RRRP Determination'!M11)*(1+'2011 RRRP Determination'!M11)</f>
        <v>641.4847319999999</v>
      </c>
      <c r="J15" s="91">
        <f>'Tariff Sheet'!D11*(1+'2010 RRRP Determination'!M11)*(1+'2011 RRRP Determination'!M11)</f>
        <v>2.64171789</v>
      </c>
      <c r="K15" s="87">
        <f>D15*I15*12</f>
        <v>369495.20563199994</v>
      </c>
      <c r="L15" s="87">
        <f>J15*F15</f>
        <v>401414.31682128</v>
      </c>
      <c r="M15" s="77">
        <f>K15+L15</f>
        <v>770909.5224532799</v>
      </c>
    </row>
    <row r="16" spans="2:13" ht="12.75">
      <c r="B16" s="78"/>
      <c r="C16" s="78"/>
      <c r="D16" s="78"/>
      <c r="E16" s="78"/>
      <c r="F16" s="78"/>
      <c r="G16" s="78"/>
      <c r="H16" s="78"/>
      <c r="I16" s="78"/>
      <c r="J16" s="78"/>
      <c r="K16" s="79">
        <f>SUM(K14:K15)</f>
        <v>2488131.463695</v>
      </c>
      <c r="L16" s="79">
        <f>SUM(L14:L15)</f>
        <v>3678810.1137200696</v>
      </c>
      <c r="M16" s="79">
        <f>SUM(M14:M15)</f>
        <v>6166941.57741507</v>
      </c>
    </row>
    <row r="17" spans="2:13" ht="12.7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2:13" ht="12.75">
      <c r="B18" s="160" t="s">
        <v>168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97">
        <f>M7-M16</f>
        <v>11596870.0589742</v>
      </c>
    </row>
  </sheetData>
  <mergeCells count="20">
    <mergeCell ref="C12:C13"/>
    <mergeCell ref="D12:D13"/>
    <mergeCell ref="E12:F12"/>
    <mergeCell ref="B2:M2"/>
    <mergeCell ref="B3:B4"/>
    <mergeCell ref="C3:C4"/>
    <mergeCell ref="D3:D4"/>
    <mergeCell ref="E3:F3"/>
    <mergeCell ref="I3:J3"/>
    <mergeCell ref="K3:M3"/>
    <mergeCell ref="G3:H3"/>
    <mergeCell ref="B9:M9"/>
    <mergeCell ref="B18:L18"/>
    <mergeCell ref="B8:M8"/>
    <mergeCell ref="G12:H12"/>
    <mergeCell ref="I12:J12"/>
    <mergeCell ref="K12:M12"/>
    <mergeCell ref="B10:M10"/>
    <mergeCell ref="B11:L11"/>
    <mergeCell ref="B12:B13"/>
  </mergeCells>
  <printOptions/>
  <pageMargins left="0.75" right="0.75" top="1" bottom="1" header="0.5" footer="0.5"/>
  <pageSetup fitToHeight="1" fitToWidth="1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1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4.57421875" style="0" customWidth="1"/>
    <col min="2" max="2" width="15.28125" style="0" bestFit="1" customWidth="1"/>
    <col min="3" max="3" width="6.421875" style="0" customWidth="1"/>
    <col min="4" max="4" width="10.140625" style="0" customWidth="1"/>
    <col min="5" max="5" width="12.28125" style="0" bestFit="1" customWidth="1"/>
    <col min="6" max="6" width="8.7109375" style="0" bestFit="1" customWidth="1"/>
    <col min="7" max="8" width="10.140625" style="0" bestFit="1" customWidth="1"/>
    <col min="9" max="9" width="9.28125" style="0" bestFit="1" customWidth="1"/>
    <col min="10" max="10" width="8.7109375" style="0" bestFit="1" customWidth="1"/>
    <col min="11" max="11" width="10.28125" style="0" bestFit="1" customWidth="1"/>
    <col min="12" max="13" width="11.28125" style="0" bestFit="1" customWidth="1"/>
  </cols>
  <sheetData>
    <row r="2" spans="2:13" ht="12.75">
      <c r="B2" s="141" t="s">
        <v>163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ht="12.75">
      <c r="B3" s="145" t="s">
        <v>81</v>
      </c>
      <c r="C3" s="145" t="s">
        <v>82</v>
      </c>
      <c r="D3" s="159" t="s">
        <v>83</v>
      </c>
      <c r="E3" s="141" t="s">
        <v>84</v>
      </c>
      <c r="F3" s="141"/>
      <c r="G3" s="142" t="s">
        <v>95</v>
      </c>
      <c r="H3" s="144"/>
      <c r="I3" s="141" t="s">
        <v>92</v>
      </c>
      <c r="J3" s="141"/>
      <c r="K3" s="141" t="s">
        <v>85</v>
      </c>
      <c r="L3" s="141"/>
      <c r="M3" s="141"/>
    </row>
    <row r="4" spans="2:13" ht="38.25">
      <c r="B4" s="145"/>
      <c r="C4" s="145"/>
      <c r="D4" s="159"/>
      <c r="E4" s="69" t="s">
        <v>74</v>
      </c>
      <c r="F4" s="69" t="s">
        <v>73</v>
      </c>
      <c r="G4" s="70" t="s">
        <v>90</v>
      </c>
      <c r="H4" s="70" t="s">
        <v>91</v>
      </c>
      <c r="I4" s="70" t="s">
        <v>86</v>
      </c>
      <c r="J4" s="70" t="s">
        <v>87</v>
      </c>
      <c r="K4" s="70" t="s">
        <v>88</v>
      </c>
      <c r="L4" s="70" t="s">
        <v>89</v>
      </c>
      <c r="M4" s="70" t="s">
        <v>21</v>
      </c>
    </row>
    <row r="5" spans="2:13" ht="12.75">
      <c r="B5" s="71" t="s">
        <v>16</v>
      </c>
      <c r="C5" s="72" t="s">
        <v>74</v>
      </c>
      <c r="D5" s="73">
        <f>'2010 Dx Revenue Forecast'!D9</f>
        <v>3649.1666666666665</v>
      </c>
      <c r="E5" s="87">
        <f>'2010 Dx Revenue Forecast'!E9</f>
        <v>12459994</v>
      </c>
      <c r="F5" s="87"/>
      <c r="G5" s="92">
        <v>0.4593299245774052</v>
      </c>
      <c r="H5" s="92">
        <f>1-G5</f>
        <v>0.5406700754225948</v>
      </c>
      <c r="I5" s="93">
        <f>K5/(D5*12)</f>
        <v>23.99999999999999</v>
      </c>
      <c r="J5" s="91">
        <f>L5/E5</f>
        <v>0.09928324128455793</v>
      </c>
      <c r="K5" s="87">
        <f>G5*M5</f>
        <v>1050959.9999999995</v>
      </c>
      <c r="L5" s="87">
        <f>H5*M5</f>
        <v>1237068.590706144</v>
      </c>
      <c r="M5" s="77">
        <f>'2010 Cost Allocation Design'!F15</f>
        <v>2288028.5907061435</v>
      </c>
    </row>
    <row r="6" spans="2:13" ht="12.75">
      <c r="B6" s="71" t="s">
        <v>72</v>
      </c>
      <c r="C6" s="72" t="s">
        <v>74</v>
      </c>
      <c r="D6" s="73">
        <f>'2010 Dx Revenue Forecast'!D10</f>
        <v>1052</v>
      </c>
      <c r="E6" s="87">
        <f>'2010 Dx Revenue Forecast'!E10</f>
        <v>791996</v>
      </c>
      <c r="F6" s="87"/>
      <c r="G6" s="92">
        <v>0.10786459260727192</v>
      </c>
      <c r="H6" s="92">
        <f>1-G6</f>
        <v>0.8921354073927281</v>
      </c>
      <c r="I6" s="93">
        <f>K6/(D6*12)</f>
        <v>0.98</v>
      </c>
      <c r="J6" s="91">
        <f>L6/E6</f>
        <v>0.12919685503283346</v>
      </c>
      <c r="K6" s="87">
        <f>G6*M6</f>
        <v>12371.52</v>
      </c>
      <c r="L6" s="87">
        <f>H6*M6</f>
        <v>102323.39239858396</v>
      </c>
      <c r="M6" s="77">
        <f>'2010 Cost Allocation Design'!F16</f>
        <v>114694.91239858395</v>
      </c>
    </row>
    <row r="7" spans="2:13" ht="12.75">
      <c r="B7" s="78"/>
      <c r="C7" s="78"/>
      <c r="D7" s="78"/>
      <c r="E7" s="78"/>
      <c r="F7" s="78"/>
      <c r="G7" s="78"/>
      <c r="H7" s="78"/>
      <c r="I7" s="78"/>
      <c r="J7" s="78"/>
      <c r="K7" s="79">
        <f>SUM(K5:K6)</f>
        <v>1063331.5199999996</v>
      </c>
      <c r="L7" s="79">
        <f>SUM(L5:L6)</f>
        <v>1339391.983104728</v>
      </c>
      <c r="M7" s="79">
        <f>SUM(M5:M6)</f>
        <v>2402723.5031047277</v>
      </c>
    </row>
    <row r="9" ht="12.75">
      <c r="M9" s="80"/>
    </row>
    <row r="10" ht="12.75">
      <c r="B10" s="82" t="s">
        <v>174</v>
      </c>
    </row>
    <row r="11" spans="2:7" ht="12.75">
      <c r="B11" t="s">
        <v>175</v>
      </c>
      <c r="F11" s="99">
        <f>'Forecast Data'!J17/12</f>
        <v>284.1633369823025</v>
      </c>
      <c r="G11" t="s">
        <v>74</v>
      </c>
    </row>
    <row r="12" spans="2:6" ht="12.75">
      <c r="B12" t="s">
        <v>176</v>
      </c>
      <c r="F12" s="98">
        <f>I5+(J5*F11)</f>
        <v>52.212657149839075</v>
      </c>
    </row>
    <row r="13" spans="2:6" ht="12.75">
      <c r="B13" t="s">
        <v>178</v>
      </c>
      <c r="F13" s="98">
        <f>'Tariff Sheet'!D14+('Tariff Sheet'!D15*'2010 Non-RRRP Rate Design'!F11)</f>
        <v>43.891433588761174</v>
      </c>
    </row>
    <row r="14" spans="2:6" ht="12.75">
      <c r="B14" t="s">
        <v>177</v>
      </c>
      <c r="F14" s="100">
        <f>(F12-F13)/F13</f>
        <v>0.18958650653891218</v>
      </c>
    </row>
    <row r="17" ht="12.75">
      <c r="B17" s="101" t="s">
        <v>72</v>
      </c>
    </row>
    <row r="18" spans="2:7" ht="12.75">
      <c r="B18" t="s">
        <v>175</v>
      </c>
      <c r="F18" s="99">
        <f>'Forecast Data'!J33/12</f>
        <v>192</v>
      </c>
      <c r="G18" t="s">
        <v>74</v>
      </c>
    </row>
    <row r="19" spans="2:6" ht="12.75">
      <c r="B19" t="s">
        <v>176</v>
      </c>
      <c r="F19" s="98">
        <f>I6+(J6*F18)</f>
        <v>25.785796166304024</v>
      </c>
    </row>
    <row r="20" spans="2:6" ht="12.75">
      <c r="B20" t="s">
        <v>178</v>
      </c>
      <c r="F20" s="98">
        <f>'Tariff Sheet'!D18+('Tariff Sheet'!D19*'2010 Non-RRRP Rate Design'!F18)</f>
        <v>9.5232</v>
      </c>
    </row>
    <row r="21" spans="2:6" ht="12.75">
      <c r="B21" t="s">
        <v>177</v>
      </c>
      <c r="F21" s="100">
        <f>(F19-F20)/F20</f>
        <v>1.7076818891028254</v>
      </c>
    </row>
  </sheetData>
  <mergeCells count="8">
    <mergeCell ref="B2:M2"/>
    <mergeCell ref="B3:B4"/>
    <mergeCell ref="C3:C4"/>
    <mergeCell ref="D3:D4"/>
    <mergeCell ref="E3:F3"/>
    <mergeCell ref="I3:J3"/>
    <mergeCell ref="K3:M3"/>
    <mergeCell ref="G3:H3"/>
  </mergeCells>
  <printOptions/>
  <pageMargins left="0.75" right="0.75" top="1" bottom="1" header="0.5" footer="0.5"/>
  <pageSetup fitToHeight="1" fitToWidth="1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1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4.140625" style="0" customWidth="1"/>
    <col min="2" max="2" width="15.28125" style="0" bestFit="1" customWidth="1"/>
    <col min="3" max="3" width="6.421875" style="0" customWidth="1"/>
    <col min="4" max="4" width="10.140625" style="0" customWidth="1"/>
    <col min="5" max="5" width="12.28125" style="0" bestFit="1" customWidth="1"/>
    <col min="6" max="6" width="8.7109375" style="0" bestFit="1" customWidth="1"/>
    <col min="7" max="8" width="10.140625" style="0" bestFit="1" customWidth="1"/>
    <col min="9" max="9" width="9.28125" style="0" bestFit="1" customWidth="1"/>
    <col min="10" max="10" width="8.7109375" style="0" bestFit="1" customWidth="1"/>
    <col min="11" max="11" width="10.28125" style="0" bestFit="1" customWidth="1"/>
    <col min="12" max="13" width="11.28125" style="0" bestFit="1" customWidth="1"/>
  </cols>
  <sheetData>
    <row r="2" spans="2:13" ht="12.75">
      <c r="B2" s="141" t="s">
        <v>167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ht="12.75">
      <c r="B3" s="145" t="s">
        <v>81</v>
      </c>
      <c r="C3" s="145" t="s">
        <v>82</v>
      </c>
      <c r="D3" s="159" t="s">
        <v>83</v>
      </c>
      <c r="E3" s="141" t="s">
        <v>84</v>
      </c>
      <c r="F3" s="141"/>
      <c r="G3" s="142" t="s">
        <v>95</v>
      </c>
      <c r="H3" s="144"/>
      <c r="I3" s="141" t="s">
        <v>92</v>
      </c>
      <c r="J3" s="141"/>
      <c r="K3" s="141" t="s">
        <v>85</v>
      </c>
      <c r="L3" s="141"/>
      <c r="M3" s="141"/>
    </row>
    <row r="4" spans="2:13" ht="38.25">
      <c r="B4" s="145"/>
      <c r="C4" s="145"/>
      <c r="D4" s="159"/>
      <c r="E4" s="69" t="s">
        <v>74</v>
      </c>
      <c r="F4" s="69" t="s">
        <v>73</v>
      </c>
      <c r="G4" s="70" t="s">
        <v>90</v>
      </c>
      <c r="H4" s="70" t="s">
        <v>91</v>
      </c>
      <c r="I4" s="70" t="s">
        <v>86</v>
      </c>
      <c r="J4" s="70" t="s">
        <v>87</v>
      </c>
      <c r="K4" s="70" t="s">
        <v>88</v>
      </c>
      <c r="L4" s="70" t="s">
        <v>89</v>
      </c>
      <c r="M4" s="70" t="s">
        <v>21</v>
      </c>
    </row>
    <row r="5" spans="2:13" ht="12.75">
      <c r="B5" s="71" t="s">
        <v>16</v>
      </c>
      <c r="C5" s="72" t="s">
        <v>74</v>
      </c>
      <c r="D5" s="73">
        <f>'2011 Dx Revenue Forecast'!D9</f>
        <v>3659.75</v>
      </c>
      <c r="E5" s="87">
        <f>'2011 Dx Revenue Forecast'!E9</f>
        <v>12622297</v>
      </c>
      <c r="F5" s="87"/>
      <c r="G5" s="92">
        <v>0.4949016833120723</v>
      </c>
      <c r="H5" s="92">
        <f>1-G5</f>
        <v>0.5050983166879277</v>
      </c>
      <c r="I5" s="93">
        <f>K5/(D5*12)</f>
        <v>24</v>
      </c>
      <c r="J5" s="91">
        <f>L5/E5</f>
        <v>0.08522411549861605</v>
      </c>
      <c r="K5" s="87">
        <f>G5*M5</f>
        <v>1054008</v>
      </c>
      <c r="L5" s="87">
        <f>H5*M5</f>
        <v>1075724.097385835</v>
      </c>
      <c r="M5" s="77">
        <f>'2011 Cost Allocation Design'!F15</f>
        <v>2129732.097385835</v>
      </c>
    </row>
    <row r="6" spans="2:13" ht="12.75">
      <c r="B6" s="71" t="s">
        <v>72</v>
      </c>
      <c r="C6" s="72" t="s">
        <v>74</v>
      </c>
      <c r="D6" s="73">
        <f>'2011 Dx Revenue Forecast'!D10</f>
        <v>1052</v>
      </c>
      <c r="E6" s="87">
        <f>'2011 Dx Revenue Forecast'!E10</f>
        <v>791996</v>
      </c>
      <c r="F6" s="87"/>
      <c r="G6" s="92">
        <v>0.07232454907115994</v>
      </c>
      <c r="H6" s="92">
        <f>1-G6</f>
        <v>0.9276754509288401</v>
      </c>
      <c r="I6" s="93">
        <f>K6/(D6*12)</f>
        <v>1.08</v>
      </c>
      <c r="J6" s="91">
        <f>L6/E6</f>
        <v>0.22080458263033803</v>
      </c>
      <c r="K6" s="87">
        <f>G6*M6</f>
        <v>13633.92</v>
      </c>
      <c r="L6" s="87">
        <f>H6*M6</f>
        <v>174876.3462248972</v>
      </c>
      <c r="M6" s="77">
        <f>'2011 Cost Allocation Design'!F16</f>
        <v>188510.26622489718</v>
      </c>
    </row>
    <row r="7" spans="2:13" ht="12.75">
      <c r="B7" s="78"/>
      <c r="C7" s="78"/>
      <c r="D7" s="78"/>
      <c r="E7" s="78"/>
      <c r="F7" s="78"/>
      <c r="G7" s="78"/>
      <c r="H7" s="78"/>
      <c r="I7" s="78"/>
      <c r="J7" s="78"/>
      <c r="K7" s="79">
        <f>SUM(K5:K6)</f>
        <v>1067641.92</v>
      </c>
      <c r="L7" s="79">
        <f>SUM(L5:L6)</f>
        <v>1250600.443610732</v>
      </c>
      <c r="M7" s="79">
        <f>SUM(M5:M6)</f>
        <v>2318242.363610732</v>
      </c>
    </row>
    <row r="9" ht="12.75">
      <c r="M9" s="80"/>
    </row>
    <row r="10" ht="12.75">
      <c r="B10" s="82" t="s">
        <v>174</v>
      </c>
    </row>
    <row r="11" spans="2:7" ht="12.75">
      <c r="B11" t="s">
        <v>175</v>
      </c>
      <c r="F11" s="99">
        <f>'Forecast Data'!K17/12</f>
        <v>287.0008412914961</v>
      </c>
      <c r="G11" t="s">
        <v>74</v>
      </c>
    </row>
    <row r="12" spans="2:6" ht="12.75">
      <c r="B12" t="s">
        <v>176</v>
      </c>
      <c r="F12" s="98">
        <f>I5+(J5*F11)</f>
        <v>48.45939284642644</v>
      </c>
    </row>
    <row r="13" spans="2:6" ht="12.75">
      <c r="B13" t="s">
        <v>179</v>
      </c>
      <c r="F13" s="98">
        <f>'2010 Non-RRRP Rate Design'!F12</f>
        <v>52.212657149839075</v>
      </c>
    </row>
    <row r="14" spans="2:6" ht="12.75">
      <c r="B14" t="s">
        <v>177</v>
      </c>
      <c r="F14" s="100">
        <f>(F12-F13)/F13</f>
        <v>-0.0718841849523493</v>
      </c>
    </row>
    <row r="17" ht="12.75">
      <c r="B17" s="101" t="s">
        <v>72</v>
      </c>
    </row>
    <row r="18" spans="2:7" ht="12.75">
      <c r="B18" t="s">
        <v>175</v>
      </c>
      <c r="F18" s="99">
        <f>'Forecast Data'!K33/12</f>
        <v>192</v>
      </c>
      <c r="G18" t="s">
        <v>74</v>
      </c>
    </row>
    <row r="19" spans="2:6" ht="12.75">
      <c r="B19" t="s">
        <v>176</v>
      </c>
      <c r="F19" s="98">
        <f>I6+(J6*F18)</f>
        <v>43.474479865024904</v>
      </c>
    </row>
    <row r="20" spans="2:6" ht="12.75">
      <c r="B20" t="s">
        <v>179</v>
      </c>
      <c r="F20" s="98">
        <f>'2010 Non-RRRP Rate Design'!F19</f>
        <v>25.785796166304024</v>
      </c>
    </row>
    <row r="21" spans="2:6" ht="12.75">
      <c r="B21" t="s">
        <v>177</v>
      </c>
      <c r="F21" s="100">
        <f>(F19-F20)/F20</f>
        <v>0.6859855551730387</v>
      </c>
    </row>
  </sheetData>
  <mergeCells count="8">
    <mergeCell ref="B2:M2"/>
    <mergeCell ref="B3:B4"/>
    <mergeCell ref="C3:C4"/>
    <mergeCell ref="D3:D4"/>
    <mergeCell ref="E3:F3"/>
    <mergeCell ref="I3:J3"/>
    <mergeCell ref="K3:M3"/>
    <mergeCell ref="G3:H3"/>
  </mergeCells>
  <printOptions/>
  <pageMargins left="0.75" right="0.75" top="1" bottom="1" header="0.5" footer="0.5"/>
  <pageSetup fitToHeight="1" fitToWidth="1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3.421875" style="0" customWidth="1"/>
    <col min="2" max="2" width="40.140625" style="0" customWidth="1"/>
    <col min="3" max="3" width="6.421875" style="67" bestFit="1" customWidth="1"/>
    <col min="4" max="4" width="11.00390625" style="0" bestFit="1" customWidth="1"/>
    <col min="5" max="5" width="2.8515625" style="0" customWidth="1"/>
    <col min="6" max="6" width="11.28125" style="0" bestFit="1" customWidth="1"/>
    <col min="7" max="7" width="2.8515625" style="0" customWidth="1"/>
    <col min="8" max="8" width="11.28125" style="0" bestFit="1" customWidth="1"/>
  </cols>
  <sheetData>
    <row r="2" spans="2:8" ht="15.75">
      <c r="B2" s="137" t="s">
        <v>170</v>
      </c>
      <c r="C2" s="138"/>
      <c r="D2" s="138"/>
      <c r="E2" s="139"/>
      <c r="F2" s="136" t="s">
        <v>182</v>
      </c>
      <c r="G2" s="136"/>
      <c r="H2" s="136"/>
    </row>
    <row r="3" spans="2:8" ht="15.75">
      <c r="B3" s="137" t="s">
        <v>180</v>
      </c>
      <c r="C3" s="138"/>
      <c r="D3" s="138"/>
      <c r="E3" s="139"/>
      <c r="F3" s="136" t="s">
        <v>180</v>
      </c>
      <c r="G3" s="136"/>
      <c r="H3" s="136"/>
    </row>
    <row r="4" spans="2:8" ht="38.25">
      <c r="B4" s="71" t="s">
        <v>96</v>
      </c>
      <c r="C4" s="69" t="s">
        <v>82</v>
      </c>
      <c r="D4" s="70" t="s">
        <v>171</v>
      </c>
      <c r="E4" s="103"/>
      <c r="F4" s="70" t="s">
        <v>181</v>
      </c>
      <c r="G4" s="103"/>
      <c r="H4" s="70" t="s">
        <v>184</v>
      </c>
    </row>
    <row r="5" spans="2:8" ht="12.75">
      <c r="B5" s="71" t="s">
        <v>70</v>
      </c>
      <c r="C5" s="72"/>
      <c r="D5" s="78"/>
      <c r="E5" s="104"/>
      <c r="F5" s="78"/>
      <c r="G5" s="104"/>
      <c r="H5" s="78"/>
    </row>
    <row r="6" spans="2:8" ht="12.75">
      <c r="B6" s="78" t="s">
        <v>86</v>
      </c>
      <c r="C6" s="72" t="s">
        <v>97</v>
      </c>
      <c r="D6" s="75">
        <v>20.41</v>
      </c>
      <c r="E6" s="105"/>
      <c r="F6" s="75">
        <f>'2010 RRRP Determination'!I14</f>
        <v>21.53255</v>
      </c>
      <c r="G6" s="104"/>
      <c r="H6" s="75">
        <f>'2011 RRRP Determination'!I14</f>
        <v>21.963201</v>
      </c>
    </row>
    <row r="7" spans="2:8" ht="12.75">
      <c r="B7" s="78" t="s">
        <v>98</v>
      </c>
      <c r="C7" s="72" t="s">
        <v>99</v>
      </c>
      <c r="D7" s="76">
        <v>0.0287</v>
      </c>
      <c r="E7" s="106"/>
      <c r="F7" s="76">
        <f>'2010 RRRP Determination'!J14</f>
        <v>0.030278499999999996</v>
      </c>
      <c r="G7" s="104"/>
      <c r="H7" s="76">
        <f>'2011 RRRP Determination'!J14</f>
        <v>0.030884069999999996</v>
      </c>
    </row>
    <row r="8" spans="2:8" ht="12.75">
      <c r="B8" s="78"/>
      <c r="C8" s="72"/>
      <c r="D8" s="78"/>
      <c r="E8" s="104"/>
      <c r="F8" s="78"/>
      <c r="G8" s="104"/>
      <c r="H8" s="78"/>
    </row>
    <row r="9" spans="2:8" ht="12.75">
      <c r="B9" s="71" t="s">
        <v>71</v>
      </c>
      <c r="C9" s="72"/>
      <c r="D9" s="78"/>
      <c r="E9" s="104"/>
      <c r="F9" s="78"/>
      <c r="G9" s="104"/>
      <c r="H9" s="78"/>
    </row>
    <row r="10" spans="2:8" ht="12.75">
      <c r="B10" s="78" t="s">
        <v>86</v>
      </c>
      <c r="C10" s="72" t="s">
        <v>97</v>
      </c>
      <c r="D10" s="75">
        <v>596.12</v>
      </c>
      <c r="E10" s="105"/>
      <c r="F10" s="75">
        <f>'2010 RRRP Determination'!I15</f>
        <v>628.9065999999999</v>
      </c>
      <c r="G10" s="104"/>
      <c r="H10" s="88">
        <f>'2011 RRRP Determination'!I15</f>
        <v>641.4847319999999</v>
      </c>
    </row>
    <row r="11" spans="2:8" ht="12.75">
      <c r="B11" s="78" t="s">
        <v>98</v>
      </c>
      <c r="C11" s="72" t="s">
        <v>100</v>
      </c>
      <c r="D11" s="76">
        <v>2.4549</v>
      </c>
      <c r="E11" s="106"/>
      <c r="F11" s="76">
        <f>'2010 RRRP Determination'!J15</f>
        <v>2.5899194999999997</v>
      </c>
      <c r="G11" s="104"/>
      <c r="H11" s="76">
        <f>'2011 RRRP Determination'!J15</f>
        <v>2.64171789</v>
      </c>
    </row>
    <row r="12" spans="2:8" ht="12.75">
      <c r="B12" s="78"/>
      <c r="C12" s="72"/>
      <c r="D12" s="78"/>
      <c r="E12" s="104"/>
      <c r="F12" s="78"/>
      <c r="G12" s="104"/>
      <c r="H12" s="78"/>
    </row>
    <row r="13" spans="2:8" ht="12.75">
      <c r="B13" s="71" t="s">
        <v>16</v>
      </c>
      <c r="C13" s="72"/>
      <c r="D13" s="78"/>
      <c r="E13" s="104"/>
      <c r="F13" s="78"/>
      <c r="G13" s="104"/>
      <c r="H13" s="78"/>
    </row>
    <row r="14" spans="2:8" ht="12.75">
      <c r="B14" s="78" t="s">
        <v>86</v>
      </c>
      <c r="C14" s="72" t="s">
        <v>97</v>
      </c>
      <c r="D14" s="75">
        <v>24</v>
      </c>
      <c r="E14" s="105"/>
      <c r="F14" s="88">
        <f>'2010 Non-RRRP Rate Design'!I5</f>
        <v>23.99999999999999</v>
      </c>
      <c r="G14" s="104"/>
      <c r="H14" s="88">
        <f>'2011 Non-RRRP Rate Design'!I5</f>
        <v>24</v>
      </c>
    </row>
    <row r="15" spans="2:8" ht="12.75">
      <c r="B15" s="78" t="s">
        <v>98</v>
      </c>
      <c r="C15" s="72" t="s">
        <v>99</v>
      </c>
      <c r="D15" s="76">
        <v>0.07</v>
      </c>
      <c r="E15" s="106"/>
      <c r="F15" s="76">
        <f>'2010 Non-RRRP Rate Design'!J5</f>
        <v>0.09928324128455793</v>
      </c>
      <c r="G15" s="104"/>
      <c r="H15" s="76">
        <f>'2011 Non-RRRP Rate Design'!J5</f>
        <v>0.08522411549861605</v>
      </c>
    </row>
    <row r="16" spans="2:8" ht="12.75">
      <c r="B16" s="78"/>
      <c r="C16" s="72"/>
      <c r="D16" s="78"/>
      <c r="E16" s="104"/>
      <c r="F16" s="78"/>
      <c r="G16" s="104"/>
      <c r="H16" s="78"/>
    </row>
    <row r="17" spans="2:8" ht="12.75">
      <c r="B17" s="71" t="s">
        <v>72</v>
      </c>
      <c r="C17" s="72"/>
      <c r="D17" s="78"/>
      <c r="E17" s="104"/>
      <c r="F17" s="78"/>
      <c r="G17" s="104"/>
      <c r="H17" s="78"/>
    </row>
    <row r="18" spans="2:8" ht="12.75">
      <c r="B18" s="78" t="s">
        <v>86</v>
      </c>
      <c r="C18" s="72" t="s">
        <v>97</v>
      </c>
      <c r="D18" s="75">
        <v>0</v>
      </c>
      <c r="E18" s="105"/>
      <c r="F18" s="88">
        <f>'2010 Non-RRRP Rate Design'!I6</f>
        <v>0.98</v>
      </c>
      <c r="G18" s="104"/>
      <c r="H18" s="88">
        <f>'2011 Non-RRRP Rate Design'!I6</f>
        <v>1.08</v>
      </c>
    </row>
    <row r="19" spans="2:8" ht="12.75">
      <c r="B19" s="78" t="s">
        <v>98</v>
      </c>
      <c r="C19" s="72" t="s">
        <v>99</v>
      </c>
      <c r="D19" s="102">
        <v>0.0496</v>
      </c>
      <c r="E19" s="107"/>
      <c r="F19" s="102">
        <f>'2010 Non-RRRP Rate Design'!J6</f>
        <v>0.12919685503283346</v>
      </c>
      <c r="G19" s="104"/>
      <c r="H19" s="102">
        <f>'2011 Non-RRRP Rate Design'!J6</f>
        <v>0.22080458263033803</v>
      </c>
    </row>
    <row r="20" spans="2:8" ht="12" customHeight="1">
      <c r="B20" s="78"/>
      <c r="C20" s="72"/>
      <c r="D20" s="78"/>
      <c r="E20" s="104"/>
      <c r="F20" s="78"/>
      <c r="G20" s="104"/>
      <c r="H20" s="78"/>
    </row>
    <row r="21" spans="2:8" ht="12.75">
      <c r="B21" s="71" t="s">
        <v>183</v>
      </c>
      <c r="C21" s="72" t="s">
        <v>97</v>
      </c>
      <c r="D21" s="74">
        <f>'2007 GLP DRO'!E9</f>
        <v>8861800</v>
      </c>
      <c r="E21" s="104"/>
      <c r="F21" s="74">
        <f>'2010 RRRP Determination'!M18</f>
        <v>10186620.939744772</v>
      </c>
      <c r="G21" s="104"/>
      <c r="H21" s="74">
        <f>'2011 RRRP Determination'!M18</f>
        <v>11596870.0589742</v>
      </c>
    </row>
  </sheetData>
  <mergeCells count="4">
    <mergeCell ref="F2:H2"/>
    <mergeCell ref="F3:H3"/>
    <mergeCell ref="B2:E2"/>
    <mergeCell ref="B3:E3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35.57421875" style="0" bestFit="1" customWidth="1"/>
    <col min="2" max="11" width="12.28125" style="0" bestFit="1" customWidth="1"/>
  </cols>
  <sheetData>
    <row r="1" spans="1:11" ht="15.75">
      <c r="A1" s="136" t="s">
        <v>101</v>
      </c>
      <c r="B1" s="136"/>
      <c r="C1" s="136"/>
      <c r="D1" s="136"/>
      <c r="E1" s="136"/>
      <c r="F1" s="136"/>
      <c r="G1" s="136"/>
      <c r="H1" s="136"/>
      <c r="I1" s="136"/>
      <c r="J1" s="136"/>
      <c r="K1" s="78"/>
    </row>
    <row r="2" spans="1:11" ht="25.5">
      <c r="A2" s="78"/>
      <c r="B2" s="69">
        <v>2003</v>
      </c>
      <c r="C2" s="69">
        <v>2004</v>
      </c>
      <c r="D2" s="69">
        <v>2005</v>
      </c>
      <c r="E2" s="69">
        <v>2006</v>
      </c>
      <c r="F2" s="70" t="s">
        <v>185</v>
      </c>
      <c r="G2" s="70">
        <v>2007</v>
      </c>
      <c r="H2" s="70">
        <v>2008</v>
      </c>
      <c r="I2" s="126">
        <v>2009</v>
      </c>
      <c r="J2" s="126" t="s">
        <v>102</v>
      </c>
      <c r="K2" s="126" t="s">
        <v>103</v>
      </c>
    </row>
    <row r="3" spans="1:11" ht="12.75">
      <c r="A3" s="71" t="s">
        <v>5</v>
      </c>
      <c r="B3" s="78"/>
      <c r="C3" s="78"/>
      <c r="D3" s="78"/>
      <c r="E3" s="78"/>
      <c r="F3" s="78"/>
      <c r="G3" s="78"/>
      <c r="H3" s="78"/>
      <c r="I3" s="127"/>
      <c r="J3" s="127"/>
      <c r="K3" s="78"/>
    </row>
    <row r="4" spans="1:11" ht="12.75">
      <c r="A4" s="78" t="s">
        <v>104</v>
      </c>
      <c r="B4" s="74">
        <v>7837</v>
      </c>
      <c r="C4" s="74">
        <v>7763</v>
      </c>
      <c r="D4" s="74">
        <v>7758</v>
      </c>
      <c r="E4" s="74">
        <v>7740</v>
      </c>
      <c r="F4" s="74">
        <v>7740</v>
      </c>
      <c r="G4" s="74">
        <v>7814.5</v>
      </c>
      <c r="H4" s="74">
        <v>7923</v>
      </c>
      <c r="I4" s="128">
        <v>7997</v>
      </c>
      <c r="J4" s="128">
        <v>8024</v>
      </c>
      <c r="K4" s="129">
        <v>8049</v>
      </c>
    </row>
    <row r="5" spans="1:11" ht="12.75">
      <c r="A5" s="78" t="s">
        <v>105</v>
      </c>
      <c r="B5" s="74"/>
      <c r="C5" s="74">
        <v>-74</v>
      </c>
      <c r="D5" s="74">
        <v>-5</v>
      </c>
      <c r="E5" s="74">
        <v>-18</v>
      </c>
      <c r="F5" s="74"/>
      <c r="G5" s="74">
        <v>74.5</v>
      </c>
      <c r="H5" s="74">
        <v>108.5</v>
      </c>
      <c r="I5" s="128">
        <v>74</v>
      </c>
      <c r="J5" s="128">
        <v>27</v>
      </c>
      <c r="K5" s="128">
        <v>25</v>
      </c>
    </row>
    <row r="6" spans="1:11" ht="12.75">
      <c r="A6" s="78" t="s">
        <v>106</v>
      </c>
      <c r="B6" s="74">
        <v>108693027</v>
      </c>
      <c r="C6" s="74">
        <v>105879912</v>
      </c>
      <c r="D6" s="74">
        <v>103661767</v>
      </c>
      <c r="E6" s="74">
        <v>99478516</v>
      </c>
      <c r="F6" s="74">
        <v>104428305.5</v>
      </c>
      <c r="G6" s="130">
        <v>100674579</v>
      </c>
      <c r="H6" s="74">
        <v>103691076</v>
      </c>
      <c r="I6" s="128">
        <v>103761012</v>
      </c>
      <c r="J6" s="128"/>
      <c r="K6" s="78"/>
    </row>
    <row r="7" spans="1:11" ht="12.75">
      <c r="A7" s="78" t="s">
        <v>107</v>
      </c>
      <c r="B7" s="74"/>
      <c r="C7" s="74"/>
      <c r="D7" s="74"/>
      <c r="E7" s="74"/>
      <c r="F7" s="74"/>
      <c r="G7" s="130"/>
      <c r="H7" s="74"/>
      <c r="I7" s="128">
        <v>103317932</v>
      </c>
      <c r="J7" s="128">
        <v>104754767</v>
      </c>
      <c r="K7" s="128">
        <v>106119297</v>
      </c>
    </row>
    <row r="8" spans="1:11" ht="12.75">
      <c r="A8" s="78" t="s">
        <v>108</v>
      </c>
      <c r="B8" s="74">
        <v>13869.213602143678</v>
      </c>
      <c r="C8" s="74">
        <v>13639.045729743655</v>
      </c>
      <c r="D8" s="74">
        <v>13361.918922402681</v>
      </c>
      <c r="E8" s="74">
        <v>12852.521447028425</v>
      </c>
      <c r="F8" s="74">
        <v>13492.029134366925</v>
      </c>
      <c r="G8" s="74">
        <v>12883.048051698765</v>
      </c>
      <c r="H8" s="74">
        <v>13087.350246118895</v>
      </c>
      <c r="I8" s="128">
        <v>12974.992122045767</v>
      </c>
      <c r="J8" s="128"/>
      <c r="K8" s="78"/>
    </row>
    <row r="9" spans="1:11" ht="12.75">
      <c r="A9" s="78" t="s">
        <v>109</v>
      </c>
      <c r="B9" s="74"/>
      <c r="C9" s="74"/>
      <c r="D9" s="74"/>
      <c r="E9" s="74"/>
      <c r="F9" s="74"/>
      <c r="G9" s="130"/>
      <c r="H9" s="74"/>
      <c r="I9" s="128">
        <v>12919.58634487933</v>
      </c>
      <c r="J9" s="128">
        <v>13055.180333998005</v>
      </c>
      <c r="K9" s="128">
        <v>13184.159150204994</v>
      </c>
    </row>
    <row r="10" spans="1:11" ht="12.75">
      <c r="A10" s="78"/>
      <c r="B10" s="74"/>
      <c r="C10" s="74"/>
      <c r="D10" s="74"/>
      <c r="E10" s="74"/>
      <c r="F10" s="74"/>
      <c r="G10" s="130"/>
      <c r="H10" s="74"/>
      <c r="I10" s="128"/>
      <c r="J10" s="128"/>
      <c r="K10" s="128"/>
    </row>
    <row r="11" spans="1:11" ht="12.75">
      <c r="A11" s="71" t="s">
        <v>16</v>
      </c>
      <c r="B11" s="74"/>
      <c r="C11" s="74"/>
      <c r="D11" s="74"/>
      <c r="E11" s="74"/>
      <c r="F11" s="74"/>
      <c r="G11" s="74"/>
      <c r="H11" s="74"/>
      <c r="I11" s="128"/>
      <c r="J11" s="128"/>
      <c r="K11" s="78"/>
    </row>
    <row r="12" spans="1:11" ht="12.75">
      <c r="A12" s="78" t="s">
        <v>104</v>
      </c>
      <c r="B12" s="74">
        <v>3577</v>
      </c>
      <c r="C12" s="74">
        <v>3646</v>
      </c>
      <c r="D12" s="74">
        <v>3652</v>
      </c>
      <c r="E12" s="74">
        <v>3707</v>
      </c>
      <c r="F12" s="74">
        <v>3707</v>
      </c>
      <c r="G12" s="74">
        <v>3717.5</v>
      </c>
      <c r="H12" s="74">
        <v>3688</v>
      </c>
      <c r="I12" s="128">
        <v>3643</v>
      </c>
      <c r="J12" s="128">
        <v>3654</v>
      </c>
      <c r="K12" s="129">
        <v>3665</v>
      </c>
    </row>
    <row r="13" spans="1:11" ht="12.75">
      <c r="A13" s="78" t="s">
        <v>105</v>
      </c>
      <c r="B13" s="74"/>
      <c r="C13" s="74">
        <v>69</v>
      </c>
      <c r="D13" s="74">
        <v>6</v>
      </c>
      <c r="E13" s="74">
        <v>55</v>
      </c>
      <c r="F13" s="74"/>
      <c r="G13" s="74">
        <v>10.5</v>
      </c>
      <c r="H13" s="74">
        <v>-29.5</v>
      </c>
      <c r="I13" s="128">
        <v>-45</v>
      </c>
      <c r="J13" s="128">
        <v>11</v>
      </c>
      <c r="K13" s="128">
        <v>11</v>
      </c>
    </row>
    <row r="14" spans="1:11" ht="12.75">
      <c r="A14" s="78" t="s">
        <v>106</v>
      </c>
      <c r="B14" s="74">
        <v>11867258</v>
      </c>
      <c r="C14" s="74">
        <v>11692754</v>
      </c>
      <c r="D14" s="74">
        <v>11678117</v>
      </c>
      <c r="E14" s="74">
        <v>11746043</v>
      </c>
      <c r="F14" s="74">
        <v>11746043</v>
      </c>
      <c r="G14" s="74">
        <v>11665350.75</v>
      </c>
      <c r="H14" s="74">
        <v>11591418</v>
      </c>
      <c r="I14" s="128">
        <v>12341792</v>
      </c>
      <c r="J14" s="128"/>
      <c r="K14" s="78"/>
    </row>
    <row r="15" spans="1:11" ht="12.75">
      <c r="A15" s="78" t="s">
        <v>107</v>
      </c>
      <c r="B15" s="74"/>
      <c r="C15" s="74"/>
      <c r="D15" s="74"/>
      <c r="E15" s="74"/>
      <c r="F15" s="74"/>
      <c r="G15" s="74"/>
      <c r="H15" s="74"/>
      <c r="I15" s="128">
        <v>12289090</v>
      </c>
      <c r="J15" s="128">
        <v>12459994</v>
      </c>
      <c r="K15" s="128">
        <v>12622297</v>
      </c>
    </row>
    <row r="16" spans="1:11" ht="12.75">
      <c r="A16" s="78" t="s">
        <v>108</v>
      </c>
      <c r="B16" s="74">
        <v>3317.6566955549342</v>
      </c>
      <c r="C16" s="74">
        <v>3207.008776741635</v>
      </c>
      <c r="D16" s="74">
        <v>3197.7319277108436</v>
      </c>
      <c r="E16" s="74">
        <v>3168.6115457243054</v>
      </c>
      <c r="F16" s="74">
        <v>3168.6115457243054</v>
      </c>
      <c r="G16" s="74">
        <v>3137.955817081372</v>
      </c>
      <c r="H16" s="74">
        <v>3143.0092190889372</v>
      </c>
      <c r="I16" s="128">
        <v>3387.8100466648366</v>
      </c>
      <c r="J16" s="128"/>
      <c r="K16" s="78"/>
    </row>
    <row r="17" spans="1:11" ht="12.75">
      <c r="A17" s="78" t="s">
        <v>109</v>
      </c>
      <c r="B17" s="74"/>
      <c r="C17" s="74"/>
      <c r="D17" s="74"/>
      <c r="E17" s="74"/>
      <c r="F17" s="74"/>
      <c r="G17" s="74"/>
      <c r="H17" s="74"/>
      <c r="I17" s="128">
        <v>3373.343398298106</v>
      </c>
      <c r="J17" s="128">
        <v>3409.96004378763</v>
      </c>
      <c r="K17" s="128">
        <v>3444.0100954979534</v>
      </c>
    </row>
    <row r="18" spans="1:11" ht="12.75">
      <c r="A18" s="78"/>
      <c r="B18" s="74"/>
      <c r="C18" s="74"/>
      <c r="D18" s="74"/>
      <c r="E18" s="74"/>
      <c r="F18" s="74"/>
      <c r="G18" s="74"/>
      <c r="H18" s="74"/>
      <c r="I18" s="128"/>
      <c r="J18" s="128"/>
      <c r="K18" s="78"/>
    </row>
    <row r="19" spans="1:11" ht="12.75">
      <c r="A19" s="131" t="s">
        <v>71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78"/>
    </row>
    <row r="20" spans="1:11" ht="12.75">
      <c r="A20" s="127" t="s">
        <v>104</v>
      </c>
      <c r="B20" s="128">
        <v>49</v>
      </c>
      <c r="C20" s="128">
        <v>49</v>
      </c>
      <c r="D20" s="128">
        <v>47</v>
      </c>
      <c r="E20" s="128">
        <v>45</v>
      </c>
      <c r="F20" s="128">
        <v>47</v>
      </c>
      <c r="G20" s="128">
        <v>47</v>
      </c>
      <c r="H20" s="128">
        <v>48</v>
      </c>
      <c r="I20" s="128">
        <v>48</v>
      </c>
      <c r="J20" s="128">
        <v>48</v>
      </c>
      <c r="K20" s="129">
        <v>48</v>
      </c>
    </row>
    <row r="21" spans="1:11" ht="12.75">
      <c r="A21" s="127" t="s">
        <v>106</v>
      </c>
      <c r="B21" s="128"/>
      <c r="C21" s="128">
        <v>30337868</v>
      </c>
      <c r="D21" s="128">
        <v>66360103</v>
      </c>
      <c r="E21" s="128">
        <v>68290099</v>
      </c>
      <c r="F21" s="128">
        <v>50139889</v>
      </c>
      <c r="G21" s="128">
        <v>75340938</v>
      </c>
      <c r="H21" s="128">
        <v>66017652</v>
      </c>
      <c r="I21" s="128">
        <v>69931763</v>
      </c>
      <c r="J21" s="128"/>
      <c r="K21" s="78"/>
    </row>
    <row r="22" spans="1:11" ht="12.75">
      <c r="A22" s="127" t="s">
        <v>110</v>
      </c>
      <c r="B22" s="128"/>
      <c r="C22" s="128">
        <v>163453</v>
      </c>
      <c r="D22" s="128">
        <v>182693</v>
      </c>
      <c r="E22" s="128">
        <v>180802</v>
      </c>
      <c r="F22" s="128">
        <v>197392</v>
      </c>
      <c r="G22" s="128">
        <v>191492</v>
      </c>
      <c r="H22" s="128">
        <v>159280</v>
      </c>
      <c r="I22" s="128">
        <v>150499</v>
      </c>
      <c r="J22" s="128"/>
      <c r="K22" s="78"/>
    </row>
    <row r="23" spans="1:11" ht="12.75">
      <c r="A23" s="127" t="s">
        <v>107</v>
      </c>
      <c r="B23" s="128"/>
      <c r="C23" s="128"/>
      <c r="D23" s="128"/>
      <c r="E23" s="128"/>
      <c r="F23" s="128"/>
      <c r="G23" s="128"/>
      <c r="H23" s="128"/>
      <c r="I23" s="128">
        <v>69808980</v>
      </c>
      <c r="J23" s="128">
        <v>70228773</v>
      </c>
      <c r="K23" s="128">
        <v>70606900</v>
      </c>
    </row>
    <row r="24" spans="1:11" ht="12.75">
      <c r="A24" s="127" t="s">
        <v>111</v>
      </c>
      <c r="B24" s="128"/>
      <c r="C24" s="128"/>
      <c r="D24" s="128"/>
      <c r="E24" s="128"/>
      <c r="F24" s="128"/>
      <c r="G24" s="128"/>
      <c r="H24" s="128"/>
      <c r="I24" s="128">
        <v>150235</v>
      </c>
      <c r="J24" s="128">
        <v>151138</v>
      </c>
      <c r="K24" s="128">
        <v>151952</v>
      </c>
    </row>
    <row r="25" spans="1:11" ht="12.75">
      <c r="A25" s="78" t="s">
        <v>108</v>
      </c>
      <c r="B25" s="128"/>
      <c r="C25" s="128">
        <v>619140.1632653062</v>
      </c>
      <c r="D25" s="128">
        <v>1411917.085106383</v>
      </c>
      <c r="E25" s="128">
        <v>1517557.7555555555</v>
      </c>
      <c r="F25" s="128">
        <v>1066806.1489361702</v>
      </c>
      <c r="G25" s="128">
        <v>1602998.680851064</v>
      </c>
      <c r="H25" s="128">
        <v>1375367.75</v>
      </c>
      <c r="I25" s="128">
        <v>1456911.7291666667</v>
      </c>
      <c r="J25" s="128"/>
      <c r="K25" s="128"/>
    </row>
    <row r="26" spans="1:11" ht="12.75">
      <c r="A26" s="78" t="s">
        <v>112</v>
      </c>
      <c r="B26" s="128"/>
      <c r="C26" s="128">
        <v>3335.7755102040815</v>
      </c>
      <c r="D26" s="128">
        <v>3887.0851063829787</v>
      </c>
      <c r="E26" s="128">
        <v>4017.822222222222</v>
      </c>
      <c r="F26" s="128">
        <v>4199.829787234043</v>
      </c>
      <c r="G26" s="128">
        <v>4074.2978723404253</v>
      </c>
      <c r="H26" s="128">
        <v>3318.3333333333335</v>
      </c>
      <c r="I26" s="128">
        <v>3135.3958333333335</v>
      </c>
      <c r="J26" s="128"/>
      <c r="K26" s="128"/>
    </row>
    <row r="27" spans="1:11" ht="12.75">
      <c r="A27" s="78" t="s">
        <v>109</v>
      </c>
      <c r="B27" s="128"/>
      <c r="C27" s="128"/>
      <c r="D27" s="128"/>
      <c r="E27" s="128"/>
      <c r="F27" s="128"/>
      <c r="G27" s="128"/>
      <c r="H27" s="128"/>
      <c r="I27" s="128">
        <v>1454353.75</v>
      </c>
      <c r="J27" s="128">
        <v>1463099.4375</v>
      </c>
      <c r="K27" s="128">
        <v>1470977.0833333333</v>
      </c>
    </row>
    <row r="28" spans="1:11" ht="12.75">
      <c r="A28" s="78" t="s">
        <v>113</v>
      </c>
      <c r="B28" s="128"/>
      <c r="C28" s="128"/>
      <c r="D28" s="128"/>
      <c r="E28" s="128"/>
      <c r="F28" s="128"/>
      <c r="G28" s="128"/>
      <c r="H28" s="128"/>
      <c r="I28" s="128">
        <v>3129.8958333333335</v>
      </c>
      <c r="J28" s="128">
        <v>3148.7083333333335</v>
      </c>
      <c r="K28" s="128">
        <v>3165.6666666666665</v>
      </c>
    </row>
    <row r="29" spans="1:11" ht="12.75">
      <c r="A29" s="78"/>
      <c r="B29" s="74"/>
      <c r="C29" s="74"/>
      <c r="D29" s="74"/>
      <c r="E29" s="74"/>
      <c r="F29" s="74"/>
      <c r="G29" s="74"/>
      <c r="H29" s="74"/>
      <c r="I29" s="128"/>
      <c r="J29" s="128"/>
      <c r="K29" s="78"/>
    </row>
    <row r="30" spans="1:11" ht="12.75">
      <c r="A30" s="71" t="s">
        <v>11</v>
      </c>
      <c r="B30" s="74"/>
      <c r="C30" s="74"/>
      <c r="D30" s="74"/>
      <c r="E30" s="74"/>
      <c r="F30" s="74"/>
      <c r="G30" s="74"/>
      <c r="H30" s="74"/>
      <c r="I30" s="128"/>
      <c r="J30" s="128"/>
      <c r="K30" s="78"/>
    </row>
    <row r="31" spans="1:11" ht="12.75">
      <c r="A31" s="78" t="s">
        <v>104</v>
      </c>
      <c r="B31" s="74">
        <v>104</v>
      </c>
      <c r="C31" s="74">
        <v>103</v>
      </c>
      <c r="D31" s="74">
        <v>100</v>
      </c>
      <c r="E31" s="74">
        <v>99</v>
      </c>
      <c r="F31" s="74">
        <v>99</v>
      </c>
      <c r="G31" s="128">
        <v>32</v>
      </c>
      <c r="H31" s="128">
        <v>32</v>
      </c>
      <c r="I31" s="128">
        <v>32</v>
      </c>
      <c r="J31" s="128">
        <v>32</v>
      </c>
      <c r="K31" s="128">
        <v>32</v>
      </c>
    </row>
    <row r="32" spans="1:11" ht="12.75">
      <c r="A32" s="78" t="s">
        <v>106</v>
      </c>
      <c r="B32" s="74">
        <v>935668</v>
      </c>
      <c r="C32" s="74">
        <v>1002422</v>
      </c>
      <c r="D32" s="74">
        <v>1046222</v>
      </c>
      <c r="E32" s="74">
        <v>1056913</v>
      </c>
      <c r="F32" s="74">
        <v>1010306.25</v>
      </c>
      <c r="G32" s="74">
        <v>816298</v>
      </c>
      <c r="H32" s="74">
        <v>791996</v>
      </c>
      <c r="I32" s="128">
        <v>791996</v>
      </c>
      <c r="J32" s="128">
        <v>791996</v>
      </c>
      <c r="K32" s="128">
        <v>791996</v>
      </c>
    </row>
    <row r="33" spans="1:11" ht="12.75">
      <c r="A33" s="78" t="s">
        <v>110</v>
      </c>
      <c r="B33" s="74"/>
      <c r="C33" s="74"/>
      <c r="D33" s="74"/>
      <c r="E33" s="74"/>
      <c r="F33" s="74"/>
      <c r="G33" s="74"/>
      <c r="H33" s="74">
        <v>2304</v>
      </c>
      <c r="I33" s="128">
        <v>2304</v>
      </c>
      <c r="J33" s="128">
        <v>2304</v>
      </c>
      <c r="K33" s="128">
        <v>2304</v>
      </c>
    </row>
    <row r="34" spans="1:11" ht="12.75">
      <c r="A34" s="78"/>
      <c r="B34" s="78"/>
      <c r="C34" s="78"/>
      <c r="D34" s="78"/>
      <c r="E34" s="78"/>
      <c r="F34" s="78"/>
      <c r="G34" s="78"/>
      <c r="H34" s="78"/>
      <c r="I34" s="127"/>
      <c r="J34" s="127"/>
      <c r="K34" s="78"/>
    </row>
    <row r="35" spans="1:11" ht="12.75">
      <c r="A35" s="71" t="s">
        <v>114</v>
      </c>
      <c r="B35" s="78"/>
      <c r="C35" s="78"/>
      <c r="D35" s="78"/>
      <c r="E35" s="78"/>
      <c r="F35" s="78"/>
      <c r="G35" s="78"/>
      <c r="H35" s="78"/>
      <c r="I35" s="127"/>
      <c r="J35" s="127"/>
      <c r="K35" s="78"/>
    </row>
    <row r="36" spans="1:11" ht="12.75">
      <c r="A36" s="78" t="s">
        <v>104</v>
      </c>
      <c r="B36" s="77">
        <v>11567</v>
      </c>
      <c r="C36" s="77">
        <v>11561</v>
      </c>
      <c r="D36" s="77">
        <v>11557</v>
      </c>
      <c r="E36" s="77">
        <v>11591</v>
      </c>
      <c r="F36" s="77">
        <v>11593</v>
      </c>
      <c r="G36" s="77">
        <v>11611</v>
      </c>
      <c r="H36" s="77">
        <v>11691</v>
      </c>
      <c r="I36" s="128">
        <v>11720</v>
      </c>
      <c r="J36" s="77">
        <v>11758</v>
      </c>
      <c r="K36" s="77">
        <v>11794</v>
      </c>
    </row>
    <row r="37" spans="1:11" ht="12.75">
      <c r="A37" s="78" t="s">
        <v>106</v>
      </c>
      <c r="B37" s="77"/>
      <c r="C37" s="77">
        <v>148912956</v>
      </c>
      <c r="D37" s="77">
        <v>182746209</v>
      </c>
      <c r="E37" s="77">
        <v>180571571</v>
      </c>
      <c r="F37" s="77">
        <v>167324543.75</v>
      </c>
      <c r="G37" s="77">
        <v>188497165.75</v>
      </c>
      <c r="H37" s="77">
        <v>182092142</v>
      </c>
      <c r="I37" s="128">
        <v>186826563</v>
      </c>
      <c r="J37" s="77"/>
      <c r="K37" s="77"/>
    </row>
    <row r="38" spans="1:11" ht="12.75">
      <c r="A38" s="78" t="s">
        <v>110</v>
      </c>
      <c r="B38" s="77"/>
      <c r="C38" s="77">
        <v>163453</v>
      </c>
      <c r="D38" s="77">
        <v>182693</v>
      </c>
      <c r="E38" s="77">
        <v>180802</v>
      </c>
      <c r="F38" s="77">
        <v>197392</v>
      </c>
      <c r="G38" s="77">
        <v>191492</v>
      </c>
      <c r="H38" s="77">
        <v>161584</v>
      </c>
      <c r="I38" s="128">
        <v>152803</v>
      </c>
      <c r="J38" s="77"/>
      <c r="K38" s="78"/>
    </row>
    <row r="39" spans="1:11" ht="12.75">
      <c r="A39" s="78" t="s">
        <v>115</v>
      </c>
      <c r="B39" s="78"/>
      <c r="C39" s="78"/>
      <c r="D39" s="78"/>
      <c r="E39" s="78"/>
      <c r="F39" s="78"/>
      <c r="G39" s="78"/>
      <c r="H39" s="78"/>
      <c r="I39" s="128">
        <v>186207998</v>
      </c>
      <c r="J39" s="77">
        <v>188235530</v>
      </c>
      <c r="K39" s="77">
        <v>190140490</v>
      </c>
    </row>
    <row r="40" spans="1:11" ht="12.75">
      <c r="A40" s="78" t="s">
        <v>116</v>
      </c>
      <c r="B40" s="78"/>
      <c r="C40" s="78"/>
      <c r="D40" s="78"/>
      <c r="E40" s="78"/>
      <c r="F40" s="78"/>
      <c r="G40" s="78"/>
      <c r="H40" s="78"/>
      <c r="I40" s="128">
        <v>152539</v>
      </c>
      <c r="J40" s="77">
        <v>153442</v>
      </c>
      <c r="K40" s="77">
        <v>154256</v>
      </c>
    </row>
  </sheetData>
  <mergeCells count="1">
    <mergeCell ref="A1:J1"/>
  </mergeCells>
  <printOptions/>
  <pageMargins left="0.75" right="0.75" top="1" bottom="1" header="0.5" footer="0.5"/>
  <pageSetup fitToHeight="1" fitToWidth="1" horizontalDpi="1200" verticalDpi="12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8" width="12.7109375" style="0" customWidth="1"/>
    <col min="9" max="9" width="10.28125" style="0" bestFit="1" customWidth="1"/>
    <col min="10" max="10" width="11.28125" style="0" bestFit="1" customWidth="1"/>
  </cols>
  <sheetData>
    <row r="2" spans="2:8" ht="12.75">
      <c r="B2" s="140" t="s">
        <v>149</v>
      </c>
      <c r="C2" s="140"/>
      <c r="D2" s="140"/>
      <c r="E2" s="140"/>
      <c r="F2" s="140"/>
      <c r="G2" s="140"/>
      <c r="H2" s="140"/>
    </row>
    <row r="3" spans="2:8" ht="12.75">
      <c r="B3" s="140" t="s">
        <v>150</v>
      </c>
      <c r="C3" s="140"/>
      <c r="D3" s="140"/>
      <c r="E3" s="140"/>
      <c r="F3" s="140"/>
      <c r="G3" s="140"/>
      <c r="H3" s="140"/>
    </row>
    <row r="4" spans="2:8" ht="38.25">
      <c r="B4" s="71"/>
      <c r="C4" s="95" t="s">
        <v>151</v>
      </c>
      <c r="D4" s="95" t="s">
        <v>152</v>
      </c>
      <c r="E4" s="95" t="s">
        <v>153</v>
      </c>
      <c r="F4" s="95" t="s">
        <v>154</v>
      </c>
      <c r="G4" s="95" t="s">
        <v>21</v>
      </c>
      <c r="H4" s="95" t="s">
        <v>155</v>
      </c>
    </row>
    <row r="5" spans="2:8" ht="12.75">
      <c r="B5" s="71" t="s">
        <v>70</v>
      </c>
      <c r="C5" s="74">
        <v>12420000</v>
      </c>
      <c r="D5" s="74">
        <v>4821500</v>
      </c>
      <c r="E5" s="74">
        <v>7926800</v>
      </c>
      <c r="F5" s="74"/>
      <c r="G5" s="74">
        <v>12748300</v>
      </c>
      <c r="H5" s="74"/>
    </row>
    <row r="6" spans="2:8" ht="12.75">
      <c r="B6" s="71" t="s">
        <v>71</v>
      </c>
      <c r="C6" s="74">
        <v>2098200</v>
      </c>
      <c r="D6" s="74">
        <v>834900</v>
      </c>
      <c r="E6" s="74">
        <v>935000</v>
      </c>
      <c r="F6" s="74"/>
      <c r="G6" s="74">
        <v>1769900</v>
      </c>
      <c r="H6" s="74"/>
    </row>
    <row r="7" spans="2:8" ht="12.75">
      <c r="B7" s="71" t="s">
        <v>16</v>
      </c>
      <c r="C7" s="74">
        <v>2710100</v>
      </c>
      <c r="D7" s="74">
        <v>1880500</v>
      </c>
      <c r="E7" s="74"/>
      <c r="F7" s="74">
        <v>829600</v>
      </c>
      <c r="G7" s="74">
        <v>2710100</v>
      </c>
      <c r="H7" s="74"/>
    </row>
    <row r="8" spans="2:8" ht="12.75">
      <c r="B8" s="71" t="s">
        <v>72</v>
      </c>
      <c r="C8" s="74">
        <v>53800</v>
      </c>
      <c r="D8" s="74">
        <v>44200</v>
      </c>
      <c r="E8" s="74"/>
      <c r="F8" s="74"/>
      <c r="G8" s="74">
        <v>44200</v>
      </c>
      <c r="H8" s="74">
        <v>9500</v>
      </c>
    </row>
    <row r="9" spans="2:8" ht="12.75">
      <c r="B9" s="71" t="s">
        <v>114</v>
      </c>
      <c r="C9" s="77">
        <f aca="true" t="shared" si="0" ref="C9:H9">SUM(C5:C8)</f>
        <v>17282100</v>
      </c>
      <c r="D9" s="77">
        <f t="shared" si="0"/>
        <v>7581100</v>
      </c>
      <c r="E9" s="77">
        <f t="shared" si="0"/>
        <v>8861800</v>
      </c>
      <c r="F9" s="77">
        <f t="shared" si="0"/>
        <v>829600</v>
      </c>
      <c r="G9" s="77">
        <f t="shared" si="0"/>
        <v>17272500</v>
      </c>
      <c r="H9" s="77">
        <f t="shared" si="0"/>
        <v>9500</v>
      </c>
    </row>
    <row r="10" spans="3:8" ht="12.75">
      <c r="C10" s="68"/>
      <c r="D10" s="68"/>
      <c r="E10" s="68"/>
      <c r="F10" s="68"/>
      <c r="G10" s="68"/>
      <c r="H10" s="68"/>
    </row>
    <row r="11" spans="3:8" ht="12.75">
      <c r="C11" s="68"/>
      <c r="D11" s="68"/>
      <c r="E11" s="68"/>
      <c r="F11" s="68"/>
      <c r="G11" s="68"/>
      <c r="H11" s="68"/>
    </row>
    <row r="12" spans="2:10" ht="12.75">
      <c r="B12" s="140" t="s">
        <v>156</v>
      </c>
      <c r="C12" s="140"/>
      <c r="D12" s="140"/>
      <c r="E12" s="140"/>
      <c r="F12" s="140"/>
      <c r="G12" s="140"/>
      <c r="H12" s="140"/>
      <c r="I12" s="140"/>
      <c r="J12" s="140"/>
    </row>
    <row r="13" spans="2:10" ht="12.75">
      <c r="B13" s="140" t="s">
        <v>157</v>
      </c>
      <c r="C13" s="140"/>
      <c r="D13" s="140"/>
      <c r="E13" s="140"/>
      <c r="F13" s="140"/>
      <c r="G13" s="140"/>
      <c r="H13" s="140"/>
      <c r="I13" s="140"/>
      <c r="J13" s="140"/>
    </row>
    <row r="14" spans="2:10" ht="38.25">
      <c r="B14" s="78"/>
      <c r="C14" s="94" t="s">
        <v>82</v>
      </c>
      <c r="D14" s="95" t="s">
        <v>84</v>
      </c>
      <c r="E14" s="95" t="s">
        <v>158</v>
      </c>
      <c r="F14" s="95" t="s">
        <v>141</v>
      </c>
      <c r="G14" s="95" t="s">
        <v>86</v>
      </c>
      <c r="H14" s="95" t="s">
        <v>159</v>
      </c>
      <c r="I14" s="95" t="s">
        <v>160</v>
      </c>
      <c r="J14" s="95" t="s">
        <v>161</v>
      </c>
    </row>
    <row r="15" spans="2:10" ht="12.75">
      <c r="B15" s="71" t="s">
        <v>70</v>
      </c>
      <c r="C15" s="72" t="s">
        <v>74</v>
      </c>
      <c r="D15" s="74">
        <v>101468266</v>
      </c>
      <c r="E15" s="74">
        <v>7775</v>
      </c>
      <c r="F15" s="77">
        <f>G5+H5</f>
        <v>12748300</v>
      </c>
      <c r="G15" s="88">
        <f>'Tariff Sheet'!D6</f>
        <v>20.41</v>
      </c>
      <c r="H15" s="76">
        <f>J15/D15</f>
        <v>0.1068713148207342</v>
      </c>
      <c r="I15" s="77">
        <f>E15*G15*12</f>
        <v>1904253</v>
      </c>
      <c r="J15" s="77">
        <f>F15-I15</f>
        <v>10844047</v>
      </c>
    </row>
    <row r="16" spans="2:10" ht="12.75">
      <c r="B16" s="71" t="s">
        <v>71</v>
      </c>
      <c r="C16" s="72" t="s">
        <v>73</v>
      </c>
      <c r="D16" s="74">
        <v>191492</v>
      </c>
      <c r="E16" s="74">
        <v>51</v>
      </c>
      <c r="F16" s="77">
        <f>G6+H6</f>
        <v>1769900</v>
      </c>
      <c r="G16" s="88">
        <f>'Tariff Sheet'!D10</f>
        <v>596.12</v>
      </c>
      <c r="H16" s="76">
        <f>J16/D16</f>
        <v>7.337510496522048</v>
      </c>
      <c r="I16" s="77">
        <f>E16*G16*12</f>
        <v>364825.44</v>
      </c>
      <c r="J16" s="77">
        <f>F16-I16</f>
        <v>1405074.56</v>
      </c>
    </row>
    <row r="17" spans="2:10" ht="12.75">
      <c r="B17" s="71" t="s">
        <v>16</v>
      </c>
      <c r="C17" s="72" t="s">
        <v>74</v>
      </c>
      <c r="D17" s="74">
        <v>11657297</v>
      </c>
      <c r="E17" s="74">
        <v>3696</v>
      </c>
      <c r="F17" s="77">
        <f>G7+H7</f>
        <v>2710100</v>
      </c>
      <c r="G17" s="88">
        <f>'Tariff Sheet'!D14</f>
        <v>24</v>
      </c>
      <c r="H17" s="76">
        <f>J17/D17</f>
        <v>0.14116926076430925</v>
      </c>
      <c r="I17" s="77">
        <f>E17*G17*12</f>
        <v>1064448</v>
      </c>
      <c r="J17" s="77">
        <f>F17-I17</f>
        <v>1645652</v>
      </c>
    </row>
    <row r="18" spans="2:10" ht="12.75">
      <c r="B18" s="71" t="s">
        <v>72</v>
      </c>
      <c r="C18" s="72" t="s">
        <v>74</v>
      </c>
      <c r="D18" s="74">
        <v>891877</v>
      </c>
      <c r="E18" s="74">
        <v>1052</v>
      </c>
      <c r="F18" s="77">
        <f>G8+H8</f>
        <v>53700</v>
      </c>
      <c r="G18" s="88">
        <f>'Tariff Sheet'!D18</f>
        <v>0</v>
      </c>
      <c r="H18" s="76">
        <f>J18/D18</f>
        <v>0.0602100962352432</v>
      </c>
      <c r="I18" s="77">
        <f>E18*G18*12</f>
        <v>0</v>
      </c>
      <c r="J18" s="77">
        <f>F18-I18</f>
        <v>53700</v>
      </c>
    </row>
    <row r="19" spans="2:10" ht="12.75">
      <c r="B19" s="71" t="s">
        <v>114</v>
      </c>
      <c r="C19" s="78"/>
      <c r="D19" s="78"/>
      <c r="E19" s="77">
        <v>12574</v>
      </c>
      <c r="F19" s="77">
        <v>17282000</v>
      </c>
      <c r="G19" s="78"/>
      <c r="H19" s="78"/>
      <c r="I19" s="77">
        <f>SUM(I15:I18)</f>
        <v>3333526.44</v>
      </c>
      <c r="J19" s="77">
        <f>SUM(J15:J18)</f>
        <v>13948473.56</v>
      </c>
    </row>
    <row r="21" ht="12.75">
      <c r="B21" t="s">
        <v>162</v>
      </c>
    </row>
  </sheetData>
  <mergeCells count="4">
    <mergeCell ref="B2:H2"/>
    <mergeCell ref="B3:H3"/>
    <mergeCell ref="B12:J12"/>
    <mergeCell ref="B13:J13"/>
  </mergeCells>
  <printOptions/>
  <pageMargins left="0.75" right="0.75" top="1" bottom="1" header="0.5" footer="0.5"/>
  <pageSetup fitToHeight="1" fitToWidth="1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17.421875" style="0" customWidth="1"/>
    <col min="2" max="2" width="7.7109375" style="0" bestFit="1" customWidth="1"/>
    <col min="3" max="16" width="7.7109375" style="0" customWidth="1"/>
    <col min="17" max="17" width="8.00390625" style="0" bestFit="1" customWidth="1"/>
  </cols>
  <sheetData>
    <row r="1" spans="1:17" ht="12.75">
      <c r="A1" s="140" t="s">
        <v>117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>
      <c r="A3" s="94"/>
      <c r="B3" s="141" t="s">
        <v>118</v>
      </c>
      <c r="C3" s="141"/>
      <c r="D3" s="142" t="s">
        <v>119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  <c r="Q3" s="94" t="s">
        <v>120</v>
      </c>
    </row>
    <row r="4" spans="1:17" ht="12.75">
      <c r="A4" s="78" t="s">
        <v>121</v>
      </c>
      <c r="B4" s="108">
        <v>39417</v>
      </c>
      <c r="C4" s="108">
        <v>39783</v>
      </c>
      <c r="D4" s="108">
        <v>40148</v>
      </c>
      <c r="E4" s="72" t="s">
        <v>122</v>
      </c>
      <c r="F4" s="72" t="s">
        <v>123</v>
      </c>
      <c r="G4" s="72" t="s">
        <v>124</v>
      </c>
      <c r="H4" s="72" t="s">
        <v>125</v>
      </c>
      <c r="I4" s="72" t="s">
        <v>126</v>
      </c>
      <c r="J4" s="72" t="s">
        <v>127</v>
      </c>
      <c r="K4" s="72" t="s">
        <v>128</v>
      </c>
      <c r="L4" s="72" t="s">
        <v>129</v>
      </c>
      <c r="M4" s="72" t="s">
        <v>130</v>
      </c>
      <c r="N4" s="72" t="s">
        <v>131</v>
      </c>
      <c r="O4" s="72" t="s">
        <v>132</v>
      </c>
      <c r="P4" s="72" t="s">
        <v>133</v>
      </c>
      <c r="Q4" s="78"/>
    </row>
    <row r="5" spans="1:17" ht="12.75">
      <c r="A5" s="89" t="s">
        <v>70</v>
      </c>
      <c r="B5" s="87">
        <v>7814.5</v>
      </c>
      <c r="C5" s="87">
        <v>7923</v>
      </c>
      <c r="D5" s="87">
        <v>7997</v>
      </c>
      <c r="E5" s="87">
        <v>7999</v>
      </c>
      <c r="F5" s="87">
        <v>8001</v>
      </c>
      <c r="G5" s="87">
        <v>8003</v>
      </c>
      <c r="H5" s="87">
        <v>8005</v>
      </c>
      <c r="I5" s="87">
        <v>8008</v>
      </c>
      <c r="J5" s="87">
        <v>8011</v>
      </c>
      <c r="K5" s="87">
        <v>8014</v>
      </c>
      <c r="L5" s="87">
        <v>8016</v>
      </c>
      <c r="M5" s="87">
        <v>8018</v>
      </c>
      <c r="N5" s="87">
        <v>8020</v>
      </c>
      <c r="O5" s="87">
        <v>8022</v>
      </c>
      <c r="P5" s="87">
        <v>8024</v>
      </c>
      <c r="Q5" s="77">
        <v>27</v>
      </c>
    </row>
    <row r="6" spans="1:17" ht="12.75">
      <c r="A6" s="89" t="s">
        <v>71</v>
      </c>
      <c r="B6" s="87">
        <v>47</v>
      </c>
      <c r="C6" s="87">
        <v>48</v>
      </c>
      <c r="D6" s="87">
        <v>48</v>
      </c>
      <c r="E6" s="87">
        <v>48</v>
      </c>
      <c r="F6" s="87">
        <v>48</v>
      </c>
      <c r="G6" s="87">
        <v>48</v>
      </c>
      <c r="H6" s="87">
        <v>48</v>
      </c>
      <c r="I6" s="87">
        <v>48</v>
      </c>
      <c r="J6" s="87">
        <v>48</v>
      </c>
      <c r="K6" s="87">
        <v>48</v>
      </c>
      <c r="L6" s="87">
        <v>48</v>
      </c>
      <c r="M6" s="87">
        <v>48</v>
      </c>
      <c r="N6" s="87">
        <v>48</v>
      </c>
      <c r="O6" s="87">
        <v>48</v>
      </c>
      <c r="P6" s="87">
        <v>48</v>
      </c>
      <c r="Q6" s="77"/>
    </row>
    <row r="7" spans="1:17" ht="12.75">
      <c r="A7" s="89" t="s">
        <v>16</v>
      </c>
      <c r="B7" s="87">
        <v>3717.5</v>
      </c>
      <c r="C7" s="87">
        <v>3688</v>
      </c>
      <c r="D7" s="87">
        <v>3643</v>
      </c>
      <c r="E7" s="87">
        <v>3643</v>
      </c>
      <c r="F7" s="87">
        <v>3643</v>
      </c>
      <c r="G7" s="87">
        <v>3643</v>
      </c>
      <c r="H7" s="87">
        <v>3645</v>
      </c>
      <c r="I7" s="87">
        <v>3647</v>
      </c>
      <c r="J7" s="87">
        <v>3649</v>
      </c>
      <c r="K7" s="87">
        <v>3651</v>
      </c>
      <c r="L7" s="87">
        <v>3653</v>
      </c>
      <c r="M7" s="87">
        <v>3654</v>
      </c>
      <c r="N7" s="87">
        <v>3654</v>
      </c>
      <c r="O7" s="87">
        <v>3654</v>
      </c>
      <c r="P7" s="87">
        <v>3654</v>
      </c>
      <c r="Q7" s="77">
        <v>11</v>
      </c>
    </row>
    <row r="8" spans="1:17" ht="12.75">
      <c r="A8" s="87" t="s">
        <v>134</v>
      </c>
      <c r="B8" s="87">
        <v>32</v>
      </c>
      <c r="C8" s="87">
        <v>32</v>
      </c>
      <c r="D8" s="87">
        <v>32</v>
      </c>
      <c r="E8" s="87">
        <v>32</v>
      </c>
      <c r="F8" s="87">
        <v>32</v>
      </c>
      <c r="G8" s="87">
        <v>32</v>
      </c>
      <c r="H8" s="87">
        <v>32</v>
      </c>
      <c r="I8" s="87">
        <v>32</v>
      </c>
      <c r="J8" s="87">
        <v>32</v>
      </c>
      <c r="K8" s="87">
        <v>32</v>
      </c>
      <c r="L8" s="87">
        <v>32</v>
      </c>
      <c r="M8" s="87">
        <v>32</v>
      </c>
      <c r="N8" s="87">
        <v>32</v>
      </c>
      <c r="O8" s="87">
        <v>32</v>
      </c>
      <c r="P8" s="87">
        <v>32</v>
      </c>
      <c r="Q8" s="77">
        <v>0</v>
      </c>
    </row>
    <row r="9" spans="1:17" ht="12.75">
      <c r="A9" s="87" t="s">
        <v>4</v>
      </c>
      <c r="B9" s="87">
        <v>11611</v>
      </c>
      <c r="C9" s="87">
        <v>11691</v>
      </c>
      <c r="D9" s="87">
        <v>11720</v>
      </c>
      <c r="E9" s="87">
        <v>11722</v>
      </c>
      <c r="F9" s="87">
        <v>11724</v>
      </c>
      <c r="G9" s="87">
        <v>11726</v>
      </c>
      <c r="H9" s="87">
        <v>11730</v>
      </c>
      <c r="I9" s="87">
        <v>11735</v>
      </c>
      <c r="J9" s="87">
        <v>11740</v>
      </c>
      <c r="K9" s="87">
        <v>11745</v>
      </c>
      <c r="L9" s="87">
        <v>11749</v>
      </c>
      <c r="M9" s="87">
        <v>11752</v>
      </c>
      <c r="N9" s="87">
        <v>11754</v>
      </c>
      <c r="O9" s="87">
        <v>11756</v>
      </c>
      <c r="P9" s="87">
        <v>11758</v>
      </c>
      <c r="Q9" s="87">
        <v>38</v>
      </c>
    </row>
    <row r="12" spans="1:17" ht="12.75">
      <c r="A12" s="140" t="s">
        <v>135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</row>
    <row r="13" spans="1:17" ht="12.7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ht="12.75">
      <c r="A14" s="94"/>
      <c r="B14" s="141" t="s">
        <v>118</v>
      </c>
      <c r="C14" s="141"/>
      <c r="D14" s="141" t="s">
        <v>119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94" t="s">
        <v>120</v>
      </c>
    </row>
    <row r="15" spans="1:17" ht="12.75">
      <c r="A15" s="78" t="s">
        <v>121</v>
      </c>
      <c r="B15" s="108">
        <v>39783</v>
      </c>
      <c r="C15" s="108">
        <v>40148</v>
      </c>
      <c r="D15" s="108">
        <v>40513</v>
      </c>
      <c r="E15" s="72" t="s">
        <v>122</v>
      </c>
      <c r="F15" s="72" t="s">
        <v>123</v>
      </c>
      <c r="G15" s="72" t="s">
        <v>124</v>
      </c>
      <c r="H15" s="72" t="s">
        <v>125</v>
      </c>
      <c r="I15" s="72" t="s">
        <v>126</v>
      </c>
      <c r="J15" s="72" t="s">
        <v>127</v>
      </c>
      <c r="K15" s="72" t="s">
        <v>128</v>
      </c>
      <c r="L15" s="72" t="s">
        <v>129</v>
      </c>
      <c r="M15" s="72" t="s">
        <v>130</v>
      </c>
      <c r="N15" s="72" t="s">
        <v>131</v>
      </c>
      <c r="O15" s="72" t="s">
        <v>132</v>
      </c>
      <c r="P15" s="72" t="s">
        <v>133</v>
      </c>
      <c r="Q15" s="78"/>
    </row>
    <row r="16" spans="1:17" ht="12.75">
      <c r="A16" s="89" t="s">
        <v>70</v>
      </c>
      <c r="B16" s="87">
        <v>7923</v>
      </c>
      <c r="C16" s="87">
        <v>7997</v>
      </c>
      <c r="D16" s="87">
        <v>8024</v>
      </c>
      <c r="E16" s="87">
        <v>8026</v>
      </c>
      <c r="F16" s="87">
        <v>8028</v>
      </c>
      <c r="G16" s="87">
        <v>8030</v>
      </c>
      <c r="H16" s="87">
        <v>8032</v>
      </c>
      <c r="I16" s="87">
        <v>8035</v>
      </c>
      <c r="J16" s="87">
        <v>8038</v>
      </c>
      <c r="K16" s="87">
        <v>8041</v>
      </c>
      <c r="L16" s="87">
        <v>8043</v>
      </c>
      <c r="M16" s="87">
        <v>8045</v>
      </c>
      <c r="N16" s="87">
        <v>8047</v>
      </c>
      <c r="O16" s="87">
        <v>8049</v>
      </c>
      <c r="P16" s="87">
        <v>8049</v>
      </c>
      <c r="Q16" s="77">
        <v>25</v>
      </c>
    </row>
    <row r="17" spans="1:17" ht="12.75">
      <c r="A17" s="89" t="s">
        <v>71</v>
      </c>
      <c r="B17" s="87">
        <v>48</v>
      </c>
      <c r="C17" s="87">
        <v>48</v>
      </c>
      <c r="D17" s="87">
        <v>48</v>
      </c>
      <c r="E17" s="87">
        <v>48</v>
      </c>
      <c r="F17" s="87">
        <v>48</v>
      </c>
      <c r="G17" s="87">
        <v>48</v>
      </c>
      <c r="H17" s="87">
        <v>48</v>
      </c>
      <c r="I17" s="87">
        <v>48</v>
      </c>
      <c r="J17" s="87">
        <v>48</v>
      </c>
      <c r="K17" s="87">
        <v>48</v>
      </c>
      <c r="L17" s="87">
        <v>48</v>
      </c>
      <c r="M17" s="87">
        <v>48</v>
      </c>
      <c r="N17" s="87">
        <v>48</v>
      </c>
      <c r="O17" s="87">
        <v>48</v>
      </c>
      <c r="P17" s="87">
        <v>48</v>
      </c>
      <c r="Q17" s="77"/>
    </row>
    <row r="18" spans="1:17" ht="12.75">
      <c r="A18" s="89" t="s">
        <v>16</v>
      </c>
      <c r="B18" s="87">
        <v>3688</v>
      </c>
      <c r="C18" s="87">
        <v>3643</v>
      </c>
      <c r="D18" s="87">
        <v>3654</v>
      </c>
      <c r="E18" s="87">
        <v>3654</v>
      </c>
      <c r="F18" s="87">
        <v>3654</v>
      </c>
      <c r="G18" s="87">
        <v>3654</v>
      </c>
      <c r="H18" s="87">
        <v>3655</v>
      </c>
      <c r="I18" s="87">
        <v>3657</v>
      </c>
      <c r="J18" s="87">
        <v>3659</v>
      </c>
      <c r="K18" s="87">
        <v>3661</v>
      </c>
      <c r="L18" s="87">
        <v>3663</v>
      </c>
      <c r="M18" s="87">
        <v>3665</v>
      </c>
      <c r="N18" s="87">
        <v>3665</v>
      </c>
      <c r="O18" s="87">
        <v>3665</v>
      </c>
      <c r="P18" s="87">
        <v>3665</v>
      </c>
      <c r="Q18" s="77">
        <v>11</v>
      </c>
    </row>
    <row r="19" spans="1:17" ht="12.75">
      <c r="A19" s="87" t="s">
        <v>134</v>
      </c>
      <c r="B19" s="87">
        <v>32</v>
      </c>
      <c r="C19" s="87">
        <v>32</v>
      </c>
      <c r="D19" s="87">
        <v>32</v>
      </c>
      <c r="E19" s="87">
        <v>32</v>
      </c>
      <c r="F19" s="87">
        <v>32</v>
      </c>
      <c r="G19" s="87">
        <v>32</v>
      </c>
      <c r="H19" s="87">
        <v>32</v>
      </c>
      <c r="I19" s="87">
        <v>32</v>
      </c>
      <c r="J19" s="87">
        <v>32</v>
      </c>
      <c r="K19" s="87">
        <v>32</v>
      </c>
      <c r="L19" s="87">
        <v>32</v>
      </c>
      <c r="M19" s="87">
        <v>32</v>
      </c>
      <c r="N19" s="87">
        <v>32</v>
      </c>
      <c r="O19" s="87">
        <v>32</v>
      </c>
      <c r="P19" s="87">
        <v>32</v>
      </c>
      <c r="Q19" s="77">
        <v>0</v>
      </c>
    </row>
    <row r="20" spans="1:17" ht="12.75">
      <c r="A20" s="87" t="s">
        <v>4</v>
      </c>
      <c r="B20" s="87">
        <v>11691</v>
      </c>
      <c r="C20" s="87">
        <v>11720</v>
      </c>
      <c r="D20" s="87">
        <v>11758</v>
      </c>
      <c r="E20" s="87">
        <v>11760</v>
      </c>
      <c r="F20" s="87">
        <v>11762</v>
      </c>
      <c r="G20" s="87">
        <v>11764</v>
      </c>
      <c r="H20" s="87">
        <v>11767</v>
      </c>
      <c r="I20" s="87">
        <v>11772</v>
      </c>
      <c r="J20" s="87">
        <v>11777</v>
      </c>
      <c r="K20" s="87">
        <v>11782</v>
      </c>
      <c r="L20" s="87">
        <v>11786</v>
      </c>
      <c r="M20" s="87">
        <v>11790</v>
      </c>
      <c r="N20" s="87">
        <v>11792</v>
      </c>
      <c r="O20" s="87">
        <v>11794</v>
      </c>
      <c r="P20" s="87">
        <v>11794</v>
      </c>
      <c r="Q20" s="87">
        <v>36</v>
      </c>
    </row>
  </sheetData>
  <mergeCells count="6">
    <mergeCell ref="B14:C14"/>
    <mergeCell ref="A1:Q1"/>
    <mergeCell ref="B3:C3"/>
    <mergeCell ref="A12:Q12"/>
    <mergeCell ref="D14:P14"/>
    <mergeCell ref="D3:P3"/>
  </mergeCells>
  <printOptions/>
  <pageMargins left="0.75" right="0.75" top="1" bottom="1" header="0.5" footer="0.5"/>
  <pageSetup fitToHeight="1" fitToWidth="1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3.28125" style="0" customWidth="1"/>
    <col min="2" max="2" width="19.421875" style="0" customWidth="1"/>
    <col min="3" max="3" width="7.421875" style="0" customWidth="1"/>
    <col min="4" max="4" width="7.7109375" style="0" customWidth="1"/>
    <col min="5" max="5" width="13.421875" style="0" customWidth="1"/>
    <col min="6" max="7" width="10.421875" style="0" bestFit="1" customWidth="1"/>
    <col min="8" max="8" width="10.8515625" style="0" bestFit="1" customWidth="1"/>
    <col min="9" max="9" width="11.8515625" style="0" bestFit="1" customWidth="1"/>
    <col min="10" max="10" width="11.28125" style="0" bestFit="1" customWidth="1"/>
  </cols>
  <sheetData>
    <row r="2" spans="2:10" ht="12.75">
      <c r="B2" s="141" t="s">
        <v>136</v>
      </c>
      <c r="C2" s="141"/>
      <c r="D2" s="141"/>
      <c r="E2" s="141"/>
      <c r="F2" s="141"/>
      <c r="G2" s="141"/>
      <c r="H2" s="141"/>
      <c r="I2" s="141"/>
      <c r="J2" s="141"/>
    </row>
    <row r="3" spans="2:10" ht="12.75" customHeight="1">
      <c r="B3" s="145" t="s">
        <v>81</v>
      </c>
      <c r="C3" s="133" t="s">
        <v>137</v>
      </c>
      <c r="D3" s="133" t="s">
        <v>138</v>
      </c>
      <c r="E3" s="133" t="s">
        <v>139</v>
      </c>
      <c r="F3" s="145" t="s">
        <v>186</v>
      </c>
      <c r="G3" s="145"/>
      <c r="H3" s="145" t="s">
        <v>141</v>
      </c>
      <c r="I3" s="145"/>
      <c r="J3" s="145"/>
    </row>
    <row r="4" spans="2:10" ht="12.75">
      <c r="B4" s="145"/>
      <c r="C4" s="133"/>
      <c r="D4" s="133"/>
      <c r="E4" s="133"/>
      <c r="F4" s="84" t="s">
        <v>88</v>
      </c>
      <c r="G4" s="84" t="s">
        <v>142</v>
      </c>
      <c r="H4" s="84" t="s">
        <v>88</v>
      </c>
      <c r="I4" s="84" t="s">
        <v>142</v>
      </c>
      <c r="J4" s="84" t="s">
        <v>4</v>
      </c>
    </row>
    <row r="5" spans="2:10" ht="12.75">
      <c r="B5" s="85" t="s">
        <v>143</v>
      </c>
      <c r="C5" s="78"/>
      <c r="D5" s="78"/>
      <c r="E5" s="78"/>
      <c r="F5" s="78"/>
      <c r="G5" s="78"/>
      <c r="H5" s="78"/>
      <c r="I5" s="78"/>
      <c r="J5" s="78"/>
    </row>
    <row r="6" spans="2:10" ht="12.75">
      <c r="B6" s="86" t="s">
        <v>144</v>
      </c>
      <c r="C6" s="72" t="s">
        <v>74</v>
      </c>
      <c r="D6" s="87">
        <f>AVERAGE('Customer Forecast'!E5:P5)</f>
        <v>8011.75</v>
      </c>
      <c r="E6" s="87">
        <f>'Forecast Data'!J7</f>
        <v>104754767</v>
      </c>
      <c r="F6" s="88">
        <f>'2007 GLP DRO'!G15</f>
        <v>20.41</v>
      </c>
      <c r="G6" s="76">
        <f>'2007 GLP DRO'!H15</f>
        <v>0.1068713148207342</v>
      </c>
      <c r="H6" s="89">
        <f>D6*F6*12</f>
        <v>1962237.81</v>
      </c>
      <c r="I6" s="77">
        <f>E6*G6</f>
        <v>11195279.683029657</v>
      </c>
      <c r="J6" s="77">
        <f>H6+I6</f>
        <v>13157517.493029658</v>
      </c>
    </row>
    <row r="7" spans="2:10" ht="12.75">
      <c r="B7" s="86" t="s">
        <v>145</v>
      </c>
      <c r="C7" s="72" t="s">
        <v>73</v>
      </c>
      <c r="D7" s="87">
        <f>AVERAGE('Customer Forecast'!E6:P6)</f>
        <v>48</v>
      </c>
      <c r="E7" s="87">
        <f>'Forecast Data'!J24</f>
        <v>151138</v>
      </c>
      <c r="F7" s="88">
        <f>'2007 GLP DRO'!G16</f>
        <v>596.12</v>
      </c>
      <c r="G7" s="76">
        <f>'2007 GLP DRO'!H16</f>
        <v>7.337510496522048</v>
      </c>
      <c r="H7" s="89">
        <f>D7*F7*12</f>
        <v>343365.12</v>
      </c>
      <c r="I7" s="77">
        <f>E7*G7</f>
        <v>1108976.6614233493</v>
      </c>
      <c r="J7" s="77">
        <f>H7+I7</f>
        <v>1452341.7814233494</v>
      </c>
    </row>
    <row r="8" spans="2:10" ht="12.75">
      <c r="B8" s="85" t="s">
        <v>146</v>
      </c>
      <c r="C8" s="72"/>
      <c r="D8" s="87"/>
      <c r="E8" s="77"/>
      <c r="F8" s="88"/>
      <c r="G8" s="76"/>
      <c r="H8" s="90">
        <f>SUM(H6:H7)</f>
        <v>2305602.93</v>
      </c>
      <c r="I8" s="90">
        <f>SUM(I6:I7)</f>
        <v>12304256.344453007</v>
      </c>
      <c r="J8" s="77">
        <f>SUM(J6:J7)</f>
        <v>14609859.274453007</v>
      </c>
    </row>
    <row r="9" spans="2:10" ht="12.75">
      <c r="B9" s="71" t="s">
        <v>16</v>
      </c>
      <c r="C9" s="72" t="s">
        <v>74</v>
      </c>
      <c r="D9" s="87">
        <f>AVERAGE('Customer Forecast'!E7:P7)</f>
        <v>3649.1666666666665</v>
      </c>
      <c r="E9" s="87">
        <f>'Forecast Data'!J15</f>
        <v>12459994</v>
      </c>
      <c r="F9" s="88">
        <f>'2007 GLP DRO'!G17</f>
        <v>24</v>
      </c>
      <c r="G9" s="76">
        <f>'2007 GLP DRO'!H17</f>
        <v>0.14116926076430925</v>
      </c>
      <c r="H9" s="89">
        <f>D9*F9*12</f>
        <v>1050960</v>
      </c>
      <c r="I9" s="77">
        <f>E9*G9</f>
        <v>1758968.1421077286</v>
      </c>
      <c r="J9" s="77">
        <f>H9+I9</f>
        <v>2809928.142107729</v>
      </c>
    </row>
    <row r="10" spans="2:10" ht="12.75">
      <c r="B10" s="71" t="s">
        <v>147</v>
      </c>
      <c r="C10" s="72" t="s">
        <v>74</v>
      </c>
      <c r="D10" s="87">
        <v>1052</v>
      </c>
      <c r="E10" s="87">
        <f>'Forecast Data'!J32</f>
        <v>791996</v>
      </c>
      <c r="F10" s="88">
        <f>'2007 GLP DRO'!G18</f>
        <v>0</v>
      </c>
      <c r="G10" s="76">
        <f>'2007 GLP DRO'!H18</f>
        <v>0.0602100962352432</v>
      </c>
      <c r="H10" s="89">
        <f>D10*F10*12</f>
        <v>0</v>
      </c>
      <c r="I10" s="77">
        <f>E10*G10</f>
        <v>47686.15537792767</v>
      </c>
      <c r="J10" s="77">
        <f>H10+I10</f>
        <v>47686.15537792767</v>
      </c>
    </row>
    <row r="11" spans="2:10" ht="12.75">
      <c r="B11" s="78"/>
      <c r="C11" s="78"/>
      <c r="D11" s="87"/>
      <c r="E11" s="78"/>
      <c r="F11" s="88"/>
      <c r="G11" s="77"/>
      <c r="H11" s="77">
        <f>SUM(H8:H10)</f>
        <v>3356562.93</v>
      </c>
      <c r="I11" s="77">
        <f>SUM(I8:I10)</f>
        <v>14110910.641938664</v>
      </c>
      <c r="J11" s="77">
        <f>SUM(J8:J10)</f>
        <v>17467473.571938664</v>
      </c>
    </row>
  </sheetData>
  <mergeCells count="7">
    <mergeCell ref="B2:J2"/>
    <mergeCell ref="B3:B4"/>
    <mergeCell ref="C3:C4"/>
    <mergeCell ref="D3:D4"/>
    <mergeCell ref="E3:E4"/>
    <mergeCell ref="F3:G3"/>
    <mergeCell ref="H3:J3"/>
  </mergeCells>
  <printOptions/>
  <pageMargins left="0.75" right="0.75" top="1" bottom="1" header="0.5" footer="0.5"/>
  <pageSetup fitToHeight="1" fitToWidth="1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2.421875" style="0" customWidth="1"/>
    <col min="2" max="2" width="19.421875" style="0" customWidth="1"/>
    <col min="3" max="3" width="7.421875" style="0" customWidth="1"/>
    <col min="4" max="4" width="7.7109375" style="0" customWidth="1"/>
    <col min="5" max="5" width="13.421875" style="0" customWidth="1"/>
    <col min="6" max="8" width="10.421875" style="0" bestFit="1" customWidth="1"/>
    <col min="9" max="10" width="11.28125" style="0" bestFit="1" customWidth="1"/>
  </cols>
  <sheetData>
    <row r="2" spans="2:10" ht="12.75">
      <c r="B2" s="141" t="s">
        <v>148</v>
      </c>
      <c r="C2" s="141"/>
      <c r="D2" s="141"/>
      <c r="E2" s="141"/>
      <c r="F2" s="141"/>
      <c r="G2" s="141"/>
      <c r="H2" s="141"/>
      <c r="I2" s="141"/>
      <c r="J2" s="141"/>
    </row>
    <row r="3" spans="2:10" ht="12.75" customHeight="1">
      <c r="B3" s="145" t="s">
        <v>81</v>
      </c>
      <c r="C3" s="133" t="s">
        <v>137</v>
      </c>
      <c r="D3" s="133" t="s">
        <v>138</v>
      </c>
      <c r="E3" s="133" t="s">
        <v>139</v>
      </c>
      <c r="F3" s="145" t="s">
        <v>140</v>
      </c>
      <c r="G3" s="145"/>
      <c r="H3" s="145" t="s">
        <v>141</v>
      </c>
      <c r="I3" s="145"/>
      <c r="J3" s="145"/>
    </row>
    <row r="4" spans="2:10" ht="12.75">
      <c r="B4" s="145"/>
      <c r="C4" s="133"/>
      <c r="D4" s="133"/>
      <c r="E4" s="133"/>
      <c r="F4" s="84" t="s">
        <v>88</v>
      </c>
      <c r="G4" s="84" t="s">
        <v>142</v>
      </c>
      <c r="H4" s="84" t="s">
        <v>88</v>
      </c>
      <c r="I4" s="84" t="s">
        <v>142</v>
      </c>
      <c r="J4" s="84" t="s">
        <v>4</v>
      </c>
    </row>
    <row r="5" spans="2:10" ht="12.75">
      <c r="B5" s="85" t="s">
        <v>143</v>
      </c>
      <c r="C5" s="78"/>
      <c r="D5" s="78"/>
      <c r="E5" s="78"/>
      <c r="F5" s="78"/>
      <c r="G5" s="78"/>
      <c r="H5" s="78"/>
      <c r="I5" s="78"/>
      <c r="J5" s="78"/>
    </row>
    <row r="6" spans="2:10" ht="12.75">
      <c r="B6" s="86" t="s">
        <v>144</v>
      </c>
      <c r="C6" s="72" t="s">
        <v>74</v>
      </c>
      <c r="D6" s="87">
        <f>AVERAGE('Customer Forecast'!E16:P16)</f>
        <v>8038.583333333333</v>
      </c>
      <c r="E6" s="87">
        <f>'Forecast Data'!K7</f>
        <v>106119297</v>
      </c>
      <c r="F6" s="88">
        <f>'2007 GLP DRO'!G15</f>
        <v>20.41</v>
      </c>
      <c r="G6" s="91">
        <f>'2007 GLP DRO'!H15</f>
        <v>0.1068713148207342</v>
      </c>
      <c r="H6" s="89">
        <f>D6*F6*12</f>
        <v>1968809.83</v>
      </c>
      <c r="I6" s="77">
        <f>E6*G6</f>
        <v>11341108.798241993</v>
      </c>
      <c r="J6" s="77">
        <f>H6+I6</f>
        <v>13309918.628241993</v>
      </c>
    </row>
    <row r="7" spans="2:10" ht="12.75">
      <c r="B7" s="86" t="s">
        <v>145</v>
      </c>
      <c r="C7" s="72" t="s">
        <v>73</v>
      </c>
      <c r="D7" s="87">
        <f>AVERAGE('Customer Forecast'!E17:P17)</f>
        <v>48</v>
      </c>
      <c r="E7" s="87">
        <f>'Forecast Data'!K24</f>
        <v>151952</v>
      </c>
      <c r="F7" s="88">
        <f>'2007 GLP DRO'!G16</f>
        <v>596.12</v>
      </c>
      <c r="G7" s="91">
        <f>'2007 GLP DRO'!H16</f>
        <v>7.337510496522048</v>
      </c>
      <c r="H7" s="89">
        <f>D7*F7*12</f>
        <v>343365.12</v>
      </c>
      <c r="I7" s="77">
        <f>E7*G7</f>
        <v>1114949.3949675183</v>
      </c>
      <c r="J7" s="77">
        <f>H7+I7</f>
        <v>1458314.5149675184</v>
      </c>
    </row>
    <row r="8" spans="2:10" ht="12.75">
      <c r="B8" s="85" t="s">
        <v>146</v>
      </c>
      <c r="C8" s="72"/>
      <c r="D8" s="87"/>
      <c r="E8" s="77"/>
      <c r="F8" s="88"/>
      <c r="G8" s="91"/>
      <c r="H8" s="90">
        <f>SUM(H6:H7)</f>
        <v>2312174.95</v>
      </c>
      <c r="I8" s="90">
        <f>SUM(I6:I7)</f>
        <v>12456058.193209512</v>
      </c>
      <c r="J8" s="77">
        <f>SUM(J6:J7)</f>
        <v>14768233.143209511</v>
      </c>
    </row>
    <row r="9" spans="2:10" ht="12.75">
      <c r="B9" s="71" t="s">
        <v>16</v>
      </c>
      <c r="C9" s="72" t="s">
        <v>74</v>
      </c>
      <c r="D9" s="87">
        <f>AVERAGE('Customer Forecast'!E18:P18)</f>
        <v>3659.75</v>
      </c>
      <c r="E9" s="87">
        <f>'Forecast Data'!K15</f>
        <v>12622297</v>
      </c>
      <c r="F9" s="88">
        <f>'2007 GLP DRO'!G17</f>
        <v>24</v>
      </c>
      <c r="G9" s="91">
        <f>'2007 GLP DRO'!H17</f>
        <v>0.14116926076430925</v>
      </c>
      <c r="H9" s="89">
        <f>D9*F9*12</f>
        <v>1054008</v>
      </c>
      <c r="I9" s="77">
        <f>E9*G9</f>
        <v>1781880.3366375582</v>
      </c>
      <c r="J9" s="77">
        <f>H9+I9</f>
        <v>2835888.3366375584</v>
      </c>
    </row>
    <row r="10" spans="2:10" ht="12.75">
      <c r="B10" s="71" t="s">
        <v>147</v>
      </c>
      <c r="C10" s="72" t="s">
        <v>74</v>
      </c>
      <c r="D10" s="87">
        <v>1052</v>
      </c>
      <c r="E10" s="87">
        <f>'Forecast Data'!K32</f>
        <v>791996</v>
      </c>
      <c r="F10" s="88">
        <f>'2007 GLP DRO'!G18</f>
        <v>0</v>
      </c>
      <c r="G10" s="91">
        <f>'2007 GLP DRO'!H18</f>
        <v>0.0602100962352432</v>
      </c>
      <c r="H10" s="89">
        <f>D10*F10*12</f>
        <v>0</v>
      </c>
      <c r="I10" s="77">
        <f>E10*G10</f>
        <v>47686.15537792767</v>
      </c>
      <c r="J10" s="77">
        <f>H10+I10</f>
        <v>47686.15537792767</v>
      </c>
    </row>
    <row r="11" spans="2:10" ht="12.75">
      <c r="B11" s="78"/>
      <c r="C11" s="78"/>
      <c r="D11" s="87"/>
      <c r="E11" s="78"/>
      <c r="F11" s="88"/>
      <c r="G11" s="77"/>
      <c r="H11" s="77">
        <f>SUM(H8:H10)</f>
        <v>3366182.95</v>
      </c>
      <c r="I11" s="77">
        <f>SUM(I8:I10)</f>
        <v>14285624.685224999</v>
      </c>
      <c r="J11" s="77">
        <f>SUM(J8:J10)</f>
        <v>17651807.635224998</v>
      </c>
    </row>
  </sheetData>
  <mergeCells count="7">
    <mergeCell ref="B2:J2"/>
    <mergeCell ref="B3:B4"/>
    <mergeCell ref="C3:C4"/>
    <mergeCell ref="D3:D4"/>
    <mergeCell ref="E3:E4"/>
    <mergeCell ref="F3:G3"/>
    <mergeCell ref="H3:J3"/>
  </mergeCells>
  <printOptions/>
  <pageMargins left="0.75" right="0.75" top="1" bottom="1" header="0.5" footer="0.5"/>
  <pageSetup fitToHeight="1" fitToWidth="1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workbookViewId="0" topLeftCell="A31">
      <selection activeCell="B23" sqref="B23:I23"/>
    </sheetView>
  </sheetViews>
  <sheetFormatPr defaultColWidth="9.140625" defaultRowHeight="12.75"/>
  <cols>
    <col min="1" max="1" width="10.57421875" style="0" customWidth="1"/>
    <col min="2" max="2" width="46.8515625" style="0" customWidth="1"/>
    <col min="3" max="5" width="15.7109375" style="0" customWidth="1"/>
    <col min="6" max="9" width="0" style="0" hidden="1" customWidth="1"/>
    <col min="10" max="10" width="15.7109375" style="0" customWidth="1"/>
    <col min="11" max="14" width="0" style="0" hidden="1" customWidth="1"/>
    <col min="15" max="15" width="15.7109375" style="0" customWidth="1"/>
  </cols>
  <sheetData>
    <row r="1" spans="1:15" ht="20.25">
      <c r="A1" s="152" t="s">
        <v>0</v>
      </c>
      <c r="B1" s="152"/>
      <c r="C1" s="152"/>
      <c r="D1" s="152"/>
      <c r="E1" s="152"/>
      <c r="F1" s="152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153" t="s">
        <v>1</v>
      </c>
      <c r="B2" s="153"/>
      <c r="C2" s="153"/>
      <c r="D2" s="153"/>
      <c r="E2" s="153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7">
      <c r="A3" s="154" t="s">
        <v>207</v>
      </c>
      <c r="B3" s="154"/>
      <c r="C3" s="154"/>
      <c r="D3" s="154"/>
      <c r="E3" s="154"/>
      <c r="F3" s="1"/>
      <c r="G3" s="2"/>
      <c r="H3" s="1"/>
      <c r="I3" s="1"/>
      <c r="J3" s="1"/>
      <c r="K3" s="1"/>
      <c r="L3" s="1"/>
      <c r="M3" s="1"/>
      <c r="N3" s="1"/>
      <c r="O3" s="1"/>
    </row>
    <row r="4" spans="1:15" ht="18.75">
      <c r="A4" s="155">
        <v>40330</v>
      </c>
      <c r="B4" s="155"/>
      <c r="C4" s="155"/>
      <c r="D4" s="155"/>
      <c r="E4" s="155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0.25">
      <c r="A5" s="3" t="s">
        <v>2</v>
      </c>
      <c r="B5" s="4"/>
      <c r="C5" s="5"/>
      <c r="D5" s="5"/>
      <c r="E5" s="6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7"/>
      <c r="B6" s="7"/>
      <c r="C6" s="8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9"/>
      <c r="B7" s="10"/>
      <c r="C7" s="11"/>
      <c r="D7" s="12"/>
      <c r="E7" s="13"/>
      <c r="F7" s="13"/>
      <c r="G7" s="13"/>
      <c r="H7" s="12"/>
      <c r="I7" s="12"/>
      <c r="J7" s="12"/>
      <c r="K7" s="12"/>
      <c r="L7" s="12"/>
      <c r="M7" s="10"/>
      <c r="N7" s="10"/>
      <c r="O7" s="10"/>
    </row>
    <row r="8" spans="1:15" ht="12.75">
      <c r="A8" s="14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0"/>
      <c r="N8" s="10"/>
      <c r="O8" s="10"/>
    </row>
    <row r="9" spans="1:15" ht="12.75">
      <c r="A9" s="9"/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0"/>
      <c r="N9" s="10"/>
      <c r="O9" s="10"/>
    </row>
    <row r="10" spans="1:15" ht="12.75">
      <c r="A10" s="15"/>
      <c r="B10" s="16"/>
      <c r="C10" s="17"/>
      <c r="D10" s="18"/>
      <c r="E10" s="18"/>
      <c r="F10" s="18"/>
      <c r="G10" s="12"/>
      <c r="H10" s="12"/>
      <c r="I10" s="12"/>
      <c r="J10" s="12"/>
      <c r="K10" s="12"/>
      <c r="L10" s="12"/>
      <c r="M10" s="10"/>
      <c r="N10" s="10"/>
      <c r="O10" s="10"/>
    </row>
    <row r="11" spans="1:15" ht="12.75">
      <c r="A11" s="15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0"/>
      <c r="N11" s="10"/>
      <c r="O11" s="10"/>
    </row>
    <row r="12" spans="1:15" ht="12.75">
      <c r="A12" s="15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0"/>
      <c r="N12" s="10"/>
      <c r="O12" s="10"/>
    </row>
    <row r="13" spans="1:15" ht="12.75">
      <c r="A13" s="19"/>
      <c r="B13" s="2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0"/>
      <c r="N13" s="10"/>
      <c r="O13" s="10"/>
    </row>
    <row r="14" spans="1:15" ht="12.75">
      <c r="A14" s="1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0"/>
      <c r="N14" s="10"/>
      <c r="O14" s="10"/>
    </row>
    <row r="15" spans="1:15" ht="13.5" thickBot="1">
      <c r="A15" s="22"/>
      <c r="B15" s="23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0"/>
      <c r="N15" s="10"/>
      <c r="O15" s="10"/>
    </row>
    <row r="16" spans="1:15" ht="12.75">
      <c r="A16" s="24"/>
      <c r="B16" s="25"/>
      <c r="C16" s="26"/>
      <c r="D16" s="27">
        <v>1</v>
      </c>
      <c r="E16" s="27">
        <v>2</v>
      </c>
      <c r="F16" s="27">
        <v>3</v>
      </c>
      <c r="G16" s="27">
        <v>4</v>
      </c>
      <c r="H16" s="27">
        <v>5</v>
      </c>
      <c r="I16" s="27">
        <v>6</v>
      </c>
      <c r="J16" s="27">
        <v>7</v>
      </c>
      <c r="K16" s="27">
        <v>8</v>
      </c>
      <c r="L16" s="27">
        <v>9</v>
      </c>
      <c r="M16" s="27">
        <v>10</v>
      </c>
      <c r="N16" s="27">
        <v>11</v>
      </c>
      <c r="O16" s="27">
        <v>12</v>
      </c>
    </row>
    <row r="17" spans="1:15" ht="51.75" thickBot="1">
      <c r="A17" s="28" t="s">
        <v>3</v>
      </c>
      <c r="B17" s="29"/>
      <c r="C17" s="30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1" t="s">
        <v>16</v>
      </c>
    </row>
    <row r="18" spans="1:15" ht="12.75">
      <c r="A18" s="32" t="s">
        <v>17</v>
      </c>
      <c r="B18" s="33" t="s">
        <v>18</v>
      </c>
      <c r="C18" s="34">
        <v>17467473.57193871</v>
      </c>
      <c r="D18" s="35">
        <v>13157517.4930297</v>
      </c>
      <c r="E18" s="35">
        <v>1452341.78142335</v>
      </c>
      <c r="F18" s="35">
        <v>0</v>
      </c>
      <c r="G18" s="35">
        <v>0</v>
      </c>
      <c r="H18" s="35">
        <v>0</v>
      </c>
      <c r="I18" s="35">
        <v>0</v>
      </c>
      <c r="J18" s="35">
        <v>47686.1553779277</v>
      </c>
      <c r="K18" s="35">
        <v>0</v>
      </c>
      <c r="L18" s="35">
        <v>0</v>
      </c>
      <c r="M18" s="35">
        <v>0</v>
      </c>
      <c r="N18" s="35">
        <v>0</v>
      </c>
      <c r="O18" s="35">
        <v>2809928.14210773</v>
      </c>
    </row>
    <row r="19" spans="1:15" ht="13.5" thickBot="1">
      <c r="A19" s="32" t="s">
        <v>19</v>
      </c>
      <c r="B19" s="33" t="s">
        <v>20</v>
      </c>
      <c r="C19" s="36">
        <v>343057</v>
      </c>
      <c r="D19" s="37">
        <v>217489.6827090995</v>
      </c>
      <c r="E19" s="37">
        <v>88132.6245424829</v>
      </c>
      <c r="F19" s="37">
        <v>0</v>
      </c>
      <c r="G19" s="37">
        <v>0</v>
      </c>
      <c r="H19" s="37">
        <v>0</v>
      </c>
      <c r="I19" s="37">
        <v>0</v>
      </c>
      <c r="J19" s="37">
        <v>5003.289527267954</v>
      </c>
      <c r="K19" s="37">
        <v>0</v>
      </c>
      <c r="L19" s="37">
        <v>0</v>
      </c>
      <c r="M19" s="37">
        <v>0</v>
      </c>
      <c r="N19" s="37">
        <v>0</v>
      </c>
      <c r="O19" s="37">
        <v>32431.40322114977</v>
      </c>
    </row>
    <row r="20" spans="1:15" ht="13.5" thickBot="1">
      <c r="A20" s="32"/>
      <c r="B20" s="38" t="s">
        <v>21</v>
      </c>
      <c r="C20" s="39">
        <v>17810530.57193871</v>
      </c>
      <c r="D20" s="40">
        <v>13375007.1757388</v>
      </c>
      <c r="E20" s="40">
        <v>1540474.405965833</v>
      </c>
      <c r="F20" s="40">
        <v>0</v>
      </c>
      <c r="G20" s="40">
        <v>0</v>
      </c>
      <c r="H20" s="40">
        <v>0</v>
      </c>
      <c r="I20" s="40">
        <v>0</v>
      </c>
      <c r="J20" s="40">
        <v>52689.444905195654</v>
      </c>
      <c r="K20" s="40">
        <v>0</v>
      </c>
      <c r="L20" s="40">
        <v>0</v>
      </c>
      <c r="M20" s="40">
        <v>0</v>
      </c>
      <c r="N20" s="40">
        <v>0</v>
      </c>
      <c r="O20" s="40">
        <v>2842359.5453288797</v>
      </c>
    </row>
    <row r="21" spans="1:15" ht="13.5" thickTop="1">
      <c r="A21" s="32"/>
      <c r="B21" s="33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3"/>
      <c r="O21" s="43"/>
    </row>
    <row r="22" spans="1:15" ht="12.75">
      <c r="A22" s="32"/>
      <c r="B22" s="44" t="s">
        <v>22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3"/>
      <c r="O22" s="43"/>
    </row>
    <row r="23" spans="1:15" ht="12.75">
      <c r="A23" s="32" t="s">
        <v>23</v>
      </c>
      <c r="B23" s="33" t="s">
        <v>24</v>
      </c>
      <c r="C23" s="41">
        <v>4762863.11807239</v>
      </c>
      <c r="D23" s="42">
        <v>2866301.022446063</v>
      </c>
      <c r="E23" s="42">
        <v>1306233.592732131</v>
      </c>
      <c r="F23" s="42">
        <v>0</v>
      </c>
      <c r="G23" s="42">
        <v>0</v>
      </c>
      <c r="H23" s="42">
        <v>0</v>
      </c>
      <c r="I23" s="42">
        <v>0</v>
      </c>
      <c r="J23" s="42">
        <v>87720.28850066959</v>
      </c>
      <c r="K23" s="42">
        <v>0</v>
      </c>
      <c r="L23" s="42">
        <v>0</v>
      </c>
      <c r="M23" s="42">
        <v>0</v>
      </c>
      <c r="N23" s="42">
        <v>0</v>
      </c>
      <c r="O23" s="42">
        <v>502608.21439352655</v>
      </c>
    </row>
    <row r="24" spans="1:15" ht="12.75">
      <c r="A24" s="32" t="s">
        <v>25</v>
      </c>
      <c r="B24" s="33" t="s">
        <v>26</v>
      </c>
      <c r="C24" s="41">
        <v>1693808.4044454272</v>
      </c>
      <c r="D24" s="42">
        <v>1394715.018301195</v>
      </c>
      <c r="E24" s="42">
        <v>91659.22266446194</v>
      </c>
      <c r="F24" s="42">
        <v>0</v>
      </c>
      <c r="G24" s="42">
        <v>0</v>
      </c>
      <c r="H24" s="42">
        <v>0</v>
      </c>
      <c r="I24" s="42">
        <v>0</v>
      </c>
      <c r="J24" s="42">
        <v>11235.291425316285</v>
      </c>
      <c r="K24" s="42">
        <v>0</v>
      </c>
      <c r="L24" s="42">
        <v>0</v>
      </c>
      <c r="M24" s="42">
        <v>0</v>
      </c>
      <c r="N24" s="42">
        <v>0</v>
      </c>
      <c r="O24" s="42">
        <v>196198.87205445388</v>
      </c>
    </row>
    <row r="25" spans="1:15" ht="12.75">
      <c r="A25" s="32" t="s">
        <v>27</v>
      </c>
      <c r="B25" s="33" t="s">
        <v>28</v>
      </c>
      <c r="C25" s="41">
        <v>2652963.9007266103</v>
      </c>
      <c r="D25" s="42">
        <v>1737897.4368414213</v>
      </c>
      <c r="E25" s="42">
        <v>590029.7733418489</v>
      </c>
      <c r="F25" s="42">
        <v>0</v>
      </c>
      <c r="G25" s="42">
        <v>0</v>
      </c>
      <c r="H25" s="42">
        <v>0</v>
      </c>
      <c r="I25" s="42">
        <v>0</v>
      </c>
      <c r="J25" s="42">
        <v>40562.534514023806</v>
      </c>
      <c r="K25" s="42">
        <v>0</v>
      </c>
      <c r="L25" s="42">
        <v>0</v>
      </c>
      <c r="M25" s="42">
        <v>0</v>
      </c>
      <c r="N25" s="42">
        <v>0</v>
      </c>
      <c r="O25" s="42">
        <v>284474.1560293162</v>
      </c>
    </row>
    <row r="26" spans="1:15" ht="12.75">
      <c r="A26" s="32" t="s">
        <v>29</v>
      </c>
      <c r="B26" s="33" t="s">
        <v>30</v>
      </c>
      <c r="C26" s="45">
        <v>4056672.0247569596</v>
      </c>
      <c r="D26" s="46">
        <v>2563127.9349853685</v>
      </c>
      <c r="E26" s="46">
        <v>975345.2936747236</v>
      </c>
      <c r="F26" s="46">
        <v>0</v>
      </c>
      <c r="G26" s="46">
        <v>0</v>
      </c>
      <c r="H26" s="46">
        <v>0</v>
      </c>
      <c r="I26" s="46">
        <v>0</v>
      </c>
      <c r="J26" s="46">
        <v>70644.2141830553</v>
      </c>
      <c r="K26" s="46">
        <v>0</v>
      </c>
      <c r="L26" s="46">
        <v>0</v>
      </c>
      <c r="M26" s="46">
        <v>0</v>
      </c>
      <c r="N26" s="46">
        <v>0</v>
      </c>
      <c r="O26" s="46">
        <v>447554.5819138122</v>
      </c>
    </row>
    <row r="27" spans="1:15" ht="12.75">
      <c r="A27" s="32" t="s">
        <v>31</v>
      </c>
      <c r="B27" s="33" t="s">
        <v>32</v>
      </c>
      <c r="C27" s="41">
        <v>751038</v>
      </c>
      <c r="D27" s="42">
        <v>456887.51527834096</v>
      </c>
      <c r="E27" s="42">
        <v>209627.82992079962</v>
      </c>
      <c r="F27" s="42">
        <v>0</v>
      </c>
      <c r="G27" s="42">
        <v>0</v>
      </c>
      <c r="H27" s="42">
        <v>0</v>
      </c>
      <c r="I27" s="42">
        <v>0</v>
      </c>
      <c r="J27" s="42">
        <v>11218.929030918629</v>
      </c>
      <c r="K27" s="42">
        <v>0</v>
      </c>
      <c r="L27" s="42">
        <v>0</v>
      </c>
      <c r="M27" s="42">
        <v>0</v>
      </c>
      <c r="N27" s="42">
        <v>0</v>
      </c>
      <c r="O27" s="42">
        <v>73303.72576994088</v>
      </c>
    </row>
    <row r="28" spans="1:15" ht="13.5" thickBot="1">
      <c r="A28" s="32" t="s">
        <v>33</v>
      </c>
      <c r="B28" s="33" t="s">
        <v>34</v>
      </c>
      <c r="C28" s="36">
        <v>2342000</v>
      </c>
      <c r="D28" s="37">
        <v>1424735.5803326522</v>
      </c>
      <c r="E28" s="37">
        <v>653693.1256135012</v>
      </c>
      <c r="F28" s="37">
        <v>0</v>
      </c>
      <c r="G28" s="37">
        <v>0</v>
      </c>
      <c r="H28" s="37">
        <v>0</v>
      </c>
      <c r="I28" s="37">
        <v>0</v>
      </c>
      <c r="J28" s="37">
        <v>34984.557093531126</v>
      </c>
      <c r="K28" s="37">
        <v>0</v>
      </c>
      <c r="L28" s="37">
        <v>0</v>
      </c>
      <c r="M28" s="37">
        <v>0</v>
      </c>
      <c r="N28" s="37">
        <v>0</v>
      </c>
      <c r="O28" s="37">
        <v>228586.73696031564</v>
      </c>
    </row>
    <row r="29" spans="1:15" ht="13.5" thickBot="1">
      <c r="A29" s="32"/>
      <c r="B29" s="38" t="s">
        <v>35</v>
      </c>
      <c r="C29" s="39">
        <v>16259345.448001388</v>
      </c>
      <c r="D29" s="40">
        <v>10443664.508185042</v>
      </c>
      <c r="E29" s="40">
        <v>3826588.8379474664</v>
      </c>
      <c r="F29" s="40">
        <v>0</v>
      </c>
      <c r="G29" s="40">
        <v>0</v>
      </c>
      <c r="H29" s="40">
        <v>0</v>
      </c>
      <c r="I29" s="40">
        <v>0</v>
      </c>
      <c r="J29" s="40">
        <v>256365.81474751476</v>
      </c>
      <c r="K29" s="40">
        <v>0</v>
      </c>
      <c r="L29" s="40">
        <v>0</v>
      </c>
      <c r="M29" s="40">
        <v>0</v>
      </c>
      <c r="N29" s="40">
        <v>0</v>
      </c>
      <c r="O29" s="40">
        <v>1732726.2871213653</v>
      </c>
    </row>
    <row r="30" spans="1:15" ht="13.5" thickTop="1">
      <c r="A30" s="32"/>
      <c r="B30" s="44"/>
      <c r="C30" s="41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.75">
      <c r="A31" s="32"/>
      <c r="B31" s="44" t="s">
        <v>36</v>
      </c>
      <c r="C31" s="41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</row>
    <row r="32" spans="1:15" ht="12.75">
      <c r="A32" s="32"/>
      <c r="B32" s="33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3"/>
      <c r="N32" s="43"/>
      <c r="O32" s="43"/>
    </row>
    <row r="33" spans="1:15" ht="12.75">
      <c r="A33" s="32" t="s">
        <v>37</v>
      </c>
      <c r="B33" s="33" t="s">
        <v>38</v>
      </c>
      <c r="C33" s="41">
        <v>1430361</v>
      </c>
      <c r="D33" s="42">
        <v>870147.8263963249</v>
      </c>
      <c r="E33" s="42">
        <v>399238.7501475889</v>
      </c>
      <c r="F33" s="42">
        <v>0</v>
      </c>
      <c r="G33" s="42">
        <v>0</v>
      </c>
      <c r="H33" s="42">
        <v>0</v>
      </c>
      <c r="I33" s="42">
        <v>0</v>
      </c>
      <c r="J33" s="42">
        <v>21366.586707455284</v>
      </c>
      <c r="K33" s="42">
        <v>0</v>
      </c>
      <c r="L33" s="42">
        <v>0</v>
      </c>
      <c r="M33" s="42">
        <v>0</v>
      </c>
      <c r="N33" s="42">
        <v>0</v>
      </c>
      <c r="O33" s="42">
        <v>139607.83674863112</v>
      </c>
    </row>
    <row r="34" spans="1:15" ht="12.75">
      <c r="A34" s="32"/>
      <c r="B34" s="33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3"/>
      <c r="O34" s="43"/>
    </row>
    <row r="35" spans="1:15" ht="12.75">
      <c r="A35" s="32"/>
      <c r="B35" s="44" t="s">
        <v>39</v>
      </c>
      <c r="C35" s="41">
        <v>17689706.44800139</v>
      </c>
      <c r="D35" s="48">
        <v>11313812.334581368</v>
      </c>
      <c r="E35" s="48">
        <v>4225827.588095055</v>
      </c>
      <c r="F35" s="48">
        <v>0</v>
      </c>
      <c r="G35" s="48">
        <v>0</v>
      </c>
      <c r="H35" s="48">
        <v>0</v>
      </c>
      <c r="I35" s="48">
        <v>0</v>
      </c>
      <c r="J35" s="48">
        <v>277732.40145497007</v>
      </c>
      <c r="K35" s="48">
        <v>0</v>
      </c>
      <c r="L35" s="48">
        <v>0</v>
      </c>
      <c r="M35" s="48">
        <v>0</v>
      </c>
      <c r="N35" s="48">
        <v>0</v>
      </c>
      <c r="O35" s="48">
        <v>1872334.1238699965</v>
      </c>
    </row>
    <row r="36" spans="1:15" ht="12.75">
      <c r="A36" s="49"/>
      <c r="B36" s="33"/>
      <c r="C36" s="147" t="s">
        <v>40</v>
      </c>
      <c r="D36" s="147"/>
      <c r="E36" s="148"/>
      <c r="F36" s="42"/>
      <c r="G36" s="42"/>
      <c r="H36" s="42"/>
      <c r="I36" s="42"/>
      <c r="J36" s="42"/>
      <c r="K36" s="42"/>
      <c r="L36" s="42"/>
      <c r="M36" s="43"/>
      <c r="N36" s="43"/>
      <c r="O36" s="43"/>
    </row>
    <row r="37" spans="1:15" ht="12.75">
      <c r="A37" s="32"/>
      <c r="B37" s="33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3"/>
      <c r="O37" s="43"/>
    </row>
    <row r="38" spans="1:15" ht="12.75">
      <c r="A38" s="32"/>
      <c r="B38" s="33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3"/>
      <c r="N38" s="43"/>
      <c r="O38" s="43"/>
    </row>
    <row r="39" spans="1:15" ht="12.75">
      <c r="A39" s="32"/>
      <c r="B39" s="44" t="s">
        <v>41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3"/>
      <c r="N39" s="43"/>
      <c r="O39" s="43"/>
    </row>
    <row r="40" spans="1:15" ht="12.75">
      <c r="A40" s="32"/>
      <c r="B40" s="44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3"/>
      <c r="O40" s="43"/>
    </row>
    <row r="41" spans="1:15" ht="12.75">
      <c r="A41" s="32"/>
      <c r="B41" s="50" t="s">
        <v>42</v>
      </c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3"/>
      <c r="O41" s="43"/>
    </row>
    <row r="42" spans="1:15" ht="12.75">
      <c r="A42" s="32" t="s">
        <v>43</v>
      </c>
      <c r="B42" s="33" t="s">
        <v>44</v>
      </c>
      <c r="C42" s="41">
        <v>101557857.99858268</v>
      </c>
      <c r="D42" s="42">
        <v>61697988.792122856</v>
      </c>
      <c r="E42" s="42">
        <v>27444170.372349057</v>
      </c>
      <c r="F42" s="42">
        <v>0</v>
      </c>
      <c r="G42" s="42">
        <v>0</v>
      </c>
      <c r="H42" s="42">
        <v>0</v>
      </c>
      <c r="I42" s="42">
        <v>0</v>
      </c>
      <c r="J42" s="42">
        <v>1706422.454546755</v>
      </c>
      <c r="K42" s="42">
        <v>0</v>
      </c>
      <c r="L42" s="42">
        <v>0</v>
      </c>
      <c r="M42" s="42">
        <v>0</v>
      </c>
      <c r="N42" s="42">
        <v>0</v>
      </c>
      <c r="O42" s="42">
        <v>10709276.379564019</v>
      </c>
    </row>
    <row r="43" spans="1:15" ht="12.75">
      <c r="A43" s="32" t="s">
        <v>45</v>
      </c>
      <c r="B43" s="33" t="s">
        <v>46</v>
      </c>
      <c r="C43" s="41">
        <v>10530381.620285748</v>
      </c>
      <c r="D43" s="42">
        <v>6406067.194236595</v>
      </c>
      <c r="E43" s="42">
        <v>2939213.5248793997</v>
      </c>
      <c r="F43" s="42">
        <v>0</v>
      </c>
      <c r="G43" s="42">
        <v>0</v>
      </c>
      <c r="H43" s="42">
        <v>0</v>
      </c>
      <c r="I43" s="42">
        <v>0</v>
      </c>
      <c r="J43" s="42">
        <v>157301.7664438759</v>
      </c>
      <c r="K43" s="42">
        <v>0</v>
      </c>
      <c r="L43" s="42">
        <v>0</v>
      </c>
      <c r="M43" s="42">
        <v>0</v>
      </c>
      <c r="N43" s="42">
        <v>0</v>
      </c>
      <c r="O43" s="42">
        <v>1027799.1347258753</v>
      </c>
    </row>
    <row r="44" spans="1:15" ht="12.75">
      <c r="A44" s="32" t="s">
        <v>47</v>
      </c>
      <c r="B44" s="33" t="s">
        <v>48</v>
      </c>
      <c r="C44" s="45">
        <v>-46509937.49237852</v>
      </c>
      <c r="D44" s="46">
        <v>-28210059.258172177</v>
      </c>
      <c r="E44" s="46">
        <v>-12079333.816318255</v>
      </c>
      <c r="F44" s="46">
        <v>0</v>
      </c>
      <c r="G44" s="46">
        <v>0</v>
      </c>
      <c r="H44" s="46">
        <v>0</v>
      </c>
      <c r="I44" s="46">
        <v>0</v>
      </c>
      <c r="J44" s="46">
        <v>-884122.2334410917</v>
      </c>
      <c r="K44" s="46">
        <v>0</v>
      </c>
      <c r="L44" s="46">
        <v>0</v>
      </c>
      <c r="M44" s="46">
        <v>0</v>
      </c>
      <c r="N44" s="46">
        <v>0</v>
      </c>
      <c r="O44" s="46">
        <v>-5336422.184446999</v>
      </c>
    </row>
    <row r="45" spans="1:15" ht="13.5" thickBot="1">
      <c r="A45" s="32" t="s">
        <v>49</v>
      </c>
      <c r="B45" s="33" t="s">
        <v>50</v>
      </c>
      <c r="C45" s="51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</row>
    <row r="46" spans="1:15" ht="13.5" thickBot="1">
      <c r="A46" s="32"/>
      <c r="B46" s="38" t="s">
        <v>51</v>
      </c>
      <c r="C46" s="39">
        <v>65578302.12648991</v>
      </c>
      <c r="D46" s="40">
        <v>39893996.72818727</v>
      </c>
      <c r="E46" s="40">
        <v>18304050.080910202</v>
      </c>
      <c r="F46" s="40">
        <v>0</v>
      </c>
      <c r="G46" s="40">
        <v>0</v>
      </c>
      <c r="H46" s="40">
        <v>0</v>
      </c>
      <c r="I46" s="40">
        <v>0</v>
      </c>
      <c r="J46" s="40">
        <v>979601.9875495391</v>
      </c>
      <c r="K46" s="40">
        <v>0</v>
      </c>
      <c r="L46" s="40">
        <v>0</v>
      </c>
      <c r="M46" s="40">
        <v>0</v>
      </c>
      <c r="N46" s="40">
        <v>0</v>
      </c>
      <c r="O46" s="40">
        <v>6400653.329842896</v>
      </c>
    </row>
    <row r="47" spans="1:15" ht="13.5" thickTop="1">
      <c r="A47" s="32"/>
      <c r="B47" s="44"/>
      <c r="C47" s="41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2.75">
      <c r="A48" s="32"/>
      <c r="B48" s="44" t="s">
        <v>52</v>
      </c>
      <c r="C48" s="41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</row>
    <row r="49" spans="1:15" ht="12.75">
      <c r="A49" s="32"/>
      <c r="B49" s="33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3"/>
      <c r="N49" s="43"/>
      <c r="O49" s="43"/>
    </row>
    <row r="50" spans="1:15" ht="12.75">
      <c r="A50" s="32"/>
      <c r="B50" s="44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3"/>
      <c r="N50" s="43"/>
      <c r="O50" s="43"/>
    </row>
    <row r="51" spans="1:15" ht="12.75">
      <c r="A51" s="32" t="s">
        <v>53</v>
      </c>
      <c r="B51" s="33" t="s">
        <v>54</v>
      </c>
      <c r="C51" s="41">
        <v>17166389</v>
      </c>
      <c r="D51" s="42">
        <v>9553250.015692377</v>
      </c>
      <c r="E51" s="42">
        <v>6404606.1671284735</v>
      </c>
      <c r="F51" s="42">
        <v>0</v>
      </c>
      <c r="G51" s="42">
        <v>0</v>
      </c>
      <c r="H51" s="42">
        <v>0</v>
      </c>
      <c r="I51" s="42">
        <v>0</v>
      </c>
      <c r="J51" s="42">
        <v>72227.12642211597</v>
      </c>
      <c r="K51" s="42">
        <v>0</v>
      </c>
      <c r="L51" s="42">
        <v>0</v>
      </c>
      <c r="M51" s="42">
        <v>0</v>
      </c>
      <c r="N51" s="42">
        <v>0</v>
      </c>
      <c r="O51" s="42">
        <v>1136305.690757032</v>
      </c>
    </row>
    <row r="52" spans="1:15" ht="12.75">
      <c r="A52" s="32"/>
      <c r="B52" s="33" t="s">
        <v>55</v>
      </c>
      <c r="C52" s="41">
        <v>9109635.423244428</v>
      </c>
      <c r="D52" s="42">
        <v>5998913.47758868</v>
      </c>
      <c r="E52" s="42">
        <v>1987922.588738442</v>
      </c>
      <c r="F52" s="42">
        <v>0</v>
      </c>
      <c r="G52" s="42">
        <v>0</v>
      </c>
      <c r="H52" s="42">
        <v>0</v>
      </c>
      <c r="I52" s="42">
        <v>0</v>
      </c>
      <c r="J52" s="42">
        <v>139518.1144400097</v>
      </c>
      <c r="K52" s="42">
        <v>0</v>
      </c>
      <c r="L52" s="42">
        <v>0</v>
      </c>
      <c r="M52" s="42">
        <v>0</v>
      </c>
      <c r="N52" s="42">
        <v>0</v>
      </c>
      <c r="O52" s="42">
        <v>983281.2424772966</v>
      </c>
    </row>
    <row r="53" spans="1:15" ht="12.75">
      <c r="A53" s="32"/>
      <c r="B53" s="53" t="s">
        <v>56</v>
      </c>
      <c r="C53" s="41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ht="12.75">
      <c r="A54" s="32"/>
      <c r="B54" s="54" t="s">
        <v>57</v>
      </c>
      <c r="C54" s="55">
        <v>26276024.42324443</v>
      </c>
      <c r="D54" s="56">
        <v>15552163.493281057</v>
      </c>
      <c r="E54" s="56">
        <v>8392528.755866915</v>
      </c>
      <c r="F54" s="56">
        <v>0</v>
      </c>
      <c r="G54" s="56">
        <v>0</v>
      </c>
      <c r="H54" s="56">
        <v>0</v>
      </c>
      <c r="I54" s="56">
        <v>0</v>
      </c>
      <c r="J54" s="56">
        <v>211745.24086212565</v>
      </c>
      <c r="K54" s="56">
        <v>0</v>
      </c>
      <c r="L54" s="56">
        <v>0</v>
      </c>
      <c r="M54" s="56">
        <v>0</v>
      </c>
      <c r="N54" s="56">
        <v>0</v>
      </c>
      <c r="O54" s="56">
        <v>2119586.9332343284</v>
      </c>
    </row>
    <row r="55" spans="1:15" ht="12.75">
      <c r="A55" s="32"/>
      <c r="B55" s="44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2.75">
      <c r="A56" s="32"/>
      <c r="B56" s="44" t="s">
        <v>58</v>
      </c>
      <c r="C56" s="41">
        <v>3941403.6634866637</v>
      </c>
      <c r="D56" s="47">
        <v>2332824.5239921585</v>
      </c>
      <c r="E56" s="47">
        <v>1258879.3133800372</v>
      </c>
      <c r="F56" s="47">
        <v>0</v>
      </c>
      <c r="G56" s="47">
        <v>0</v>
      </c>
      <c r="H56" s="47">
        <v>0</v>
      </c>
      <c r="I56" s="47">
        <v>0</v>
      </c>
      <c r="J56" s="47">
        <v>31761.786129318847</v>
      </c>
      <c r="K56" s="47">
        <v>0</v>
      </c>
      <c r="L56" s="47">
        <v>0</v>
      </c>
      <c r="M56" s="47">
        <v>0</v>
      </c>
      <c r="N56" s="47">
        <v>0</v>
      </c>
      <c r="O56" s="47">
        <v>317938.0399851492</v>
      </c>
    </row>
    <row r="57" spans="1:15" ht="12.75">
      <c r="A57" s="32"/>
      <c r="B57" s="57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3"/>
      <c r="N57" s="43"/>
      <c r="O57" s="43"/>
    </row>
    <row r="58" spans="1:15" ht="13.5" thickBot="1">
      <c r="A58" s="32"/>
      <c r="B58" s="38" t="s">
        <v>59</v>
      </c>
      <c r="C58" s="58">
        <v>69519705.78997657</v>
      </c>
      <c r="D58" s="59">
        <v>42226821.25217943</v>
      </c>
      <c r="E58" s="59">
        <v>19562929.39429024</v>
      </c>
      <c r="F58" s="59">
        <v>0</v>
      </c>
      <c r="G58" s="59">
        <v>0</v>
      </c>
      <c r="H58" s="59">
        <v>0</v>
      </c>
      <c r="I58" s="59">
        <v>0</v>
      </c>
      <c r="J58" s="59">
        <v>1011363.773678858</v>
      </c>
      <c r="K58" s="59">
        <v>0</v>
      </c>
      <c r="L58" s="59">
        <v>0</v>
      </c>
      <c r="M58" s="59">
        <v>0</v>
      </c>
      <c r="N58" s="59">
        <v>0</v>
      </c>
      <c r="O58" s="59">
        <v>6718591.369828045</v>
      </c>
    </row>
    <row r="59" spans="1:15" ht="13.5" thickTop="1">
      <c r="A59" s="49"/>
      <c r="B59" s="44"/>
      <c r="C59" s="149" t="s">
        <v>60</v>
      </c>
      <c r="D59" s="150"/>
      <c r="E59" s="151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.75">
      <c r="A60" s="32"/>
      <c r="B60" s="44" t="s">
        <v>61</v>
      </c>
      <c r="C60" s="41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</row>
    <row r="61" spans="1:15" ht="12.75">
      <c r="A61" s="32"/>
      <c r="B61" s="44"/>
      <c r="C61" s="41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.75">
      <c r="A62" s="32"/>
      <c r="B62" s="44" t="s">
        <v>62</v>
      </c>
      <c r="C62" s="41">
        <v>1551185.1239373202</v>
      </c>
      <c r="D62" s="47">
        <v>2931342.6675537582</v>
      </c>
      <c r="E62" s="47">
        <v>-2286114.4319816334</v>
      </c>
      <c r="F62" s="47">
        <v>0</v>
      </c>
      <c r="G62" s="47">
        <v>0</v>
      </c>
      <c r="H62" s="47">
        <v>0</v>
      </c>
      <c r="I62" s="47">
        <v>0</v>
      </c>
      <c r="J62" s="47">
        <v>-203676.3698423191</v>
      </c>
      <c r="K62" s="47">
        <v>0</v>
      </c>
      <c r="L62" s="47">
        <v>0</v>
      </c>
      <c r="M62" s="47">
        <v>0</v>
      </c>
      <c r="N62" s="47">
        <v>0</v>
      </c>
      <c r="O62" s="47">
        <v>1109633.2582075144</v>
      </c>
    </row>
    <row r="63" spans="1:15" ht="12.75">
      <c r="A63" s="32"/>
      <c r="B63" s="44"/>
      <c r="C63" s="41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.75">
      <c r="A64" s="32"/>
      <c r="B64" s="44" t="s">
        <v>63</v>
      </c>
      <c r="C64" s="41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</row>
    <row r="65" spans="1:15" ht="12.75">
      <c r="A65" s="32"/>
      <c r="B65" s="33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3"/>
      <c r="N65" s="43"/>
      <c r="O65" s="43"/>
    </row>
    <row r="66" spans="1:15" ht="12.75">
      <c r="A66" s="32"/>
      <c r="B66" s="38" t="s">
        <v>64</v>
      </c>
      <c r="C66" s="60">
        <v>1551185.1239373202</v>
      </c>
      <c r="D66" s="61">
        <v>2931342.6675537582</v>
      </c>
      <c r="E66" s="61">
        <v>-2286114.4319816334</v>
      </c>
      <c r="F66" s="61">
        <v>0</v>
      </c>
      <c r="G66" s="61">
        <v>0</v>
      </c>
      <c r="H66" s="61">
        <v>0</v>
      </c>
      <c r="I66" s="61">
        <v>0</v>
      </c>
      <c r="J66" s="61">
        <v>-203676.3698423191</v>
      </c>
      <c r="K66" s="61">
        <v>0</v>
      </c>
      <c r="L66" s="61">
        <v>0</v>
      </c>
      <c r="M66" s="61">
        <v>0</v>
      </c>
      <c r="N66" s="61">
        <v>0</v>
      </c>
      <c r="O66" s="61">
        <v>1109633.2582075144</v>
      </c>
    </row>
    <row r="67" spans="1:15" ht="12.75">
      <c r="A67" s="32"/>
      <c r="B67" s="33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43"/>
      <c r="O67" s="43"/>
    </row>
    <row r="68" spans="1:15" ht="12.75">
      <c r="A68" s="32"/>
      <c r="B68" s="44" t="s">
        <v>65</v>
      </c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3"/>
      <c r="N68" s="43"/>
      <c r="O68" s="43"/>
    </row>
    <row r="69" spans="1:15" ht="12.75">
      <c r="A69" s="32"/>
      <c r="B69" s="33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3"/>
      <c r="N69" s="43"/>
      <c r="O69" s="43"/>
    </row>
    <row r="70" spans="1:15" ht="12.75">
      <c r="A70" s="62"/>
      <c r="B70" s="63" t="s">
        <v>66</v>
      </c>
      <c r="C70" s="64">
        <v>1.0068301938357473</v>
      </c>
      <c r="D70" s="65">
        <v>1.1821839341330829</v>
      </c>
      <c r="E70" s="65">
        <v>0.3645379215909416</v>
      </c>
      <c r="F70" s="65" t="s">
        <v>67</v>
      </c>
      <c r="G70" s="65" t="s">
        <v>67</v>
      </c>
      <c r="H70" s="65" t="s">
        <v>67</v>
      </c>
      <c r="I70" s="65" t="s">
        <v>67</v>
      </c>
      <c r="J70" s="65">
        <v>0.18971299217941057</v>
      </c>
      <c r="K70" s="65" t="s">
        <v>67</v>
      </c>
      <c r="L70" s="65" t="s">
        <v>67</v>
      </c>
      <c r="M70" s="65" t="s">
        <v>67</v>
      </c>
      <c r="N70" s="65" t="s">
        <v>67</v>
      </c>
      <c r="O70" s="65">
        <v>1.518083502881367</v>
      </c>
    </row>
    <row r="71" spans="1:15" ht="12.75">
      <c r="A71" s="32"/>
      <c r="B71" s="33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3"/>
      <c r="N71" s="43"/>
      <c r="O71" s="43"/>
    </row>
    <row r="72" spans="1:15" ht="12.75">
      <c r="A72" s="32"/>
      <c r="B72" s="33" t="s">
        <v>68</v>
      </c>
      <c r="C72" s="41">
        <v>120824.1239373195</v>
      </c>
      <c r="D72" s="42">
        <v>2061194.8411574326</v>
      </c>
      <c r="E72" s="42">
        <v>-2685353.182129222</v>
      </c>
      <c r="F72" s="42">
        <v>0</v>
      </c>
      <c r="G72" s="42">
        <v>0</v>
      </c>
      <c r="H72" s="42">
        <v>0</v>
      </c>
      <c r="I72" s="42">
        <v>0</v>
      </c>
      <c r="J72" s="42">
        <v>-225042.95654977442</v>
      </c>
      <c r="K72" s="42">
        <v>0</v>
      </c>
      <c r="L72" s="42">
        <v>0</v>
      </c>
      <c r="M72" s="42">
        <v>0</v>
      </c>
      <c r="N72" s="42">
        <v>0</v>
      </c>
      <c r="O72" s="42">
        <v>970025.4214588832</v>
      </c>
    </row>
    <row r="73" spans="1:15" ht="12.75">
      <c r="A73" s="32"/>
      <c r="B73" s="33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3"/>
      <c r="N73" s="43"/>
      <c r="O73" s="43"/>
    </row>
    <row r="74" spans="1:15" ht="13.5" thickBot="1">
      <c r="A74" s="32"/>
      <c r="B74" s="33" t="s">
        <v>69</v>
      </c>
      <c r="C74" s="66" t="s">
        <v>67</v>
      </c>
      <c r="D74" s="66" t="s">
        <v>67</v>
      </c>
      <c r="E74" s="66" t="s">
        <v>67</v>
      </c>
      <c r="F74" s="66" t="s">
        <v>67</v>
      </c>
      <c r="G74" s="66" t="s">
        <v>67</v>
      </c>
      <c r="H74" s="66" t="s">
        <v>67</v>
      </c>
      <c r="I74" s="66" t="s">
        <v>67</v>
      </c>
      <c r="J74" s="66" t="s">
        <v>67</v>
      </c>
      <c r="K74" s="66" t="s">
        <v>67</v>
      </c>
      <c r="L74" s="66" t="s">
        <v>67</v>
      </c>
      <c r="M74" s="66" t="s">
        <v>67</v>
      </c>
      <c r="N74" s="66" t="s">
        <v>67</v>
      </c>
      <c r="O74" s="66" t="s">
        <v>67</v>
      </c>
    </row>
  </sheetData>
  <mergeCells count="7">
    <mergeCell ref="C15:L15"/>
    <mergeCell ref="C36:E36"/>
    <mergeCell ref="C59:E59"/>
    <mergeCell ref="A1:F1"/>
    <mergeCell ref="A2:E2"/>
    <mergeCell ref="A3:E3"/>
    <mergeCell ref="A4:E4"/>
  </mergeCells>
  <conditionalFormatting sqref="C36 C59">
    <cfRule type="cellIs" priority="1" dxfId="0" operator="equal" stopIfTrue="1">
      <formula>"Error"</formula>
    </cfRule>
  </conditionalFormatting>
  <printOptions/>
  <pageMargins left="0.75" right="0.75" top="1" bottom="1" header="0.5" footer="0.5"/>
  <pageSetup fitToHeight="1" fitToWidth="1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"/>
  <sheetViews>
    <sheetView showGridLines="0" workbookViewId="0" topLeftCell="A1">
      <selection activeCell="B23" sqref="B23:I23"/>
    </sheetView>
  </sheetViews>
  <sheetFormatPr defaultColWidth="9.140625" defaultRowHeight="12.75"/>
  <cols>
    <col min="1" max="1" width="2.421875" style="0" customWidth="1"/>
    <col min="2" max="2" width="14.28125" style="0" bestFit="1" customWidth="1"/>
    <col min="3" max="3" width="11.7109375" style="0" bestFit="1" customWidth="1"/>
    <col min="4" max="4" width="11.8515625" style="0" customWidth="1"/>
    <col min="5" max="5" width="11.421875" style="0" customWidth="1"/>
    <col min="6" max="6" width="11.00390625" style="0" customWidth="1"/>
    <col min="7" max="7" width="11.57421875" style="0" customWidth="1"/>
    <col min="8" max="8" width="10.00390625" style="0" customWidth="1"/>
    <col min="9" max="9" width="11.28125" style="0" bestFit="1" customWidth="1"/>
    <col min="10" max="10" width="9.7109375" style="0" customWidth="1"/>
    <col min="12" max="12" width="9.57421875" style="0" customWidth="1"/>
  </cols>
  <sheetData>
    <row r="2" spans="2:11" ht="12.75">
      <c r="B2" s="141" t="s">
        <v>187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2:11" ht="51">
      <c r="B3" s="78"/>
      <c r="C3" s="111" t="s">
        <v>188</v>
      </c>
      <c r="D3" s="111" t="s">
        <v>189</v>
      </c>
      <c r="E3" s="111" t="s">
        <v>190</v>
      </c>
      <c r="F3" s="111" t="s">
        <v>191</v>
      </c>
      <c r="G3" s="111" t="s">
        <v>192</v>
      </c>
      <c r="H3" s="111" t="s">
        <v>193</v>
      </c>
      <c r="I3" s="112" t="s">
        <v>194</v>
      </c>
      <c r="J3" s="78"/>
      <c r="K3" s="78"/>
    </row>
    <row r="4" spans="2:11" ht="12.75">
      <c r="B4" s="78" t="s">
        <v>70</v>
      </c>
      <c r="C4" s="74">
        <f>'Cost Allocation Sheet O1'!D35</f>
        <v>11313812.334581368</v>
      </c>
      <c r="D4" s="81">
        <f>C4/C$8</f>
        <v>0.6395703833660632</v>
      </c>
      <c r="E4" s="74">
        <f>'Cost Allocation Sheet O1'!D19</f>
        <v>217489.6827090995</v>
      </c>
      <c r="F4" s="81">
        <f>E4/E$8</f>
        <v>0.633975353101961</v>
      </c>
      <c r="G4" s="74">
        <f>D4*G$8</f>
        <v>12105829.788427763</v>
      </c>
      <c r="H4" s="74">
        <f>F4*H$8</f>
        <v>217489.68270909943</v>
      </c>
      <c r="I4" s="77">
        <f>G4-H4</f>
        <v>11888340.105718663</v>
      </c>
      <c r="J4" s="78"/>
      <c r="K4" s="78"/>
    </row>
    <row r="5" spans="2:11" ht="12.75">
      <c r="B5" s="78" t="s">
        <v>71</v>
      </c>
      <c r="C5" s="74">
        <f>'Cost Allocation Sheet O1'!E35</f>
        <v>4225827.588095055</v>
      </c>
      <c r="D5" s="81">
        <f aca="true" t="shared" si="0" ref="D5:F7">C5/C$8</f>
        <v>0.2388862472374433</v>
      </c>
      <c r="E5" s="74">
        <f>'Cost Allocation Sheet O1'!E19</f>
        <v>88132.6245424829</v>
      </c>
      <c r="F5" s="81">
        <f t="shared" si="0"/>
        <v>0.2569037347801761</v>
      </c>
      <c r="G5" s="74">
        <f>D5*G$8</f>
        <v>4521654.415316397</v>
      </c>
      <c r="H5" s="74">
        <f>F5*H$8</f>
        <v>88132.62454248287</v>
      </c>
      <c r="I5" s="77">
        <f>G5-H5</f>
        <v>4433521.790773914</v>
      </c>
      <c r="J5" s="78"/>
      <c r="K5" s="78"/>
    </row>
    <row r="6" spans="2:11" ht="12.75">
      <c r="B6" s="78" t="s">
        <v>16</v>
      </c>
      <c r="C6" s="74">
        <f>'Cost Allocation Sheet O1'!O35</f>
        <v>1872334.1238699965</v>
      </c>
      <c r="D6" s="81">
        <f t="shared" si="0"/>
        <v>0.10584314269847796</v>
      </c>
      <c r="E6" s="74">
        <f>'Cost Allocation Sheet O1'!O19</f>
        <v>32431.40322114977</v>
      </c>
      <c r="F6" s="81">
        <f t="shared" si="0"/>
        <v>0.09453648583515205</v>
      </c>
      <c r="G6" s="74">
        <f>D6*G$8</f>
        <v>2003405.8848010662</v>
      </c>
      <c r="H6" s="74">
        <f>F6*H$8</f>
        <v>32431.403221149758</v>
      </c>
      <c r="I6" s="77">
        <f>G6-H6</f>
        <v>1970974.4815799166</v>
      </c>
      <c r="J6" s="78"/>
      <c r="K6" s="78"/>
    </row>
    <row r="7" spans="2:11" ht="12.75">
      <c r="B7" s="78" t="s">
        <v>72</v>
      </c>
      <c r="C7" s="74">
        <f>'Cost Allocation Sheet O1'!J35</f>
        <v>277732.40145497007</v>
      </c>
      <c r="D7" s="81">
        <f t="shared" si="0"/>
        <v>0.015700226698015598</v>
      </c>
      <c r="E7" s="74">
        <f>'Cost Allocation Sheet O1'!J19</f>
        <v>5003.289527267954</v>
      </c>
      <c r="F7" s="81">
        <f t="shared" si="0"/>
        <v>0.014584426282710899</v>
      </c>
      <c r="G7" s="74">
        <f>D7*G$8</f>
        <v>297174.9114547746</v>
      </c>
      <c r="H7" s="74">
        <f>F7*H$8</f>
        <v>5003.2895272679525</v>
      </c>
      <c r="I7" s="77">
        <f>G7-H7</f>
        <v>292171.62192750664</v>
      </c>
      <c r="J7" s="78"/>
      <c r="K7" s="78"/>
    </row>
    <row r="8" spans="2:11" ht="12.75">
      <c r="B8" s="78"/>
      <c r="C8" s="77">
        <f>SUM(C4:C7)</f>
        <v>17689706.44800139</v>
      </c>
      <c r="D8" s="81">
        <f>SUM(D4:D7)</f>
        <v>1</v>
      </c>
      <c r="E8" s="77">
        <f>SUM(E4:E7)</f>
        <v>343057.0000000001</v>
      </c>
      <c r="F8" s="81">
        <f>SUM(F4:F7)</f>
        <v>1</v>
      </c>
      <c r="G8" s="132">
        <v>18928065</v>
      </c>
      <c r="H8" s="132">
        <v>343057</v>
      </c>
      <c r="I8" s="77">
        <f>SUM(I4:I7)</f>
        <v>18585008</v>
      </c>
      <c r="J8" s="78"/>
      <c r="K8" s="78"/>
    </row>
    <row r="9" spans="2:11" ht="12.75">
      <c r="B9" s="156"/>
      <c r="C9" s="157"/>
      <c r="D9" s="157"/>
      <c r="E9" s="157"/>
      <c r="F9" s="157"/>
      <c r="G9" s="157"/>
      <c r="H9" s="157"/>
      <c r="I9" s="157"/>
      <c r="J9" s="157"/>
      <c r="K9" s="158"/>
    </row>
    <row r="10" spans="2:11" ht="12.75">
      <c r="B10" s="156"/>
      <c r="C10" s="157"/>
      <c r="D10" s="157"/>
      <c r="E10" s="157"/>
      <c r="F10" s="157"/>
      <c r="G10" s="157"/>
      <c r="H10" s="157"/>
      <c r="I10" s="157"/>
      <c r="J10" s="157"/>
      <c r="K10" s="158"/>
    </row>
    <row r="11" spans="2:12" ht="12.75">
      <c r="B11" s="141" t="s">
        <v>164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10"/>
    </row>
    <row r="12" spans="2:11" ht="51">
      <c r="B12" s="78"/>
      <c r="C12" s="111" t="s">
        <v>195</v>
      </c>
      <c r="D12" s="111" t="s">
        <v>196</v>
      </c>
      <c r="E12" s="113" t="s">
        <v>76</v>
      </c>
      <c r="F12" s="111" t="s">
        <v>197</v>
      </c>
      <c r="G12" s="111" t="s">
        <v>198</v>
      </c>
      <c r="H12" s="113" t="s">
        <v>75</v>
      </c>
      <c r="I12" s="114" t="s">
        <v>199</v>
      </c>
      <c r="J12" s="115" t="s">
        <v>77</v>
      </c>
      <c r="K12" s="115" t="s">
        <v>93</v>
      </c>
    </row>
    <row r="13" spans="2:11" ht="12.75">
      <c r="B13" s="78" t="s">
        <v>70</v>
      </c>
      <c r="C13" s="74">
        <f>I4</f>
        <v>11888340.105718663</v>
      </c>
      <c r="D13" s="81">
        <f>C13/C$17</f>
        <v>0.6396736609270581</v>
      </c>
      <c r="E13" s="116">
        <v>0.7490655943212761</v>
      </c>
      <c r="F13" s="74">
        <f>E13*C$17</f>
        <v>13921390.06298567</v>
      </c>
      <c r="G13" s="74">
        <f>F13-C13</f>
        <v>2033049.9572670069</v>
      </c>
      <c r="H13" s="116">
        <f>F13/C13</f>
        <v>1.1710120958172323</v>
      </c>
      <c r="I13" s="117">
        <f>'Cost Allocation Sheet O1'!D70</f>
        <v>1.1821839341330829</v>
      </c>
      <c r="J13" s="72" t="s">
        <v>78</v>
      </c>
      <c r="K13" s="81">
        <f>I13-((I13-1.15)/3)</f>
        <v>1.1714559560887219</v>
      </c>
    </row>
    <row r="14" spans="2:11" ht="12.75">
      <c r="B14" s="78" t="s">
        <v>71</v>
      </c>
      <c r="C14" s="74">
        <f>I5</f>
        <v>4433521.790773914</v>
      </c>
      <c r="D14" s="81">
        <f>C14/C$17</f>
        <v>0.23855366598571892</v>
      </c>
      <c r="E14" s="116">
        <v>0.12165151792830023</v>
      </c>
      <c r="F14" s="74">
        <f>E14*C$17</f>
        <v>2260894.4339096034</v>
      </c>
      <c r="G14" s="74">
        <f>F14-C14</f>
        <v>-2172627.356864311</v>
      </c>
      <c r="H14" s="116">
        <f>F14/C14</f>
        <v>0.5099545103431063</v>
      </c>
      <c r="I14" s="117">
        <f>'Cost Allocation Sheet O1'!E70</f>
        <v>0.3645379215909416</v>
      </c>
      <c r="J14" s="72" t="s">
        <v>79</v>
      </c>
      <c r="K14" s="81">
        <f>I14+((0.8-I14)/3)</f>
        <v>0.5096919477272944</v>
      </c>
    </row>
    <row r="15" spans="2:11" ht="12.75">
      <c r="B15" s="78" t="s">
        <v>16</v>
      </c>
      <c r="C15" s="74">
        <f>I6</f>
        <v>1970974.4815799166</v>
      </c>
      <c r="D15" s="81">
        <f>C15/C$17</f>
        <v>0.1060518500492395</v>
      </c>
      <c r="E15" s="116">
        <f>1-(E13+E14+E16)</f>
        <v>0.12311152035587736</v>
      </c>
      <c r="F15" s="74">
        <f>E15*C$17</f>
        <v>2288028.5907061435</v>
      </c>
      <c r="G15" s="74">
        <f>F15-C15</f>
        <v>317054.109126227</v>
      </c>
      <c r="H15" s="116">
        <f>F15/C15</f>
        <v>1.1608616002334435</v>
      </c>
      <c r="I15" s="117">
        <f>'Cost Allocation Sheet O1'!O70</f>
        <v>1.518083502881367</v>
      </c>
      <c r="J15" s="72" t="s">
        <v>78</v>
      </c>
      <c r="K15" s="118" t="s">
        <v>94</v>
      </c>
    </row>
    <row r="16" spans="2:11" ht="12.75">
      <c r="B16" s="78" t="s">
        <v>72</v>
      </c>
      <c r="C16" s="74">
        <f>I7</f>
        <v>292171.62192750664</v>
      </c>
      <c r="D16" s="81">
        <f>C16/C$17</f>
        <v>0.015720823037983445</v>
      </c>
      <c r="E16" s="116">
        <v>0.006171367394546398</v>
      </c>
      <c r="F16" s="74">
        <f>E16*C$17</f>
        <v>114694.91239858395</v>
      </c>
      <c r="G16" s="74">
        <f>F16-C16</f>
        <v>-177476.70952892269</v>
      </c>
      <c r="H16" s="116">
        <f>F16/C16</f>
        <v>0.3925600701461758</v>
      </c>
      <c r="I16" s="117">
        <f>'Cost Allocation Sheet O1'!J70</f>
        <v>0.18971299217941057</v>
      </c>
      <c r="J16" s="72" t="s">
        <v>80</v>
      </c>
      <c r="K16" s="81">
        <f>I16+((0.8-I16)/3)</f>
        <v>0.39314199478627376</v>
      </c>
    </row>
    <row r="17" spans="2:12" ht="12.75">
      <c r="B17" s="78"/>
      <c r="C17" s="74">
        <f>SUM(C13:C16)</f>
        <v>18585008</v>
      </c>
      <c r="D17" s="81">
        <f>SUM(D13:D16)</f>
        <v>1</v>
      </c>
      <c r="E17" s="116">
        <f>SUM(E13:E16)</f>
        <v>1</v>
      </c>
      <c r="F17" s="74">
        <f>SUM(F13:F16)</f>
        <v>18585008</v>
      </c>
      <c r="G17" s="78"/>
      <c r="H17" s="119"/>
      <c r="I17" s="78"/>
      <c r="J17" s="120"/>
      <c r="K17" s="78"/>
      <c r="L17" s="109"/>
    </row>
  </sheetData>
  <mergeCells count="4">
    <mergeCell ref="B2:K2"/>
    <mergeCell ref="B11:K11"/>
    <mergeCell ref="B9:K9"/>
    <mergeCell ref="B10:K10"/>
  </mergeCells>
  <printOptions/>
  <pageMargins left="0.75" right="0.75" top="1" bottom="1" header="0.5" footer="0.5"/>
  <pageSetup fitToHeight="1" fitToWidth="1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bradburyd</dc:creator>
  <cp:keywords/>
  <dc:description/>
  <cp:lastModifiedBy>bradburyd</cp:lastModifiedBy>
  <cp:lastPrinted>2010-06-04T14:35:42Z</cp:lastPrinted>
  <dcterms:created xsi:type="dcterms:W3CDTF">2010-05-25T18:02:24Z</dcterms:created>
  <dcterms:modified xsi:type="dcterms:W3CDTF">2010-06-04T14:36:51Z</dcterms:modified>
  <cp:category/>
  <cp:version/>
  <cp:contentType/>
  <cp:contentStatus/>
</cp:coreProperties>
</file>