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tabRatio="710" firstSheet="2" activeTab="8"/>
  </bookViews>
  <sheets>
    <sheet name="Summary" sheetId="1" r:id="rId1"/>
    <sheet name="Power Purchased Model" sheetId="2" r:id="rId2"/>
    <sheet name="Rate Class Energy Model" sheetId="3" r:id="rId3"/>
    <sheet name="Rate Class Load Model" sheetId="4" r:id="rId4"/>
    <sheet name="Rate Class Customer Model" sheetId="5" r:id="rId5"/>
    <sheet name="kWh" sheetId="6" r:id="rId6"/>
    <sheet name="KW" sheetId="7" r:id="rId7"/>
    <sheet name="Customers" sheetId="8" r:id="rId8"/>
    <sheet name="Purchased kWh" sheetId="9" r:id="rId9"/>
    <sheet name="Month &amp; Hour Data" sheetId="10" r:id="rId10"/>
    <sheet name="GDP" sheetId="11" r:id="rId11"/>
    <sheet name="Population" sheetId="12" r:id="rId12"/>
    <sheet name="HDD-CDD" sheetId="13" r:id="rId13"/>
  </sheets>
  <externalReferences>
    <externalReference r:id="rId16"/>
  </externalReferences>
  <definedNames>
    <definedName name="_Order1" hidden="1">255</definedName>
    <definedName name="_Sort" hidden="1">'[1]Sheet1'!$G$40:$K$40</definedName>
    <definedName name="_xlnm.Print_Titles" localSheetId="6">'KW'!$A:$A</definedName>
    <definedName name="_xlnm.Print_Titles" localSheetId="5">'kWh'!$A:$B</definedName>
    <definedName name="_xlnm.Print_Titles" localSheetId="9">'Month &amp; Hour Data'!$1:$1</definedName>
    <definedName name="_xlnm.Print_Titles" localSheetId="1">'Power Purchased Model'!$1:$1</definedName>
  </definedNames>
  <calcPr fullCalcOnLoad="1"/>
</workbook>
</file>

<file path=xl/comments12.xml><?xml version="1.0" encoding="utf-8"?>
<comments xmlns="http://schemas.openxmlformats.org/spreadsheetml/2006/main">
  <authors>
    <author>dgapic</author>
  </authors>
  <commentList>
    <comment ref="C5" authorId="0">
      <text>
        <r>
          <rPr>
            <b/>
            <sz val="8"/>
            <rFont val="Tahoma"/>
            <family val="2"/>
          </rPr>
          <t>dgapic:</t>
        </r>
        <r>
          <rPr>
            <sz val="8"/>
            <rFont val="Tahoma"/>
            <family val="2"/>
          </rPr>
          <t xml:space="preserve">
Extrapolated between actuals for 2001 and 2003 population data.</t>
        </r>
      </text>
    </comment>
  </commentList>
</comments>
</file>

<file path=xl/comments6.xml><?xml version="1.0" encoding="utf-8"?>
<comments xmlns="http://schemas.openxmlformats.org/spreadsheetml/2006/main">
  <authors>
    <author>jrobinson</author>
  </authors>
  <commentList>
    <comment ref="B54" authorId="0">
      <text>
        <r>
          <rPr>
            <b/>
            <sz val="9"/>
            <rFont val="Tahoma"/>
            <family val="2"/>
          </rPr>
          <t>jrobinson:</t>
        </r>
        <r>
          <rPr>
            <sz val="9"/>
            <rFont val="Tahoma"/>
            <family val="2"/>
          </rPr>
          <t xml:space="preserve">
backup to 2004 Mearie Report can be located in kWh Sold Binder located in Regulatory</t>
        </r>
      </text>
    </comment>
    <comment ref="BJ56" authorId="0">
      <text>
        <r>
          <rPr>
            <b/>
            <sz val="9"/>
            <rFont val="Tahoma"/>
            <family val="2"/>
          </rPr>
          <t>jrobinson:</t>
        </r>
        <r>
          <rPr>
            <sz val="9"/>
            <rFont val="Tahoma"/>
            <family val="2"/>
          </rPr>
          <t xml:space="preserve">
made a change to the amt to reconcile to the total </t>
        </r>
      </text>
    </comment>
  </commentList>
</comments>
</file>

<file path=xl/comments9.xml><?xml version="1.0" encoding="utf-8"?>
<comments xmlns="http://schemas.openxmlformats.org/spreadsheetml/2006/main">
  <authors>
    <author>Smiller</author>
  </authors>
  <commentList>
    <comment ref="G87" authorId="0">
      <text>
        <r>
          <rPr>
            <b/>
            <sz val="10"/>
            <rFont val="Tahoma"/>
            <family val="2"/>
          </rPr>
          <t>Smiller:</t>
        </r>
        <r>
          <rPr>
            <sz val="10"/>
            <rFont val="Tahoma"/>
            <family val="2"/>
          </rPr>
          <t xml:space="preserve">
Note.  JYTS was not set up via MV-90  Must use Planning's data</t>
        </r>
      </text>
    </comment>
  </commentList>
</comments>
</file>

<file path=xl/sharedStrings.xml><?xml version="1.0" encoding="utf-8"?>
<sst xmlns="http://schemas.openxmlformats.org/spreadsheetml/2006/main" count="1115" uniqueCount="218">
  <si>
    <t>1985</t>
  </si>
  <si>
    <t>1986</t>
  </si>
  <si>
    <t>1987</t>
  </si>
  <si>
    <t>1988</t>
  </si>
  <si>
    <t>1989</t>
  </si>
  <si>
    <t>10 Year Average</t>
  </si>
  <si>
    <t xml:space="preserve"> </t>
  </si>
  <si>
    <t>HDD</t>
  </si>
  <si>
    <t>CDD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</si>
  <si>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</si>
  <si>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</si>
  <si>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</si>
  <si>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</si>
  <si>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</si>
  <si>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</si>
  <si>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</si>
  <si>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</si>
  <si>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</si>
  <si>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</si>
  <si>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</si>
  <si>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</si>
  <si>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</si>
  <si>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</si>
  <si>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</si>
  <si>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</si>
  <si>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</si>
  <si>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</si>
  <si>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</si>
  <si>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</si>
  <si>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</si>
  <si>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</si>
  <si>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</si>
  <si>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</si>
  <si>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</si>
  <si>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</si>
  <si>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</si>
  <si>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</si>
  <si>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</si>
  <si>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</si>
  <si>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</si>
  <si>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</si>
  <si>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30 Year Average</t>
  </si>
  <si>
    <t>Brampton Population</t>
  </si>
  <si>
    <t>Year</t>
  </si>
  <si>
    <t>Population</t>
  </si>
  <si>
    <t>Source</t>
  </si>
  <si>
    <t>Total Change</t>
  </si>
  <si>
    <t xml:space="preserve"># of Years </t>
  </si>
  <si>
    <t># of Months</t>
  </si>
  <si>
    <t>Monthly Change</t>
  </si>
  <si>
    <t>City of Brampton</t>
  </si>
  <si>
    <t>October</t>
  </si>
  <si>
    <t>Ontario GDP Forecast</t>
  </si>
  <si>
    <t>2010</t>
  </si>
  <si>
    <t>2011</t>
  </si>
  <si>
    <t>Ministry of Finance</t>
  </si>
  <si>
    <t>Average</t>
  </si>
  <si>
    <t>Growth/Month</t>
  </si>
  <si>
    <t>Ontario GDP in Millions</t>
  </si>
  <si>
    <t>Heating Degree Days</t>
  </si>
  <si>
    <t>Cooling Degree Days</t>
  </si>
  <si>
    <t>Number of Days in Month</t>
  </si>
  <si>
    <t>Spring Fall Flag</t>
  </si>
  <si>
    <t>Blackout Flag</t>
  </si>
  <si>
    <t>Number of Peak Hours</t>
  </si>
  <si>
    <t>GDP</t>
  </si>
  <si>
    <t>Weather Normalized</t>
  </si>
  <si>
    <t xml:space="preserve">Purchased kWh </t>
  </si>
  <si>
    <t>Annual Total</t>
  </si>
  <si>
    <t>Planning and Standards</t>
  </si>
  <si>
    <t>MV-90</t>
  </si>
  <si>
    <t>Jim Yarrow came on line in 2002, but data was not available on the MV-90 until September.</t>
  </si>
  <si>
    <t>Difference</t>
  </si>
  <si>
    <t>Algonquin</t>
  </si>
  <si>
    <t>Snelgrove</t>
  </si>
  <si>
    <t>RES</t>
  </si>
  <si>
    <t>USL</t>
  </si>
  <si>
    <t>GS&lt;50</t>
  </si>
  <si>
    <t xml:space="preserve">GS&gt;50 </t>
  </si>
  <si>
    <t>Intermediate</t>
  </si>
  <si>
    <t>LU</t>
  </si>
  <si>
    <t>ST</t>
  </si>
  <si>
    <t>TOTAL</t>
  </si>
  <si>
    <t>Historic Customer Count</t>
  </si>
  <si>
    <t>Change Year over Year</t>
  </si>
  <si>
    <t>Bridge and Test Forecast</t>
  </si>
  <si>
    <t>Change Y/Y</t>
  </si>
  <si>
    <t>Smoothed Data for Forecasting Bridge and Test Years</t>
  </si>
  <si>
    <t>Residential</t>
  </si>
  <si>
    <t>GS&gt;50</t>
  </si>
  <si>
    <t>Historic</t>
  </si>
  <si>
    <t>Smoothed</t>
  </si>
  <si>
    <t>Large Use</t>
  </si>
  <si>
    <t>Septamber</t>
  </si>
  <si>
    <t>2003 Uplifted</t>
  </si>
  <si>
    <t>2004 Uplifted</t>
  </si>
  <si>
    <t>2005 Uplifted</t>
  </si>
  <si>
    <t>2006 Uplifted</t>
  </si>
  <si>
    <t>2007 Uplifted</t>
  </si>
  <si>
    <t>2008 Uplifted</t>
  </si>
  <si>
    <t>2009 Uplifted</t>
  </si>
  <si>
    <t>Unmetered</t>
  </si>
  <si>
    <t>Uplifted kWh</t>
  </si>
  <si>
    <t>Total</t>
  </si>
  <si>
    <t>2003 Non Uplifted</t>
  </si>
  <si>
    <t>2004 Non Uplifted</t>
  </si>
  <si>
    <t>2005 Non Uplifted</t>
  </si>
  <si>
    <t>2006 Non Uplifted</t>
  </si>
  <si>
    <t>2007 Non Uplift</t>
  </si>
  <si>
    <t>2008 Non Uplift</t>
  </si>
  <si>
    <t>2009 Non Uplift</t>
  </si>
  <si>
    <t>Raw kWh</t>
  </si>
  <si>
    <t>Calculated Loss Factor</t>
  </si>
  <si>
    <t>LossFactor</t>
  </si>
  <si>
    <t>YTD Loss Factor</t>
  </si>
  <si>
    <t>Mearie Report 2003</t>
  </si>
  <si>
    <t>RRR Filling</t>
  </si>
  <si>
    <t>Wholesale</t>
  </si>
  <si>
    <t>Retail</t>
  </si>
  <si>
    <t>Adjustment Factor</t>
  </si>
  <si>
    <t>2003 Adjusted</t>
  </si>
  <si>
    <t>2004 Adjusted</t>
  </si>
  <si>
    <t>2005 Adjusted</t>
  </si>
  <si>
    <t>2006 Adjusted</t>
  </si>
  <si>
    <t>2007 Adjusted</t>
  </si>
  <si>
    <t>2008 Adjusted</t>
  </si>
  <si>
    <t>2009 Adjusted</t>
  </si>
  <si>
    <t>Number of Customers by Class</t>
  </si>
  <si>
    <t>Growth in Customer Numbers</t>
  </si>
  <si>
    <t xml:space="preserve">Geomean </t>
  </si>
  <si>
    <t>kW/kWh</t>
  </si>
  <si>
    <t>kW/kWh Smoothed</t>
  </si>
  <si>
    <t>Purchases</t>
  </si>
  <si>
    <t>Modeled Purchases</t>
  </si>
  <si>
    <t>% Difference</t>
  </si>
  <si>
    <t>Loss Factor</t>
  </si>
  <si>
    <t>Total Billed</t>
  </si>
  <si>
    <t>SL</t>
  </si>
  <si>
    <t>Growth in AVG Use</t>
  </si>
  <si>
    <t>Customer Class Average Consumption Forecast</t>
  </si>
  <si>
    <t>Adjusted Consumption Forecast</t>
  </si>
  <si>
    <t>Sensitivity Factors</t>
  </si>
  <si>
    <t>Allocation of Consumption Adjustment</t>
  </si>
  <si>
    <t>2007 Class Ratios of Total</t>
  </si>
  <si>
    <t>2011 Billed kWh based on 2007 Ratios</t>
  </si>
  <si>
    <t>Adjust LU to 715,000 KW</t>
  </si>
  <si>
    <t>Adjust SL to 29,000,000 kWh</t>
  </si>
  <si>
    <t>To take 14,000,000 from Residential</t>
  </si>
  <si>
    <t>Customer Migration from Intermediate to GS &lt; 50</t>
  </si>
  <si>
    <t>Target for 2011</t>
  </si>
  <si>
    <t>Purchased</t>
  </si>
  <si>
    <t>Ontario Real GDP Monthly %</t>
  </si>
  <si>
    <t xml:space="preserve">Predicted Purchases </t>
  </si>
  <si>
    <t>Variances (kWh)</t>
  </si>
  <si>
    <t>% Variance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</si>
  <si>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</si>
  <si>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</si>
  <si>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</si>
  <si>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</si>
  <si>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</si>
  <si>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</si>
  <si>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</si>
  <si>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</si>
  <si>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</si>
  <si>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</si>
  <si>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</si>
  <si>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</si>
  <si>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</si>
  <si>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</si>
  <si>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</si>
  <si>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</si>
  <si>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</si>
  <si>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</si>
  <si>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</si>
  <si>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</si>
  <si>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</si>
  <si>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</si>
  <si>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</si>
  <si>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Actual</t>
  </si>
  <si>
    <t>Predicted</t>
  </si>
  <si>
    <t>Variance (kWh)</t>
  </si>
  <si>
    <t>Variace %</t>
  </si>
  <si>
    <t>Total to 2009</t>
  </si>
  <si>
    <t>Hydro One Brampton Weather Normalized Load Forecast for 2011 Rate Application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</si>
  <si>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</si>
  <si>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</si>
  <si>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</si>
  <si>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</si>
  <si>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</si>
  <si>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>2008 Actual</t>
  </si>
  <si>
    <t>2009 Actual</t>
  </si>
  <si>
    <t>2010 Weather Normal</t>
  </si>
  <si>
    <t>2011 Weather Normal</t>
  </si>
  <si>
    <t>Distribution Rate</t>
  </si>
  <si>
    <t>2010 Revenues (Using 2010 Rates)</t>
  </si>
  <si>
    <t>2011 Revenues (Using 2010 Rates)</t>
  </si>
  <si>
    <t>% Change 2010 to 2011</t>
  </si>
  <si>
    <t>Actual kWh Purchases</t>
  </si>
  <si>
    <t>Predicted kWh Purchases</t>
  </si>
  <si>
    <t>% Difference (Predicted/Actual)</t>
  </si>
  <si>
    <t>Billed kWh</t>
  </si>
  <si>
    <t>By Class</t>
  </si>
  <si>
    <t>2009 vs 2010</t>
  </si>
  <si>
    <t>2009 vs 2011</t>
  </si>
  <si>
    <t>2007 vs 2011</t>
  </si>
  <si>
    <t xml:space="preserve">  Customers</t>
  </si>
  <si>
    <t xml:space="preserve">  kWh</t>
  </si>
  <si>
    <t xml:space="preserve">  kWh Increase Y/Y</t>
  </si>
  <si>
    <t xml:space="preserve">  Connections</t>
  </si>
  <si>
    <t xml:space="preserve">  kW</t>
  </si>
  <si>
    <t xml:space="preserve">  kW Increase Y/Y</t>
  </si>
  <si>
    <t xml:space="preserve">  kW </t>
  </si>
  <si>
    <t>SLR</t>
  </si>
  <si>
    <t xml:space="preserve">  Customer/Connections</t>
  </si>
  <si>
    <t xml:space="preserve">  kW from applicable classes</t>
  </si>
  <si>
    <t>kWh Increases</t>
  </si>
  <si>
    <t>HOBNI Rate Class Energy Model</t>
  </si>
  <si>
    <t>Rate Class Load Model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</si>
</sst>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\-yy;@"/>
    <numFmt numFmtId="167" formatCode="0.0000%"/>
    <numFmt numFmtId="168" formatCode="0.000%"/>
    <numFmt numFmtId="169" formatCode="0.00000000000000%"/>
    <numFmt numFmtId="170" formatCode="0.0_)"/>
    <numFmt numFmtId="171" formatCode="#,##0.00000"/>
    <numFmt numFmtId="172" formatCode="#,##0.00000000"/>
    <numFmt numFmtId="173" formatCode="0.0%"/>
    <numFmt numFmtId="174" formatCode="_-* #,##0_-;\-* #,##0_-;_-* &quot;-&quot;??_-;_-@_-"/>
    <numFmt numFmtId="175" formatCode="0.0000"/>
    <numFmt numFmtId="176" formatCode="_(* #,##0_);_(* \(#,##0\);_(* &quot;-&quot;??_);_(@_)"/>
    <numFmt numFmtId="177" formatCode="#,##0.0000"/>
    <numFmt numFmtId="178" formatCode="0.000000"/>
    <numFmt numFmtId="179" formatCode="_-* #,##0.0000_-;\-* #,##0.0000_-;_-* &quot;-&quot;??_-;_-@_-"/>
    <numFmt numFmtId="180" formatCode="#,##0.000000"/>
    <numFmt numFmtId="181" formatCode="0.00000000"/>
    <numFmt numFmtId="182" formatCode="#,##0.000000000"/>
    <numFmt numFmtId="183" formatCode="#,##0;\(#,##0\)"/>
    <numFmt numFmtId="184" formatCode="0.0000000"/>
    <numFmt numFmtId="185" formatCode="_(&quot;$&quot;* #,##0.0000_);_(&quot;$&quot;* \(#,##0.0000\);_(&quot;$&quot;* &quot;-&quot;??_);_(@_)"/>
    <numFmt numFmtId="186" formatCode="_(&quot;$&quot;* #,##0_);_(&quot;$&quot;* \(#,##0\);_(&quot;$&quot;* &quot;-&quot;??_);_(@_)"/>
    <numFmt numFmtId="187" formatCode="0.00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9"/>
      <name val="Arial"/>
      <family val="2"/>
    </font>
    <font>
      <sz val="9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9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u val="single"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62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0" fontId="60" fillId="33" borderId="10" xfId="0" applyFont="1" applyFill="1" applyBorder="1" applyAlignment="1">
      <alignment/>
    </xf>
    <xf numFmtId="0" fontId="60" fillId="33" borderId="11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3" fillId="0" borderId="0" xfId="0" applyFont="1" applyAlignment="1">
      <alignment/>
    </xf>
    <xf numFmtId="0" fontId="60" fillId="33" borderId="13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60" fillId="33" borderId="15" xfId="0" applyFont="1" applyFill="1" applyBorder="1" applyAlignment="1">
      <alignment/>
    </xf>
    <xf numFmtId="0" fontId="3" fillId="0" borderId="0" xfId="0" applyFont="1" applyBorder="1" applyAlignment="1">
      <alignment/>
    </xf>
    <xf numFmtId="166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166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6" fontId="0" fillId="0" borderId="19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166" fontId="0" fillId="0" borderId="13" xfId="0" applyNumberForma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20" xfId="0" applyBorder="1" applyAlignment="1">
      <alignment/>
    </xf>
    <xf numFmtId="17" fontId="3" fillId="0" borderId="19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0" borderId="22" xfId="0" applyFont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7" fontId="0" fillId="0" borderId="0" xfId="0" applyNumberFormat="1" applyAlignment="1">
      <alignment/>
    </xf>
    <xf numFmtId="3" fontId="3" fillId="34" borderId="19" xfId="0" applyNumberFormat="1" applyFont="1" applyFill="1" applyBorder="1" applyAlignment="1">
      <alignment/>
    </xf>
    <xf numFmtId="17" fontId="3" fillId="0" borderId="13" xfId="0" applyNumberFormat="1" applyFont="1" applyFill="1" applyBorder="1" applyAlignment="1">
      <alignment/>
    </xf>
    <xf numFmtId="37" fontId="3" fillId="0" borderId="14" xfId="0" applyNumberFormat="1" applyFont="1" applyFill="1" applyBorder="1" applyAlignment="1">
      <alignment horizontal="right"/>
    </xf>
    <xf numFmtId="37" fontId="0" fillId="0" borderId="14" xfId="0" applyNumberFormat="1" applyFill="1" applyBorder="1" applyAlignment="1">
      <alignment/>
    </xf>
    <xf numFmtId="37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23" xfId="0" applyFont="1" applyBorder="1" applyAlignment="1">
      <alignment/>
    </xf>
    <xf numFmtId="3" fontId="3" fillId="35" borderId="13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13" xfId="0" applyBorder="1" applyAlignment="1">
      <alignment/>
    </xf>
    <xf numFmtId="0" fontId="0" fillId="35" borderId="23" xfId="0" applyFill="1" applyBorder="1" applyAlignment="1">
      <alignment/>
    </xf>
    <xf numFmtId="10" fontId="0" fillId="0" borderId="0" xfId="57" applyNumberFormat="1" applyFont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0" fontId="60" fillId="33" borderId="16" xfId="57" applyNumberFormat="1" applyFont="1" applyFill="1" applyBorder="1" applyAlignment="1">
      <alignment horizontal="center"/>
    </xf>
    <xf numFmtId="0" fontId="6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60" fillId="33" borderId="19" xfId="57" applyNumberFormat="1" applyFont="1" applyFill="1" applyBorder="1" applyAlignment="1">
      <alignment horizontal="center"/>
    </xf>
    <xf numFmtId="49" fontId="60" fillId="33" borderId="2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9" xfId="57" applyNumberFormat="1" applyFont="1" applyBorder="1" applyAlignment="1">
      <alignment/>
    </xf>
    <xf numFmtId="10" fontId="0" fillId="0" borderId="20" xfId="57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167" fontId="0" fillId="0" borderId="10" xfId="57" applyNumberFormat="1" applyFont="1" applyBorder="1" applyAlignment="1">
      <alignment/>
    </xf>
    <xf numFmtId="167" fontId="0" fillId="0" borderId="12" xfId="57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67" fontId="0" fillId="0" borderId="0" xfId="57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/>
    </xf>
    <xf numFmtId="1" fontId="3" fillId="36" borderId="16" xfId="0" applyNumberFormat="1" applyFont="1" applyFill="1" applyBorder="1" applyAlignment="1">
      <alignment/>
    </xf>
    <xf numFmtId="1" fontId="3" fillId="36" borderId="24" xfId="0" applyNumberFormat="1" applyFont="1" applyFill="1" applyBorder="1" applyAlignment="1">
      <alignment/>
    </xf>
    <xf numFmtId="1" fontId="3" fillId="36" borderId="19" xfId="0" applyNumberFormat="1" applyFont="1" applyFill="1" applyBorder="1" applyAlignment="1">
      <alignment/>
    </xf>
    <xf numFmtId="1" fontId="3" fillId="36" borderId="22" xfId="0" applyNumberFormat="1" applyFont="1" applyFill="1" applyBorder="1" applyAlignment="1">
      <alignment/>
    </xf>
    <xf numFmtId="1" fontId="0" fillId="0" borderId="14" xfId="0" applyNumberFormat="1" applyBorder="1" applyAlignment="1">
      <alignment/>
    </xf>
    <xf numFmtId="1" fontId="3" fillId="36" borderId="13" xfId="0" applyNumberFormat="1" applyFont="1" applyFill="1" applyBorder="1" applyAlignment="1">
      <alignment/>
    </xf>
    <xf numFmtId="1" fontId="3" fillId="36" borderId="23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168" fontId="0" fillId="0" borderId="0" xfId="57" applyNumberFormat="1" applyFont="1" applyBorder="1" applyAlignment="1">
      <alignment/>
    </xf>
    <xf numFmtId="168" fontId="0" fillId="0" borderId="20" xfId="57" applyNumberFormat="1" applyFont="1" applyBorder="1" applyAlignment="1">
      <alignment/>
    </xf>
    <xf numFmtId="0" fontId="3" fillId="0" borderId="13" xfId="0" applyFont="1" applyBorder="1" applyAlignment="1">
      <alignment/>
    </xf>
    <xf numFmtId="168" fontId="0" fillId="0" borderId="14" xfId="57" applyNumberFormat="1" applyFont="1" applyBorder="1" applyAlignment="1">
      <alignment/>
    </xf>
    <xf numFmtId="168" fontId="0" fillId="0" borderId="15" xfId="57" applyNumberFormat="1" applyFont="1" applyBorder="1" applyAlignment="1">
      <alignment/>
    </xf>
    <xf numFmtId="169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8" fillId="34" borderId="0" xfId="0" applyFont="1" applyFill="1" applyAlignment="1">
      <alignment horizontal="center" wrapText="1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7" fontId="3" fillId="0" borderId="0" xfId="0" applyNumberFormat="1" applyFont="1" applyFill="1" applyAlignment="1">
      <alignment/>
    </xf>
    <xf numFmtId="170" fontId="0" fillId="0" borderId="0" xfId="0" applyNumberFormat="1" applyBorder="1" applyAlignment="1" applyProtection="1">
      <alignment/>
      <protection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0" fontId="0" fillId="0" borderId="0" xfId="57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70" fontId="0" fillId="0" borderId="0" xfId="0" applyNumberFormat="1" applyFill="1" applyBorder="1" applyAlignment="1" applyProtection="1">
      <alignment/>
      <protection/>
    </xf>
    <xf numFmtId="17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7" fontId="10" fillId="0" borderId="24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17" fontId="10" fillId="0" borderId="22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0" fontId="10" fillId="37" borderId="16" xfId="0" applyFont="1" applyFill="1" applyBorder="1" applyAlignment="1">
      <alignment/>
    </xf>
    <xf numFmtId="0" fontId="10" fillId="37" borderId="17" xfId="0" applyFont="1" applyFill="1" applyBorder="1" applyAlignment="1">
      <alignment/>
    </xf>
    <xf numFmtId="0" fontId="10" fillId="37" borderId="18" xfId="0" applyFont="1" applyFill="1" applyBorder="1" applyAlignment="1">
      <alignment/>
    </xf>
    <xf numFmtId="0" fontId="10" fillId="37" borderId="24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10" fillId="37" borderId="19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0" xfId="42" applyNumberFormat="1" applyFont="1" applyBorder="1" applyAlignment="1">
      <alignment/>
    </xf>
    <xf numFmtId="3" fontId="9" fillId="0" borderId="20" xfId="42" applyNumberFormat="1" applyFont="1" applyBorder="1" applyAlignment="1">
      <alignment/>
    </xf>
    <xf numFmtId="0" fontId="10" fillId="37" borderId="13" xfId="0" applyFont="1" applyFill="1" applyBorder="1" applyAlignment="1">
      <alignment/>
    </xf>
    <xf numFmtId="3" fontId="9" fillId="0" borderId="14" xfId="42" applyNumberFormat="1" applyFont="1" applyBorder="1" applyAlignment="1">
      <alignment/>
    </xf>
    <xf numFmtId="3" fontId="9" fillId="0" borderId="15" xfId="42" applyNumberFormat="1" applyFont="1" applyBorder="1" applyAlignment="1">
      <alignment/>
    </xf>
    <xf numFmtId="3" fontId="9" fillId="0" borderId="23" xfId="0" applyNumberFormat="1" applyFont="1" applyFill="1" applyBorder="1" applyAlignment="1">
      <alignment/>
    </xf>
    <xf numFmtId="172" fontId="9" fillId="0" borderId="0" xfId="42" applyNumberFormat="1" applyFont="1" applyBorder="1" applyAlignment="1">
      <alignment/>
    </xf>
    <xf numFmtId="0" fontId="10" fillId="0" borderId="17" xfId="0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10" fontId="9" fillId="0" borderId="0" xfId="57" applyNumberFormat="1" applyFont="1" applyFill="1" applyBorder="1" applyAlignment="1">
      <alignment/>
    </xf>
    <xf numFmtId="10" fontId="9" fillId="0" borderId="20" xfId="57" applyNumberFormat="1" applyFont="1" applyFill="1" applyBorder="1" applyAlignment="1">
      <alignment/>
    </xf>
    <xf numFmtId="10" fontId="10" fillId="0" borderId="0" xfId="57" applyNumberFormat="1" applyFont="1" applyFill="1" applyBorder="1" applyAlignment="1">
      <alignment/>
    </xf>
    <xf numFmtId="10" fontId="3" fillId="0" borderId="0" xfId="57" applyNumberFormat="1" applyFont="1" applyFill="1" applyBorder="1" applyAlignment="1">
      <alignment/>
    </xf>
    <xf numFmtId="17" fontId="10" fillId="0" borderId="23" xfId="0" applyNumberFormat="1" applyFont="1" applyBorder="1" applyAlignment="1">
      <alignment/>
    </xf>
    <xf numFmtId="0" fontId="9" fillId="0" borderId="23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34" borderId="18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174" fontId="2" fillId="34" borderId="20" xfId="42" applyNumberFormat="1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20" xfId="0" applyFont="1" applyBorder="1" applyAlignment="1">
      <alignment/>
    </xf>
    <xf numFmtId="1" fontId="0" fillId="0" borderId="1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3" fillId="0" borderId="2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3" fillId="0" borderId="15" xfId="0" applyFont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 textRotation="90"/>
    </xf>
    <xf numFmtId="0" fontId="3" fillId="0" borderId="21" xfId="0" applyFont="1" applyBorder="1" applyAlignment="1">
      <alignment/>
    </xf>
    <xf numFmtId="1" fontId="3" fillId="38" borderId="10" xfId="0" applyNumberFormat="1" applyFont="1" applyFill="1" applyBorder="1" applyAlignment="1">
      <alignment/>
    </xf>
    <xf numFmtId="1" fontId="3" fillId="38" borderId="11" xfId="0" applyNumberFormat="1" applyFont="1" applyFill="1" applyBorder="1" applyAlignment="1">
      <alignment/>
    </xf>
    <xf numFmtId="1" fontId="3" fillId="38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3" fillId="0" borderId="2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0" fillId="0" borderId="17" xfId="0" applyNumberFormat="1" applyFont="1" applyBorder="1" applyAlignment="1">
      <alignment/>
    </xf>
    <xf numFmtId="175" fontId="0" fillId="0" borderId="18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75" fontId="0" fillId="0" borderId="19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0" fillId="0" borderId="2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75" fontId="0" fillId="0" borderId="13" xfId="0" applyNumberFormat="1" applyFont="1" applyBorder="1" applyAlignment="1">
      <alignment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0" fontId="2" fillId="34" borderId="24" xfId="0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1" fontId="0" fillId="0" borderId="17" xfId="0" applyNumberFormat="1" applyFont="1" applyBorder="1" applyAlignment="1">
      <alignment/>
    </xf>
    <xf numFmtId="0" fontId="0" fillId="0" borderId="22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1" fontId="0" fillId="0" borderId="14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1" xfId="0" applyFont="1" applyFill="1" applyBorder="1" applyAlignment="1">
      <alignment/>
    </xf>
    <xf numFmtId="175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3" fillId="0" borderId="18" xfId="0" applyNumberFormat="1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2" fillId="0" borderId="0" xfId="57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9" fontId="0" fillId="0" borderId="17" xfId="57" applyFont="1" applyBorder="1" applyAlignment="1">
      <alignment/>
    </xf>
    <xf numFmtId="9" fontId="0" fillId="0" borderId="0" xfId="57" applyFont="1" applyBorder="1" applyAlignment="1">
      <alignment/>
    </xf>
    <xf numFmtId="9" fontId="0" fillId="0" borderId="14" xfId="57" applyFont="1" applyBorder="1" applyAlignment="1">
      <alignment/>
    </xf>
    <xf numFmtId="0" fontId="0" fillId="0" borderId="15" xfId="0" applyFont="1" applyBorder="1" applyAlignment="1">
      <alignment/>
    </xf>
    <xf numFmtId="10" fontId="0" fillId="0" borderId="0" xfId="57" applyNumberFormat="1" applyFont="1" applyBorder="1" applyAlignment="1">
      <alignment/>
    </xf>
    <xf numFmtId="167" fontId="0" fillId="0" borderId="0" xfId="57" applyNumberFormat="1" applyFont="1" applyBorder="1" applyAlignment="1">
      <alignment/>
    </xf>
    <xf numFmtId="167" fontId="0" fillId="0" borderId="20" xfId="57" applyNumberFormat="1" applyFont="1" applyBorder="1" applyAlignment="1">
      <alignment/>
    </xf>
    <xf numFmtId="10" fontId="0" fillId="0" borderId="14" xfId="57" applyNumberFormat="1" applyFont="1" applyBorder="1" applyAlignment="1">
      <alignment/>
    </xf>
    <xf numFmtId="167" fontId="0" fillId="0" borderId="14" xfId="57" applyNumberFormat="1" applyFont="1" applyBorder="1" applyAlignment="1">
      <alignment/>
    </xf>
    <xf numFmtId="167" fontId="0" fillId="0" borderId="15" xfId="57" applyNumberFormat="1" applyFont="1" applyBorder="1" applyAlignment="1">
      <alignment/>
    </xf>
    <xf numFmtId="10" fontId="0" fillId="0" borderId="17" xfId="57" applyNumberFormat="1" applyFont="1" applyBorder="1" applyAlignment="1">
      <alignment/>
    </xf>
    <xf numFmtId="167" fontId="0" fillId="0" borderId="17" xfId="57" applyNumberFormat="1" applyFont="1" applyBorder="1" applyAlignment="1">
      <alignment/>
    </xf>
    <xf numFmtId="167" fontId="0" fillId="0" borderId="18" xfId="57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0" fontId="2" fillId="34" borderId="19" xfId="0" applyFont="1" applyFill="1" applyBorder="1" applyAlignment="1">
      <alignment/>
    </xf>
    <xf numFmtId="0" fontId="10" fillId="0" borderId="24" xfId="0" applyFont="1" applyBorder="1" applyAlignment="1">
      <alignment/>
    </xf>
    <xf numFmtId="174" fontId="9" fillId="0" borderId="19" xfId="42" applyNumberFormat="1" applyFont="1" applyBorder="1" applyAlignment="1">
      <alignment/>
    </xf>
    <xf numFmtId="174" fontId="9" fillId="0" borderId="0" xfId="42" applyNumberFormat="1" applyFont="1" applyBorder="1" applyAlignment="1">
      <alignment/>
    </xf>
    <xf numFmtId="174" fontId="9" fillId="0" borderId="20" xfId="42" applyNumberFormat="1" applyFont="1" applyBorder="1" applyAlignment="1">
      <alignment/>
    </xf>
    <xf numFmtId="174" fontId="0" fillId="0" borderId="0" xfId="42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174" fontId="0" fillId="0" borderId="20" xfId="42" applyNumberFormat="1" applyFont="1" applyBorder="1" applyAlignment="1">
      <alignment/>
    </xf>
    <xf numFmtId="0" fontId="10" fillId="0" borderId="0" xfId="0" applyFont="1" applyFill="1" applyAlignment="1">
      <alignment/>
    </xf>
    <xf numFmtId="174" fontId="10" fillId="0" borderId="10" xfId="42" applyNumberFormat="1" applyFont="1" applyFill="1" applyBorder="1" applyAlignment="1">
      <alignment/>
    </xf>
    <xf numFmtId="174" fontId="10" fillId="0" borderId="11" xfId="42" applyNumberFormat="1" applyFont="1" applyFill="1" applyBorder="1" applyAlignment="1">
      <alignment/>
    </xf>
    <xf numFmtId="174" fontId="10" fillId="0" borderId="12" xfId="0" applyNumberFormat="1" applyFont="1" applyFill="1" applyBorder="1" applyAlignment="1">
      <alignment/>
    </xf>
    <xf numFmtId="174" fontId="10" fillId="0" borderId="12" xfId="42" applyNumberFormat="1" applyFont="1" applyFill="1" applyBorder="1" applyAlignment="1">
      <alignment/>
    </xf>
    <xf numFmtId="174" fontId="9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174" fontId="9" fillId="0" borderId="13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174" fontId="0" fillId="0" borderId="15" xfId="42" applyNumberFormat="1" applyFont="1" applyBorder="1" applyAlignment="1">
      <alignment/>
    </xf>
    <xf numFmtId="174" fontId="0" fillId="0" borderId="13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3" fontId="0" fillId="0" borderId="17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0" fillId="0" borderId="19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0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2" fillId="34" borderId="16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174" fontId="0" fillId="0" borderId="20" xfId="0" applyNumberFormat="1" applyFont="1" applyBorder="1" applyAlignment="1">
      <alignment/>
    </xf>
    <xf numFmtId="174" fontId="0" fillId="0" borderId="19" xfId="42" applyNumberFormat="1" applyFont="1" applyBorder="1" applyAlignment="1">
      <alignment/>
    </xf>
    <xf numFmtId="174" fontId="0" fillId="0" borderId="16" xfId="42" applyNumberFormat="1" applyFont="1" applyBorder="1" applyAlignment="1">
      <alignment/>
    </xf>
    <xf numFmtId="174" fontId="0" fillId="0" borderId="17" xfId="42" applyNumberFormat="1" applyFont="1" applyBorder="1" applyAlignment="1">
      <alignment/>
    </xf>
    <xf numFmtId="174" fontId="9" fillId="0" borderId="17" xfId="42" applyNumberFormat="1" applyFont="1" applyBorder="1" applyAlignment="1">
      <alignment/>
    </xf>
    <xf numFmtId="174" fontId="0" fillId="0" borderId="18" xfId="0" applyNumberFormat="1" applyFont="1" applyBorder="1" applyAlignment="1">
      <alignment/>
    </xf>
    <xf numFmtId="174" fontId="0" fillId="0" borderId="0" xfId="42" applyNumberFormat="1" applyFont="1" applyFill="1" applyBorder="1" applyAlignment="1">
      <alignment/>
    </xf>
    <xf numFmtId="174" fontId="0" fillId="0" borderId="19" xfId="42" applyNumberFormat="1" applyFont="1" applyFill="1" applyBorder="1" applyAlignment="1">
      <alignment/>
    </xf>
    <xf numFmtId="174" fontId="9" fillId="0" borderId="0" xfId="42" applyNumberFormat="1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10" fillId="0" borderId="19" xfId="42" applyNumberFormat="1" applyFont="1" applyBorder="1" applyAlignment="1">
      <alignment/>
    </xf>
    <xf numFmtId="174" fontId="10" fillId="0" borderId="0" xfId="42" applyNumberFormat="1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174" fontId="10" fillId="0" borderId="10" xfId="42" applyNumberFormat="1" applyFont="1" applyBorder="1" applyAlignment="1">
      <alignment/>
    </xf>
    <xf numFmtId="174" fontId="10" fillId="0" borderId="11" xfId="42" applyNumberFormat="1" applyFont="1" applyBorder="1" applyAlignment="1">
      <alignment/>
    </xf>
    <xf numFmtId="174" fontId="10" fillId="0" borderId="12" xfId="0" applyNumberFormat="1" applyFont="1" applyBorder="1" applyAlignment="1">
      <alignment/>
    </xf>
    <xf numFmtId="174" fontId="10" fillId="0" borderId="16" xfId="42" applyNumberFormat="1" applyFont="1" applyBorder="1" applyAlignment="1">
      <alignment/>
    </xf>
    <xf numFmtId="174" fontId="10" fillId="0" borderId="17" xfId="42" applyNumberFormat="1" applyFont="1" applyBorder="1" applyAlignment="1">
      <alignment/>
    </xf>
    <xf numFmtId="174" fontId="10" fillId="0" borderId="18" xfId="0" applyNumberFormat="1" applyFont="1" applyBorder="1" applyAlignment="1">
      <alignment/>
    </xf>
    <xf numFmtId="174" fontId="10" fillId="0" borderId="18" xfId="42" applyNumberFormat="1" applyFont="1" applyBorder="1" applyAlignment="1">
      <alignment/>
    </xf>
    <xf numFmtId="174" fontId="10" fillId="0" borderId="16" xfId="0" applyNumberFormat="1" applyFont="1" applyBorder="1" applyAlignment="1">
      <alignment/>
    </xf>
    <xf numFmtId="174" fontId="10" fillId="0" borderId="17" xfId="0" applyNumberFormat="1" applyFont="1" applyBorder="1" applyAlignment="1">
      <alignment/>
    </xf>
    <xf numFmtId="174" fontId="10" fillId="0" borderId="20" xfId="0" applyNumberFormat="1" applyFont="1" applyBorder="1" applyAlignment="1">
      <alignment/>
    </xf>
    <xf numFmtId="174" fontId="10" fillId="0" borderId="20" xfId="42" applyNumberFormat="1" applyFont="1" applyBorder="1" applyAlignment="1">
      <alignment/>
    </xf>
    <xf numFmtId="174" fontId="10" fillId="0" borderId="19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10" fillId="0" borderId="18" xfId="0" applyFont="1" applyBorder="1" applyAlignment="1">
      <alignment/>
    </xf>
    <xf numFmtId="177" fontId="9" fillId="0" borderId="19" xfId="42" applyNumberFormat="1" applyFont="1" applyBorder="1" applyAlignment="1">
      <alignment/>
    </xf>
    <xf numFmtId="177" fontId="9" fillId="0" borderId="0" xfId="42" applyNumberFormat="1" applyFont="1" applyBorder="1" applyAlignment="1">
      <alignment/>
    </xf>
    <xf numFmtId="177" fontId="9" fillId="0" borderId="20" xfId="42" applyNumberFormat="1" applyFont="1" applyBorder="1" applyAlignment="1">
      <alignment/>
    </xf>
    <xf numFmtId="175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/>
    </xf>
    <xf numFmtId="175" fontId="0" fillId="0" borderId="0" xfId="0" applyNumberFormat="1" applyFont="1" applyBorder="1" applyAlignment="1">
      <alignment horizontal="center"/>
    </xf>
    <xf numFmtId="177" fontId="9" fillId="0" borderId="10" xfId="42" applyNumberFormat="1" applyFont="1" applyBorder="1" applyAlignment="1">
      <alignment/>
    </xf>
    <xf numFmtId="177" fontId="9" fillId="0" borderId="11" xfId="42" applyNumberFormat="1" applyFont="1" applyBorder="1" applyAlignment="1">
      <alignment/>
    </xf>
    <xf numFmtId="177" fontId="9" fillId="0" borderId="12" xfId="42" applyNumberFormat="1" applyFont="1" applyBorder="1" applyAlignment="1">
      <alignment/>
    </xf>
    <xf numFmtId="174" fontId="10" fillId="0" borderId="0" xfId="42" applyNumberFormat="1" applyFont="1" applyFill="1" applyAlignment="1">
      <alignment/>
    </xf>
    <xf numFmtId="174" fontId="3" fillId="0" borderId="0" xfId="42" applyNumberFormat="1" applyFont="1" applyFill="1" applyAlignment="1">
      <alignment/>
    </xf>
    <xf numFmtId="174" fontId="9" fillId="0" borderId="0" xfId="42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74" fontId="9" fillId="0" borderId="0" xfId="42" applyNumberFormat="1" applyFont="1" applyAlignment="1">
      <alignment/>
    </xf>
    <xf numFmtId="174" fontId="10" fillId="0" borderId="0" xfId="42" applyNumberFormat="1" applyFont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42" applyNumberFormat="1" applyFont="1" applyFill="1" applyAlignment="1">
      <alignment/>
    </xf>
    <xf numFmtId="174" fontId="10" fillId="0" borderId="0" xfId="42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4" fontId="3" fillId="0" borderId="0" xfId="42" applyNumberFormat="1" applyFont="1" applyAlignment="1">
      <alignment/>
    </xf>
    <xf numFmtId="174" fontId="0" fillId="0" borderId="0" xfId="42" applyNumberFormat="1" applyFont="1" applyAlignment="1">
      <alignment/>
    </xf>
    <xf numFmtId="179" fontId="10" fillId="0" borderId="0" xfId="42" applyNumberFormat="1" applyFont="1" applyAlignment="1">
      <alignment/>
    </xf>
    <xf numFmtId="174" fontId="3" fillId="0" borderId="0" xfId="0" applyNumberFormat="1" applyFont="1" applyBorder="1" applyAlignment="1">
      <alignment/>
    </xf>
    <xf numFmtId="174" fontId="3" fillId="0" borderId="0" xfId="42" applyNumberFormat="1" applyFont="1" applyFill="1" applyBorder="1" applyAlignment="1">
      <alignment/>
    </xf>
    <xf numFmtId="0" fontId="10" fillId="0" borderId="0" xfId="0" applyFont="1" applyAlignment="1">
      <alignment/>
    </xf>
    <xf numFmtId="0" fontId="14" fillId="34" borderId="0" xfId="0" applyFont="1" applyFill="1" applyBorder="1" applyAlignment="1">
      <alignment/>
    </xf>
    <xf numFmtId="0" fontId="14" fillId="34" borderId="19" xfId="0" applyFont="1" applyFill="1" applyBorder="1" applyAlignment="1">
      <alignment horizontal="center"/>
    </xf>
    <xf numFmtId="0" fontId="14" fillId="34" borderId="0" xfId="0" applyFont="1" applyFill="1" applyAlignment="1">
      <alignment/>
    </xf>
    <xf numFmtId="174" fontId="0" fillId="0" borderId="18" xfId="42" applyNumberFormat="1" applyFont="1" applyBorder="1" applyAlignment="1">
      <alignment/>
    </xf>
    <xf numFmtId="174" fontId="0" fillId="0" borderId="13" xfId="42" applyNumberFormat="1" applyFont="1" applyBorder="1" applyAlignment="1">
      <alignment/>
    </xf>
    <xf numFmtId="174" fontId="0" fillId="0" borderId="14" xfId="42" applyNumberFormat="1" applyFont="1" applyBorder="1" applyAlignment="1">
      <alignment/>
    </xf>
    <xf numFmtId="176" fontId="0" fillId="0" borderId="0" xfId="42" applyNumberFormat="1" applyFont="1" applyAlignment="1">
      <alignment/>
    </xf>
    <xf numFmtId="165" fontId="0" fillId="0" borderId="0" xfId="0" applyNumberFormat="1" applyFont="1" applyAlignment="1">
      <alignment/>
    </xf>
    <xf numFmtId="0" fontId="20" fillId="34" borderId="19" xfId="0" applyFont="1" applyFill="1" applyBorder="1" applyAlignment="1">
      <alignment horizontal="right"/>
    </xf>
    <xf numFmtId="0" fontId="20" fillId="34" borderId="0" xfId="0" applyFont="1" applyFill="1" applyBorder="1" applyAlignment="1">
      <alignment horizontal="right"/>
    </xf>
    <xf numFmtId="0" fontId="20" fillId="34" borderId="20" xfId="0" applyFont="1" applyFill="1" applyBorder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74" fontId="0" fillId="34" borderId="0" xfId="42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 horizontal="right"/>
    </xf>
    <xf numFmtId="10" fontId="0" fillId="0" borderId="0" xfId="57" applyNumberFormat="1" applyFont="1" applyAlignment="1">
      <alignment horizontal="right"/>
    </xf>
    <xf numFmtId="10" fontId="3" fillId="0" borderId="0" xfId="57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16" xfId="0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0" borderId="19" xfId="0" applyBorder="1" applyAlignment="1">
      <alignment horizontal="right"/>
    </xf>
    <xf numFmtId="3" fontId="0" fillId="0" borderId="1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3" fillId="0" borderId="11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167" fontId="0" fillId="0" borderId="19" xfId="57" applyNumberFormat="1" applyFont="1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167" fontId="0" fillId="0" borderId="0" xfId="57" applyNumberFormat="1" applyFont="1" applyBorder="1" applyAlignment="1">
      <alignment horizontal="center" vertical="center"/>
    </xf>
    <xf numFmtId="167" fontId="3" fillId="38" borderId="13" xfId="57" applyNumberFormat="1" applyFont="1" applyFill="1" applyBorder="1" applyAlignment="1">
      <alignment horizontal="center" vertical="center"/>
    </xf>
    <xf numFmtId="167" fontId="3" fillId="38" borderId="14" xfId="57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3" fontId="8" fillId="34" borderId="0" xfId="0" applyNumberFormat="1" applyFont="1" applyFill="1" applyAlignment="1">
      <alignment horizontal="center"/>
    </xf>
    <xf numFmtId="3" fontId="8" fillId="34" borderId="0" xfId="0" applyNumberFormat="1" applyFont="1" applyFill="1" applyAlignment="1">
      <alignment horizontal="center" wrapText="1"/>
    </xf>
    <xf numFmtId="3" fontId="0" fillId="0" borderId="17" xfId="0" applyNumberFormat="1" applyBorder="1" applyAlignment="1">
      <alignment horizontal="center"/>
    </xf>
    <xf numFmtId="183" fontId="0" fillId="0" borderId="17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75" fontId="0" fillId="0" borderId="17" xfId="0" applyNumberFormat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183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183" fontId="0" fillId="0" borderId="14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3" fillId="0" borderId="0" xfId="0" applyFont="1" applyFill="1" applyBorder="1" applyAlignment="1">
      <alignment vertical="center" textRotation="90"/>
    </xf>
    <xf numFmtId="0" fontId="3" fillId="0" borderId="2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71" fontId="0" fillId="0" borderId="0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3" fillId="0" borderId="0" xfId="0" applyFont="1" applyFill="1" applyAlignment="1">
      <alignment vertical="center" textRotation="90"/>
    </xf>
    <xf numFmtId="0" fontId="3" fillId="0" borderId="0" xfId="0" applyFont="1" applyAlignment="1">
      <alignment vertical="center" textRotation="90"/>
    </xf>
    <xf numFmtId="0" fontId="3" fillId="0" borderId="17" xfId="0" applyNumberFormat="1" applyFont="1" applyBorder="1" applyAlignment="1">
      <alignment/>
    </xf>
    <xf numFmtId="3" fontId="0" fillId="34" borderId="17" xfId="0" applyNumberFormat="1" applyFill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177" fontId="0" fillId="0" borderId="18" xfId="0" applyNumberFormat="1" applyBorder="1" applyAlignment="1">
      <alignment horizontal="center"/>
    </xf>
    <xf numFmtId="0" fontId="3" fillId="0" borderId="0" xfId="0" applyNumberFormat="1" applyFont="1" applyBorder="1" applyAlignment="1">
      <alignment/>
    </xf>
    <xf numFmtId="3" fontId="0" fillId="34" borderId="0" xfId="0" applyNumberFormat="1" applyFill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175" fontId="0" fillId="0" borderId="20" xfId="0" applyNumberFormat="1" applyBorder="1" applyAlignment="1">
      <alignment horizontal="center"/>
    </xf>
    <xf numFmtId="0" fontId="3" fillId="0" borderId="14" xfId="0" applyNumberFormat="1" applyFont="1" applyFill="1" applyBorder="1" applyAlignment="1">
      <alignment/>
    </xf>
    <xf numFmtId="3" fontId="0" fillId="34" borderId="14" xfId="0" applyNumberFormat="1" applyFill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175" fontId="0" fillId="0" borderId="15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177" fontId="0" fillId="0" borderId="0" xfId="0" applyNumberFormat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3" fillId="36" borderId="16" xfId="0" applyNumberFormat="1" applyFont="1" applyFill="1" applyBorder="1" applyAlignment="1">
      <alignment horizontal="center"/>
    </xf>
    <xf numFmtId="3" fontId="3" fillId="36" borderId="13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175" fontId="3" fillId="0" borderId="11" xfId="57" applyNumberFormat="1" applyFont="1" applyFill="1" applyBorder="1" applyAlignment="1">
      <alignment horizontal="center"/>
    </xf>
    <xf numFmtId="175" fontId="3" fillId="0" borderId="12" xfId="57" applyNumberFormat="1" applyFon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0" fontId="8" fillId="34" borderId="0" xfId="57" applyNumberFormat="1" applyFont="1" applyFill="1" applyAlignment="1">
      <alignment horizontal="center" wrapText="1"/>
    </xf>
    <xf numFmtId="3" fontId="21" fillId="0" borderId="0" xfId="0" applyNumberFormat="1" applyFont="1" applyFill="1" applyAlignment="1">
      <alignment horizontal="center" wrapText="1"/>
    </xf>
    <xf numFmtId="10" fontId="3" fillId="0" borderId="0" xfId="57" applyNumberFormat="1" applyFont="1" applyFill="1" applyAlignment="1">
      <alignment horizontal="center"/>
    </xf>
    <xf numFmtId="0" fontId="22" fillId="0" borderId="25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22" fillId="0" borderId="25" xfId="0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17" fontId="0" fillId="0" borderId="16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0" fontId="3" fillId="0" borderId="18" xfId="57" applyNumberFormat="1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10" fontId="0" fillId="0" borderId="20" xfId="57" applyNumberFormat="1" applyFont="1" applyFill="1" applyBorder="1" applyAlignment="1">
      <alignment horizontal="center"/>
    </xf>
    <xf numFmtId="183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37" fontId="0" fillId="0" borderId="14" xfId="0" applyNumberFormat="1" applyFill="1" applyBorder="1" applyAlignment="1">
      <alignment horizontal="center"/>
    </xf>
    <xf numFmtId="37" fontId="60" fillId="0" borderId="19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3" fontId="3" fillId="0" borderId="17" xfId="0" applyNumberFormat="1" applyFont="1" applyFill="1" applyBorder="1" applyAlignment="1">
      <alignment horizontal="center"/>
    </xf>
    <xf numFmtId="37" fontId="0" fillId="0" borderId="17" xfId="0" applyNumberFormat="1" applyFill="1" applyBorder="1" applyAlignment="1">
      <alignment horizontal="center"/>
    </xf>
    <xf numFmtId="9" fontId="0" fillId="0" borderId="18" xfId="57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3" fontId="3" fillId="0" borderId="14" xfId="0" applyNumberFormat="1" applyFont="1" applyFill="1" applyBorder="1" applyAlignment="1">
      <alignment horizontal="center"/>
    </xf>
    <xf numFmtId="9" fontId="0" fillId="0" borderId="15" xfId="57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7" fontId="0" fillId="0" borderId="24" xfId="0" applyNumberFormat="1" applyFont="1" applyFill="1" applyBorder="1" applyAlignment="1">
      <alignment horizontal="center"/>
    </xf>
    <xf numFmtId="37" fontId="0" fillId="0" borderId="22" xfId="0" applyNumberFormat="1" applyFont="1" applyFill="1" applyBorder="1" applyAlignment="1">
      <alignment horizontal="center"/>
    </xf>
    <xf numFmtId="37" fontId="0" fillId="0" borderId="23" xfId="0" applyNumberFormat="1" applyFont="1" applyFill="1" applyBorder="1" applyAlignment="1">
      <alignment horizontal="center"/>
    </xf>
    <xf numFmtId="10" fontId="0" fillId="0" borderId="0" xfId="57" applyNumberFormat="1" applyFont="1" applyFill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2" fillId="0" borderId="26" xfId="0" applyFont="1" applyFill="1" applyBorder="1" applyAlignment="1">
      <alignment horizontal="centerContinuous"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5" xfId="0" applyFill="1" applyBorder="1" applyAlignment="1">
      <alignment/>
    </xf>
    <xf numFmtId="171" fontId="3" fillId="36" borderId="0" xfId="0" applyNumberFormat="1" applyFont="1" applyFill="1" applyAlignment="1">
      <alignment horizontal="center"/>
    </xf>
    <xf numFmtId="173" fontId="9" fillId="0" borderId="0" xfId="57" applyNumberFormat="1" applyFont="1" applyFill="1" applyBorder="1" applyAlignment="1">
      <alignment/>
    </xf>
    <xf numFmtId="173" fontId="9" fillId="0" borderId="20" xfId="57" applyNumberFormat="1" applyFont="1" applyFill="1" applyBorder="1" applyAlignment="1">
      <alignment/>
    </xf>
    <xf numFmtId="10" fontId="11" fillId="0" borderId="0" xfId="57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167" fontId="3" fillId="0" borderId="11" xfId="57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67" fontId="3" fillId="0" borderId="12" xfId="57" applyNumberFormat="1" applyFont="1" applyFill="1" applyBorder="1" applyAlignment="1">
      <alignment/>
    </xf>
    <xf numFmtId="175" fontId="10" fillId="36" borderId="0" xfId="0" applyNumberFormat="1" applyFont="1" applyFill="1" applyAlignment="1">
      <alignment/>
    </xf>
    <xf numFmtId="174" fontId="10" fillId="36" borderId="12" xfId="0" applyNumberFormat="1" applyFont="1" applyFill="1" applyBorder="1" applyAlignment="1">
      <alignment/>
    </xf>
    <xf numFmtId="180" fontId="3" fillId="36" borderId="0" xfId="42" applyNumberFormat="1" applyFont="1" applyFill="1" applyAlignment="1">
      <alignment/>
    </xf>
    <xf numFmtId="174" fontId="10" fillId="36" borderId="12" xfId="42" applyNumberFormat="1" applyFont="1" applyFill="1" applyBorder="1" applyAlignment="1">
      <alignment/>
    </xf>
    <xf numFmtId="0" fontId="10" fillId="36" borderId="0" xfId="0" applyFont="1" applyFill="1" applyAlignment="1">
      <alignment/>
    </xf>
    <xf numFmtId="181" fontId="10" fillId="36" borderId="0" xfId="0" applyNumberFormat="1" applyFont="1" applyFill="1" applyAlignment="1">
      <alignment/>
    </xf>
    <xf numFmtId="170" fontId="0" fillId="11" borderId="16" xfId="0" applyNumberFormat="1" applyFill="1" applyBorder="1" applyAlignment="1" applyProtection="1">
      <alignment/>
      <protection/>
    </xf>
    <xf numFmtId="170" fontId="0" fillId="11" borderId="18" xfId="0" applyNumberFormat="1" applyFill="1" applyBorder="1" applyAlignment="1" applyProtection="1">
      <alignment/>
      <protection/>
    </xf>
    <xf numFmtId="170" fontId="0" fillId="11" borderId="19" xfId="0" applyNumberFormat="1" applyFill="1" applyBorder="1" applyAlignment="1" applyProtection="1">
      <alignment/>
      <protection/>
    </xf>
    <xf numFmtId="170" fontId="0" fillId="11" borderId="20" xfId="0" applyNumberFormat="1" applyFill="1" applyBorder="1" applyAlignment="1" applyProtection="1">
      <alignment/>
      <protection/>
    </xf>
    <xf numFmtId="3" fontId="3" fillId="0" borderId="13" xfId="0" applyNumberFormat="1" applyFont="1" applyFill="1" applyBorder="1" applyAlignment="1">
      <alignment horizontal="center"/>
    </xf>
    <xf numFmtId="3" fontId="3" fillId="36" borderId="19" xfId="0" applyNumberFormat="1" applyFont="1" applyFill="1" applyBorder="1" applyAlignment="1">
      <alignment horizontal="center"/>
    </xf>
    <xf numFmtId="3" fontId="3" fillId="36" borderId="0" xfId="0" applyNumberFormat="1" applyFont="1" applyFill="1" applyBorder="1" applyAlignment="1">
      <alignment horizontal="center"/>
    </xf>
    <xf numFmtId="3" fontId="3" fillId="36" borderId="20" xfId="0" applyNumberFormat="1" applyFont="1" applyFill="1" applyBorder="1" applyAlignment="1">
      <alignment horizontal="center"/>
    </xf>
    <xf numFmtId="3" fontId="3" fillId="36" borderId="14" xfId="0" applyNumberFormat="1" applyFont="1" applyFill="1" applyBorder="1" applyAlignment="1">
      <alignment horizontal="center"/>
    </xf>
    <xf numFmtId="3" fontId="3" fillId="36" borderId="15" xfId="0" applyNumberFormat="1" applyFont="1" applyFill="1" applyBorder="1" applyAlignment="1">
      <alignment horizontal="center"/>
    </xf>
    <xf numFmtId="184" fontId="3" fillId="0" borderId="21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3" fontId="0" fillId="0" borderId="17" xfId="0" applyNumberFormat="1" applyBorder="1" applyAlignment="1">
      <alignment horizontal="center" wrapText="1"/>
    </xf>
    <xf numFmtId="3" fontId="0" fillId="0" borderId="17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173" fontId="24" fillId="0" borderId="0" xfId="0" applyNumberFormat="1" applyFont="1" applyBorder="1" applyAlignment="1">
      <alignment horizontal="center" wrapText="1"/>
    </xf>
    <xf numFmtId="173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/>
    </xf>
    <xf numFmtId="0" fontId="0" fillId="0" borderId="0" xfId="0" applyBorder="1" applyAlignment="1">
      <alignment horizontal="center" wrapText="1"/>
    </xf>
    <xf numFmtId="3" fontId="0" fillId="0" borderId="14" xfId="0" applyNumberFormat="1" applyBorder="1" applyAlignment="1">
      <alignment horizontal="center" wrapText="1"/>
    </xf>
    <xf numFmtId="3" fontId="0" fillId="0" borderId="1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3" fontId="61" fillId="33" borderId="16" xfId="0" applyNumberFormat="1" applyFont="1" applyFill="1" applyBorder="1" applyAlignment="1">
      <alignment horizontal="center" wrapText="1"/>
    </xf>
    <xf numFmtId="3" fontId="61" fillId="33" borderId="17" xfId="0" applyNumberFormat="1" applyFont="1" applyFill="1" applyBorder="1" applyAlignment="1">
      <alignment horizontal="center" wrapText="1"/>
    </xf>
    <xf numFmtId="3" fontId="61" fillId="33" borderId="18" xfId="0" applyNumberFormat="1" applyFont="1" applyFill="1" applyBorder="1" applyAlignment="1">
      <alignment horizontal="center" wrapText="1"/>
    </xf>
    <xf numFmtId="3" fontId="3" fillId="0" borderId="17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10" fontId="0" fillId="0" borderId="16" xfId="57" applyNumberFormat="1" applyFont="1" applyFill="1" applyBorder="1" applyAlignment="1">
      <alignment/>
    </xf>
    <xf numFmtId="10" fontId="0" fillId="0" borderId="17" xfId="57" applyNumberFormat="1" applyFont="1" applyFill="1" applyBorder="1" applyAlignment="1">
      <alignment/>
    </xf>
    <xf numFmtId="10" fontId="0" fillId="0" borderId="18" xfId="57" applyNumberFormat="1" applyFont="1" applyFill="1" applyBorder="1" applyAlignment="1">
      <alignment/>
    </xf>
    <xf numFmtId="3" fontId="26" fillId="0" borderId="0" xfId="0" applyNumberFormat="1" applyFont="1" applyFill="1" applyAlignment="1">
      <alignment horizontal="center" wrapText="1"/>
    </xf>
    <xf numFmtId="10" fontId="0" fillId="0" borderId="19" xfId="57" applyNumberFormat="1" applyFont="1" applyFill="1" applyBorder="1" applyAlignment="1">
      <alignment horizontal="center"/>
    </xf>
    <xf numFmtId="10" fontId="0" fillId="0" borderId="0" xfId="57" applyNumberFormat="1" applyFont="1" applyFill="1" applyBorder="1" applyAlignment="1">
      <alignment horizontal="center"/>
    </xf>
    <xf numFmtId="10" fontId="0" fillId="0" borderId="20" xfId="57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" wrapText="1"/>
    </xf>
    <xf numFmtId="185" fontId="0" fillId="0" borderId="0" xfId="44" applyNumberFormat="1" applyFont="1" applyFill="1" applyBorder="1" applyAlignment="1">
      <alignment horizontal="center"/>
    </xf>
    <xf numFmtId="186" fontId="0" fillId="0" borderId="0" xfId="44" applyNumberFormat="1" applyFont="1" applyFill="1" applyBorder="1" applyAlignment="1">
      <alignment horizontal="center"/>
    </xf>
    <xf numFmtId="168" fontId="0" fillId="0" borderId="0" xfId="57" applyNumberFormat="1" applyFont="1" applyFill="1" applyBorder="1" applyAlignment="1">
      <alignment horizontal="center"/>
    </xf>
    <xf numFmtId="173" fontId="0" fillId="0" borderId="0" xfId="57" applyNumberFormat="1" applyFont="1" applyAlignment="1">
      <alignment/>
    </xf>
    <xf numFmtId="10" fontId="0" fillId="39" borderId="19" xfId="57" applyNumberFormat="1" applyFont="1" applyFill="1" applyBorder="1" applyAlignment="1">
      <alignment horizontal="center"/>
    </xf>
    <xf numFmtId="10" fontId="0" fillId="39" borderId="0" xfId="57" applyNumberFormat="1" applyFont="1" applyFill="1" applyBorder="1" applyAlignment="1">
      <alignment horizontal="center"/>
    </xf>
    <xf numFmtId="10" fontId="0" fillId="39" borderId="20" xfId="57" applyNumberFormat="1" applyFont="1" applyFill="1" applyBorder="1" applyAlignment="1">
      <alignment horizontal="center"/>
    </xf>
    <xf numFmtId="0" fontId="24" fillId="0" borderId="14" xfId="0" applyFont="1" applyBorder="1" applyAlignment="1">
      <alignment/>
    </xf>
    <xf numFmtId="3" fontId="24" fillId="0" borderId="14" xfId="0" applyNumberFormat="1" applyFont="1" applyBorder="1" applyAlignment="1">
      <alignment horizontal="center"/>
    </xf>
    <xf numFmtId="10" fontId="24" fillId="0" borderId="14" xfId="57" applyNumberFormat="1" applyFont="1" applyBorder="1" applyAlignment="1">
      <alignment horizontal="center"/>
    </xf>
    <xf numFmtId="10" fontId="24" fillId="0" borderId="14" xfId="57" applyNumberFormat="1" applyFont="1" applyFill="1" applyBorder="1" applyAlignment="1">
      <alignment horizontal="center"/>
    </xf>
    <xf numFmtId="10" fontId="24" fillId="0" borderId="13" xfId="57" applyNumberFormat="1" applyFont="1" applyFill="1" applyBorder="1" applyAlignment="1">
      <alignment horizontal="center"/>
    </xf>
    <xf numFmtId="10" fontId="24" fillId="0" borderId="15" xfId="57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3" fontId="3" fillId="0" borderId="0" xfId="0" applyNumberFormat="1" applyFont="1" applyFill="1" applyAlignment="1">
      <alignment horizontal="center"/>
    </xf>
    <xf numFmtId="10" fontId="3" fillId="0" borderId="19" xfId="57" applyNumberFormat="1" applyFont="1" applyFill="1" applyBorder="1" applyAlignment="1">
      <alignment horizontal="center"/>
    </xf>
    <xf numFmtId="10" fontId="0" fillId="0" borderId="0" xfId="57" applyNumberFormat="1" applyFont="1" applyFill="1" applyBorder="1" applyAlignment="1">
      <alignment/>
    </xf>
    <xf numFmtId="10" fontId="0" fillId="0" borderId="20" xfId="57" applyNumberFormat="1" applyFont="1" applyFill="1" applyBorder="1" applyAlignment="1">
      <alignment/>
    </xf>
    <xf numFmtId="10" fontId="0" fillId="0" borderId="16" xfId="57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10" fontId="24" fillId="0" borderId="0" xfId="57" applyNumberFormat="1" applyFont="1" applyBorder="1" applyAlignment="1">
      <alignment horizontal="center"/>
    </xf>
    <xf numFmtId="10" fontId="24" fillId="0" borderId="0" xfId="57" applyNumberFormat="1" applyFont="1" applyFill="1" applyBorder="1" applyAlignment="1">
      <alignment horizontal="center"/>
    </xf>
    <xf numFmtId="10" fontId="24" fillId="0" borderId="19" xfId="57" applyNumberFormat="1" applyFont="1" applyFill="1" applyBorder="1" applyAlignment="1">
      <alignment horizontal="center"/>
    </xf>
    <xf numFmtId="10" fontId="24" fillId="0" borderId="20" xfId="57" applyNumberFormat="1" applyFont="1" applyFill="1" applyBorder="1" applyAlignment="1">
      <alignment horizontal="center"/>
    </xf>
    <xf numFmtId="10" fontId="0" fillId="0" borderId="0" xfId="57" applyNumberFormat="1" applyFont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10" fontId="3" fillId="0" borderId="16" xfId="57" applyNumberFormat="1" applyFont="1" applyFill="1" applyBorder="1" applyAlignment="1">
      <alignment horizontal="center"/>
    </xf>
    <xf numFmtId="3" fontId="24" fillId="0" borderId="0" xfId="0" applyNumberFormat="1" applyFont="1" applyAlignment="1">
      <alignment horizontal="center"/>
    </xf>
    <xf numFmtId="10" fontId="0" fillId="0" borderId="19" xfId="57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3" xfId="57" applyNumberFormat="1" applyFont="1" applyFill="1" applyBorder="1" applyAlignment="1">
      <alignment/>
    </xf>
    <xf numFmtId="10" fontId="0" fillId="0" borderId="14" xfId="57" applyNumberFormat="1" applyFont="1" applyFill="1" applyBorder="1" applyAlignment="1">
      <alignment/>
    </xf>
    <xf numFmtId="10" fontId="0" fillId="0" borderId="15" xfId="57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86" fontId="3" fillId="0" borderId="0" xfId="44" applyNumberFormat="1" applyFont="1" applyAlignment="1">
      <alignment/>
    </xf>
    <xf numFmtId="168" fontId="3" fillId="0" borderId="0" xfId="57" applyNumberFormat="1" applyFont="1" applyFill="1" applyBorder="1" applyAlignment="1">
      <alignment horizontal="center"/>
    </xf>
    <xf numFmtId="10" fontId="3" fillId="0" borderId="0" xfId="57" applyNumberFormat="1" applyFont="1" applyAlignment="1">
      <alignment/>
    </xf>
    <xf numFmtId="167" fontId="0" fillId="0" borderId="17" xfId="57" applyNumberFormat="1" applyFont="1" applyBorder="1" applyAlignment="1">
      <alignment horizontal="center"/>
    </xf>
    <xf numFmtId="167" fontId="0" fillId="0" borderId="18" xfId="57" applyNumberFormat="1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3" fillId="0" borderId="19" xfId="0" applyNumberFormat="1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 horizontal="center"/>
    </xf>
    <xf numFmtId="3" fontId="0" fillId="36" borderId="0" xfId="0" applyNumberFormat="1" applyFill="1" applyBorder="1" applyAlignment="1">
      <alignment horizontal="center"/>
    </xf>
    <xf numFmtId="3" fontId="0" fillId="36" borderId="20" xfId="0" applyNumberFormat="1" applyFill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167" fontId="0" fillId="0" borderId="15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73" fontId="0" fillId="0" borderId="18" xfId="0" applyNumberFormat="1" applyBorder="1" applyAlignment="1">
      <alignment horizontal="center"/>
    </xf>
    <xf numFmtId="167" fontId="0" fillId="0" borderId="20" xfId="57" applyNumberFormat="1" applyFont="1" applyBorder="1" applyAlignment="1">
      <alignment horizontal="center" vertical="center"/>
    </xf>
    <xf numFmtId="167" fontId="3" fillId="38" borderId="15" xfId="57" applyNumberFormat="1" applyFont="1" applyFill="1" applyBorder="1" applyAlignment="1">
      <alignment horizontal="center" vertical="center"/>
    </xf>
    <xf numFmtId="3" fontId="0" fillId="34" borderId="16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7" xfId="0" applyNumberFormat="1" applyFill="1" applyBorder="1" applyAlignment="1">
      <alignment horizontal="right"/>
    </xf>
    <xf numFmtId="3" fontId="0" fillId="34" borderId="18" xfId="0" applyNumberFormat="1" applyFill="1" applyBorder="1" applyAlignment="1">
      <alignment horizontal="right"/>
    </xf>
    <xf numFmtId="3" fontId="0" fillId="34" borderId="19" xfId="0" applyNumberFormat="1" applyFill="1" applyBorder="1" applyAlignment="1">
      <alignment horizontal="right"/>
    </xf>
    <xf numFmtId="3" fontId="0" fillId="34" borderId="0" xfId="0" applyNumberFormat="1" applyFill="1" applyBorder="1" applyAlignment="1">
      <alignment horizontal="right"/>
    </xf>
    <xf numFmtId="3" fontId="0" fillId="34" borderId="0" xfId="0" applyNumberFormat="1" applyFont="1" applyFill="1" applyBorder="1" applyAlignment="1">
      <alignment horizontal="right"/>
    </xf>
    <xf numFmtId="3" fontId="0" fillId="34" borderId="20" xfId="0" applyNumberFormat="1" applyFill="1" applyBorder="1" applyAlignment="1">
      <alignment horizontal="right"/>
    </xf>
    <xf numFmtId="3" fontId="0" fillId="34" borderId="19" xfId="0" applyNumberFormat="1" applyFont="1" applyFill="1" applyBorder="1" applyAlignment="1">
      <alignment horizontal="right"/>
    </xf>
    <xf numFmtId="174" fontId="0" fillId="34" borderId="19" xfId="42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4" fontId="0" fillId="0" borderId="20" xfId="42" applyNumberFormat="1" applyFon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174" fontId="0" fillId="0" borderId="15" xfId="42" applyNumberFormat="1" applyFont="1" applyFill="1" applyBorder="1" applyAlignment="1">
      <alignment horizontal="right"/>
    </xf>
    <xf numFmtId="10" fontId="0" fillId="0" borderId="19" xfId="57" applyNumberFormat="1" applyFont="1" applyBorder="1" applyAlignment="1">
      <alignment horizontal="right"/>
    </xf>
    <xf numFmtId="10" fontId="0" fillId="0" borderId="0" xfId="57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0" fontId="0" fillId="0" borderId="20" xfId="57" applyNumberFormat="1" applyFont="1" applyBorder="1" applyAlignment="1">
      <alignment horizontal="right"/>
    </xf>
    <xf numFmtId="10" fontId="0" fillId="0" borderId="13" xfId="57" applyNumberFormat="1" applyFont="1" applyBorder="1" applyAlignment="1">
      <alignment horizontal="right"/>
    </xf>
    <xf numFmtId="10" fontId="0" fillId="0" borderId="14" xfId="57" applyNumberFormat="1" applyFont="1" applyBorder="1" applyAlignment="1">
      <alignment horizontal="right"/>
    </xf>
    <xf numFmtId="10" fontId="0" fillId="0" borderId="15" xfId="57" applyNumberFormat="1" applyFont="1" applyBorder="1" applyAlignment="1">
      <alignment horizontal="right"/>
    </xf>
    <xf numFmtId="10" fontId="3" fillId="0" borderId="10" xfId="57" applyNumberFormat="1" applyFont="1" applyBorder="1" applyAlignment="1">
      <alignment horizontal="right"/>
    </xf>
    <xf numFmtId="10" fontId="3" fillId="0" borderId="11" xfId="57" applyNumberFormat="1" applyFont="1" applyBorder="1" applyAlignment="1">
      <alignment horizontal="right"/>
    </xf>
    <xf numFmtId="10" fontId="3" fillId="0" borderId="12" xfId="57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9" fontId="0" fillId="34" borderId="19" xfId="57" applyFont="1" applyFill="1" applyBorder="1" applyAlignment="1">
      <alignment horizontal="right"/>
    </xf>
    <xf numFmtId="9" fontId="0" fillId="34" borderId="0" xfId="57" applyFont="1" applyFill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4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3" fillId="40" borderId="21" xfId="0" applyNumberFormat="1" applyFont="1" applyFill="1" applyBorder="1" applyAlignment="1">
      <alignment horizontal="center"/>
    </xf>
    <xf numFmtId="0" fontId="60" fillId="33" borderId="2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175" fontId="9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8" fillId="34" borderId="11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1" fontId="9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87" fontId="9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3" fontId="60" fillId="33" borderId="28" xfId="0" applyNumberFormat="1" applyFont="1" applyFill="1" applyBorder="1" applyAlignment="1">
      <alignment horizontal="center" textRotation="90"/>
    </xf>
    <xf numFmtId="3" fontId="60" fillId="33" borderId="29" xfId="0" applyNumberFormat="1" applyFont="1" applyFill="1" applyBorder="1" applyAlignment="1">
      <alignment horizontal="center" textRotation="90"/>
    </xf>
    <xf numFmtId="0" fontId="3" fillId="35" borderId="16" xfId="0" applyFont="1" applyFill="1" applyBorder="1" applyAlignment="1">
      <alignment vertical="center" textRotation="90"/>
    </xf>
    <xf numFmtId="0" fontId="3" fillId="35" borderId="19" xfId="0" applyFont="1" applyFill="1" applyBorder="1" applyAlignment="1">
      <alignment vertical="center" textRotation="90"/>
    </xf>
    <xf numFmtId="0" fontId="3" fillId="35" borderId="13" xfId="0" applyFont="1" applyFill="1" applyBorder="1" applyAlignment="1">
      <alignment vertical="center" textRotation="90"/>
    </xf>
    <xf numFmtId="0" fontId="62" fillId="34" borderId="0" xfId="0" applyFont="1" applyFill="1" applyAlignment="1">
      <alignment horizontal="center"/>
    </xf>
    <xf numFmtId="0" fontId="23" fillId="0" borderId="30" xfId="0" applyFont="1" applyBorder="1" applyAlignment="1">
      <alignment horizontal="center"/>
    </xf>
    <xf numFmtId="3" fontId="62" fillId="33" borderId="14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vertical="center" textRotation="90"/>
    </xf>
    <xf numFmtId="0" fontId="3" fillId="35" borderId="22" xfId="0" applyFont="1" applyFill="1" applyBorder="1" applyAlignment="1">
      <alignment vertical="center" textRotation="90"/>
    </xf>
    <xf numFmtId="0" fontId="3" fillId="35" borderId="23" xfId="0" applyFont="1" applyFill="1" applyBorder="1" applyAlignment="1">
      <alignment vertical="center" textRotation="90"/>
    </xf>
    <xf numFmtId="0" fontId="8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2" fillId="34" borderId="24" xfId="0" applyFont="1" applyFill="1" applyBorder="1" applyAlignment="1">
      <alignment vertical="center" textRotation="90"/>
    </xf>
    <xf numFmtId="0" fontId="2" fillId="34" borderId="22" xfId="0" applyFont="1" applyFill="1" applyBorder="1" applyAlignment="1">
      <alignment vertical="center" textRotation="90"/>
    </xf>
    <xf numFmtId="0" fontId="2" fillId="34" borderId="23" xfId="0" applyFont="1" applyFill="1" applyBorder="1" applyAlignment="1">
      <alignment vertical="center" textRotation="90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4" fillId="34" borderId="23" xfId="0" applyFont="1" applyFill="1" applyBorder="1" applyAlignment="1">
      <alignment/>
    </xf>
    <xf numFmtId="174" fontId="10" fillId="0" borderId="0" xfId="42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4" fontId="1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4" fontId="10" fillId="0" borderId="0" xfId="42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8" fillId="34" borderId="18" xfId="0" applyFont="1" applyFill="1" applyBorder="1" applyAlignment="1">
      <alignment horizontal="center"/>
    </xf>
    <xf numFmtId="0" fontId="2" fillId="34" borderId="16" xfId="0" applyFont="1" applyFill="1" applyBorder="1" applyAlignment="1">
      <alignment vertical="center" textRotation="90"/>
    </xf>
    <xf numFmtId="0" fontId="2" fillId="34" borderId="19" xfId="0" applyFont="1" applyFill="1" applyBorder="1" applyAlignment="1">
      <alignment vertical="center" textRotation="90"/>
    </xf>
    <xf numFmtId="0" fontId="2" fillId="34" borderId="13" xfId="0" applyFont="1" applyFill="1" applyBorder="1" applyAlignment="1">
      <alignment vertical="center" textRotation="90"/>
    </xf>
    <xf numFmtId="0" fontId="2" fillId="34" borderId="0" xfId="0" applyFont="1" applyFill="1" applyBorder="1" applyAlignment="1">
      <alignment horizontal="center"/>
    </xf>
    <xf numFmtId="175" fontId="2" fillId="34" borderId="17" xfId="0" applyNumberFormat="1" applyFont="1" applyFill="1" applyBorder="1" applyAlignment="1">
      <alignment horizontal="center"/>
    </xf>
    <xf numFmtId="0" fontId="60" fillId="33" borderId="14" xfId="0" applyFont="1" applyFill="1" applyBorder="1" applyAlignment="1">
      <alignment horizontal="center"/>
    </xf>
    <xf numFmtId="0" fontId="4" fillId="35" borderId="24" xfId="0" applyFont="1" applyFill="1" applyBorder="1" applyAlignment="1">
      <alignment vertical="center" textRotation="90"/>
    </xf>
    <xf numFmtId="0" fontId="5" fillId="35" borderId="22" xfId="0" applyFont="1" applyFill="1" applyBorder="1" applyAlignment="1">
      <alignment vertical="center" textRotation="90"/>
    </xf>
    <xf numFmtId="49" fontId="60" fillId="33" borderId="10" xfId="0" applyNumberFormat="1" applyFont="1" applyFill="1" applyBorder="1" applyAlignment="1">
      <alignment horizontal="center"/>
    </xf>
    <xf numFmtId="49" fontId="60" fillId="33" borderId="11" xfId="0" applyNumberFormat="1" applyFont="1" applyFill="1" applyBorder="1" applyAlignment="1">
      <alignment horizontal="center"/>
    </xf>
    <xf numFmtId="49" fontId="60" fillId="33" borderId="12" xfId="0" applyNumberFormat="1" applyFont="1" applyFill="1" applyBorder="1" applyAlignment="1">
      <alignment horizontal="center"/>
    </xf>
    <xf numFmtId="49" fontId="60" fillId="33" borderId="16" xfId="0" applyNumberFormat="1" applyFont="1" applyFill="1" applyBorder="1" applyAlignment="1">
      <alignment horizontal="center"/>
    </xf>
    <xf numFmtId="49" fontId="60" fillId="33" borderId="17" xfId="0" applyNumberFormat="1" applyFont="1" applyFill="1" applyBorder="1" applyAlignment="1">
      <alignment horizontal="center"/>
    </xf>
    <xf numFmtId="49" fontId="60" fillId="33" borderId="18" xfId="0" applyNumberFormat="1" applyFont="1" applyFill="1" applyBorder="1" applyAlignment="1">
      <alignment horizontal="center"/>
    </xf>
    <xf numFmtId="1" fontId="60" fillId="33" borderId="10" xfId="0" applyNumberFormat="1" applyFont="1" applyFill="1" applyBorder="1" applyAlignment="1">
      <alignment horizontal="center"/>
    </xf>
    <xf numFmtId="1" fontId="60" fillId="33" borderId="11" xfId="0" applyNumberFormat="1" applyFont="1" applyFill="1" applyBorder="1" applyAlignment="1">
      <alignment horizontal="center"/>
    </xf>
    <xf numFmtId="1" fontId="60" fillId="33" borderId="12" xfId="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Lindsey\AppData\Local\Microsoft\Windows\Temporary%20Internet%20Files\Low\Content.IE5\HRXWV853\Dummy%20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75"/>
  <sheetViews>
    <sheetView showGridLines="0" zoomScalePageLayoutView="0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7" sqref="K7"/>
    </sheetView>
  </sheetViews>
  <sheetFormatPr defaultColWidth="9.140625" defaultRowHeight="12.75"/>
  <cols>
    <col min="1" max="1" width="3.421875" style="0" customWidth="1"/>
    <col min="2" max="2" width="32.7109375" style="0" customWidth="1"/>
    <col min="3" max="4" width="13.57421875" style="91" bestFit="1" customWidth="1"/>
    <col min="5" max="5" width="13.57421875" style="91" customWidth="1"/>
    <col min="6" max="7" width="13.57421875" style="91" bestFit="1" customWidth="1"/>
    <col min="8" max="8" width="14.421875" style="91" bestFit="1" customWidth="1"/>
    <col min="9" max="9" width="14.140625" style="91" bestFit="1" customWidth="1"/>
    <col min="10" max="10" width="18.7109375" style="0" bestFit="1" customWidth="1"/>
    <col min="11" max="11" width="16.00390625" style="0" customWidth="1"/>
    <col min="12" max="12" width="3.421875" style="0" customWidth="1"/>
    <col min="13" max="13" width="11.00390625" style="0" customWidth="1"/>
    <col min="14" max="16" width="15.57421875" style="0" customWidth="1"/>
    <col min="17" max="17" width="2.7109375" style="0" customWidth="1"/>
    <col min="18" max="18" width="12.57421875" style="0" customWidth="1"/>
    <col min="19" max="19" width="12.8515625" style="0" customWidth="1"/>
    <col min="20" max="20" width="12.7109375" style="0" customWidth="1"/>
  </cols>
  <sheetData>
    <row r="1" spans="1:12" ht="15.75">
      <c r="A1" s="701" t="s">
        <v>183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</row>
    <row r="2" spans="2:9" ht="17.25" customHeight="1" thickBot="1">
      <c r="B2" s="560"/>
      <c r="C2" s="703"/>
      <c r="D2" s="703"/>
      <c r="E2" s="703"/>
      <c r="F2" s="703"/>
      <c r="G2" s="703"/>
      <c r="H2" s="703"/>
      <c r="I2" s="703"/>
    </row>
    <row r="3" spans="2:11" ht="12.75">
      <c r="B3" s="516"/>
      <c r="C3" s="467"/>
      <c r="D3" s="467"/>
      <c r="E3" s="467"/>
      <c r="F3" s="467"/>
      <c r="G3" s="467"/>
      <c r="H3" s="467"/>
      <c r="I3" s="467"/>
      <c r="J3" s="516"/>
      <c r="K3" s="516"/>
    </row>
    <row r="4" spans="2:16" s="561" customFormat="1" ht="38.25">
      <c r="B4" s="562"/>
      <c r="C4" s="563" t="s">
        <v>184</v>
      </c>
      <c r="D4" s="563" t="s">
        <v>185</v>
      </c>
      <c r="E4" s="563" t="s">
        <v>186</v>
      </c>
      <c r="F4" s="563" t="s">
        <v>187</v>
      </c>
      <c r="G4" s="563" t="s">
        <v>188</v>
      </c>
      <c r="H4" s="563" t="s">
        <v>189</v>
      </c>
      <c r="I4" s="563" t="s">
        <v>190</v>
      </c>
      <c r="J4" s="563" t="s">
        <v>191</v>
      </c>
      <c r="K4" s="563" t="s">
        <v>192</v>
      </c>
      <c r="M4" s="563" t="s">
        <v>193</v>
      </c>
      <c r="N4" s="563" t="s">
        <v>194</v>
      </c>
      <c r="O4" s="563" t="s">
        <v>195</v>
      </c>
      <c r="P4" s="563" t="s">
        <v>196</v>
      </c>
    </row>
    <row r="5" spans="3:11" s="111" customFormat="1" ht="13.5" thickBot="1">
      <c r="C5" s="564"/>
      <c r="D5" s="564"/>
      <c r="E5" s="564"/>
      <c r="F5" s="564"/>
      <c r="G5" s="564"/>
      <c r="H5" s="564"/>
      <c r="I5" s="564"/>
      <c r="J5" s="564"/>
      <c r="K5" s="564"/>
    </row>
    <row r="6" spans="2:11" ht="12.75">
      <c r="B6" s="34" t="s">
        <v>197</v>
      </c>
      <c r="C6" s="565">
        <f>'Power Purchased Model'!B139</f>
        <v>3438503350.56392</v>
      </c>
      <c r="D6" s="565">
        <f>'Power Purchased Model'!B140</f>
        <v>3606734354.93256</v>
      </c>
      <c r="E6" s="565">
        <f>'Power Purchased Model'!B141</f>
        <v>3848828345.2662396</v>
      </c>
      <c r="F6" s="565">
        <f>'Power Purchased Model'!B142</f>
        <v>3854274113.720393</v>
      </c>
      <c r="G6" s="565">
        <f>'Power Purchased Model'!B143</f>
        <v>3958591767.66456</v>
      </c>
      <c r="H6" s="565">
        <f>'Power Purchased Model'!B144</f>
        <v>3915443564.4390407</v>
      </c>
      <c r="I6" s="565">
        <f>'Power Purchased Model'!B145</f>
        <v>3727941968.39742</v>
      </c>
      <c r="J6" s="566"/>
      <c r="K6" s="566"/>
    </row>
    <row r="7" spans="2:11" ht="12.75">
      <c r="B7" s="9" t="s">
        <v>198</v>
      </c>
      <c r="C7" s="567">
        <f>'Power Purchased Model'!C139</f>
        <v>3454916498.841749</v>
      </c>
      <c r="D7" s="567">
        <f>'Power Purchased Model'!C140</f>
        <v>3546950265.4681444</v>
      </c>
      <c r="E7" s="567">
        <f>'Power Purchased Model'!B141</f>
        <v>3848828345.2662396</v>
      </c>
      <c r="F7" s="567">
        <f>'Power Purchased Model'!C142</f>
        <v>3833699583.407424</v>
      </c>
      <c r="G7" s="567">
        <f>'Power Purchased Model'!C143</f>
        <v>3988592060.7138667</v>
      </c>
      <c r="H7" s="567">
        <f>'Power Purchased Model'!C144</f>
        <v>3915428135.1134834</v>
      </c>
      <c r="I7" s="567">
        <f>'Power Purchased Model'!C145</f>
        <v>3759311463.674978</v>
      </c>
      <c r="J7" s="568">
        <f>'Power Purchased Model'!C146</f>
        <v>3821797458.3506794</v>
      </c>
      <c r="K7" s="568">
        <f>'Rate Class Energy Model'!D12</f>
        <v>3898527441.748795</v>
      </c>
    </row>
    <row r="8" spans="2:11" ht="6" customHeight="1">
      <c r="B8" s="9"/>
      <c r="C8" s="567"/>
      <c r="D8" s="567"/>
      <c r="E8" s="567"/>
      <c r="F8" s="567"/>
      <c r="G8" s="567"/>
      <c r="H8" s="567"/>
      <c r="I8" s="567"/>
      <c r="J8" s="568"/>
      <c r="K8" s="568"/>
    </row>
    <row r="9" spans="2:12" s="569" customFormat="1" ht="12">
      <c r="B9" s="570" t="s">
        <v>199</v>
      </c>
      <c r="C9" s="571">
        <f aca="true" t="shared" si="0" ref="C9:I9">(C7-C6)/C6</f>
        <v>0.004773340783610808</v>
      </c>
      <c r="D9" s="571">
        <f t="shared" si="0"/>
        <v>-0.016575684145591425</v>
      </c>
      <c r="E9" s="571">
        <f t="shared" si="0"/>
        <v>0</v>
      </c>
      <c r="F9" s="571">
        <f t="shared" si="0"/>
        <v>-0.0053381076970442426</v>
      </c>
      <c r="G9" s="571">
        <f t="shared" si="0"/>
        <v>0.007578526609983344</v>
      </c>
      <c r="H9" s="571">
        <f t="shared" si="0"/>
        <v>-3.940632856354919E-06</v>
      </c>
      <c r="I9" s="571">
        <f t="shared" si="0"/>
        <v>0.008414695170548235</v>
      </c>
      <c r="J9" s="572"/>
      <c r="K9" s="572"/>
      <c r="L9" s="573"/>
    </row>
    <row r="10" spans="2:11" ht="6" customHeight="1">
      <c r="B10" s="9"/>
      <c r="C10" s="574"/>
      <c r="D10" s="574"/>
      <c r="E10" s="574"/>
      <c r="F10" s="574"/>
      <c r="G10" s="574"/>
      <c r="H10" s="574"/>
      <c r="I10" s="574"/>
      <c r="J10" s="46"/>
      <c r="K10" s="46"/>
    </row>
    <row r="11" spans="2:11" ht="13.5" thickBot="1">
      <c r="B11" s="178" t="s">
        <v>200</v>
      </c>
      <c r="C11" s="575">
        <f>'Rate Class Energy Model'!H4</f>
        <v>3329496978</v>
      </c>
      <c r="D11" s="575">
        <f>'Rate Class Energy Model'!H5</f>
        <v>3483144427.000001</v>
      </c>
      <c r="E11" s="575">
        <f>'Rate Class Energy Model'!H6</f>
        <v>3723506554</v>
      </c>
      <c r="F11" s="575">
        <f>'Rate Class Energy Model'!H7</f>
        <v>3718723113.0000005</v>
      </c>
      <c r="G11" s="575">
        <f>'Rate Class Energy Model'!H8</f>
        <v>3839000000.0000005</v>
      </c>
      <c r="H11" s="575">
        <f>'Rate Class Energy Model'!H9</f>
        <v>3791763566</v>
      </c>
      <c r="I11" s="575">
        <f>'Rate Class Energy Model'!H10</f>
        <v>3611622564</v>
      </c>
      <c r="J11" s="576">
        <f>'Rate Class Energy Model'!H11</f>
        <v>3698071300.2417655</v>
      </c>
      <c r="K11" s="576">
        <f>'Rate Class Energy Model'!H12</f>
        <v>3772317241.4683456</v>
      </c>
    </row>
    <row r="12" spans="2:20" ht="13.5" thickBot="1">
      <c r="B12" s="5"/>
      <c r="C12" s="577"/>
      <c r="D12" s="577"/>
      <c r="E12" s="577"/>
      <c r="F12" s="577"/>
      <c r="G12" s="577"/>
      <c r="I12" s="122"/>
      <c r="J12" s="119"/>
      <c r="K12" s="119"/>
      <c r="R12" s="704" t="s">
        <v>215</v>
      </c>
      <c r="S12" s="705"/>
      <c r="T12" s="706"/>
    </row>
    <row r="13" spans="2:20" ht="15.75">
      <c r="B13" s="560" t="s">
        <v>201</v>
      </c>
      <c r="J13" s="119"/>
      <c r="K13" s="119"/>
      <c r="R13" s="578" t="s">
        <v>202</v>
      </c>
      <c r="S13" s="579" t="s">
        <v>203</v>
      </c>
      <c r="T13" s="580" t="s">
        <v>204</v>
      </c>
    </row>
    <row r="14" spans="2:20" ht="16.5" thickBot="1">
      <c r="B14" s="560"/>
      <c r="J14" s="119"/>
      <c r="K14" s="119"/>
      <c r="R14" s="36"/>
      <c r="S14" s="30"/>
      <c r="T14" s="43"/>
    </row>
    <row r="15" spans="2:20" ht="12.75">
      <c r="B15" s="581" t="s">
        <v>88</v>
      </c>
      <c r="C15" s="467"/>
      <c r="D15" s="467"/>
      <c r="E15" s="467"/>
      <c r="F15" s="467"/>
      <c r="G15" s="467"/>
      <c r="H15" s="467"/>
      <c r="I15" s="467"/>
      <c r="J15" s="582"/>
      <c r="K15" s="582"/>
      <c r="M15" s="582"/>
      <c r="N15" s="582"/>
      <c r="O15" s="582"/>
      <c r="P15" s="582"/>
      <c r="R15" s="583"/>
      <c r="S15" s="584"/>
      <c r="T15" s="585"/>
    </row>
    <row r="16" spans="2:20" ht="12.75">
      <c r="B16" s="30" t="s">
        <v>205</v>
      </c>
      <c r="C16" s="392">
        <f>'Rate Class Customer Model'!C7</f>
        <v>91671</v>
      </c>
      <c r="D16" s="392">
        <f>'Rate Class Customer Model'!C8</f>
        <v>98354.5</v>
      </c>
      <c r="E16" s="392">
        <f>'Rate Class Customer Model'!C9</f>
        <v>104821.5</v>
      </c>
      <c r="F16" s="392">
        <f>'Rate Class Customer Model'!C10</f>
        <v>109778.16666666667</v>
      </c>
      <c r="G16" s="392">
        <f>'Rate Class Customer Model'!C11</f>
        <v>114118.83333333333</v>
      </c>
      <c r="H16" s="392">
        <f>'Rate Class Customer Model'!C12</f>
        <v>119060</v>
      </c>
      <c r="I16" s="392">
        <f>'Rate Class Customer Model'!C13</f>
        <v>121040.83333333333</v>
      </c>
      <c r="J16" s="388">
        <f>'Rate Class Customer Model'!C14</f>
        <v>122376.57063286903</v>
      </c>
      <c r="K16" s="388">
        <f>'Rate Class Customer Model'!C15</f>
        <v>123659.97314975421</v>
      </c>
      <c r="M16" s="388"/>
      <c r="N16" s="388"/>
      <c r="O16" s="388"/>
      <c r="P16" s="388"/>
      <c r="Q16" s="586"/>
      <c r="R16" s="587"/>
      <c r="S16" s="588"/>
      <c r="T16" s="589"/>
    </row>
    <row r="17" spans="2:20" ht="5.25" customHeight="1">
      <c r="B17" s="30"/>
      <c r="C17" s="392"/>
      <c r="D17" s="392"/>
      <c r="E17" s="392"/>
      <c r="F17" s="392"/>
      <c r="G17" s="392"/>
      <c r="H17" s="392"/>
      <c r="I17" s="392"/>
      <c r="J17" s="388"/>
      <c r="K17" s="388"/>
      <c r="M17" s="388"/>
      <c r="N17" s="388"/>
      <c r="O17" s="388"/>
      <c r="P17" s="388"/>
      <c r="Q17" s="590"/>
      <c r="R17" s="587"/>
      <c r="S17" s="588"/>
      <c r="T17" s="589"/>
    </row>
    <row r="18" spans="2:20" ht="12.75">
      <c r="B18" s="30" t="s">
        <v>206</v>
      </c>
      <c r="C18" s="392">
        <f>kWh!D79</f>
        <v>918500653</v>
      </c>
      <c r="D18" s="392">
        <f>kWh!M79</f>
        <v>933248820.2898715</v>
      </c>
      <c r="E18" s="392">
        <f>kWh!V79</f>
        <v>1066310557</v>
      </c>
      <c r="F18" s="392">
        <f>kWh!AE79</f>
        <v>1041609066.9531491</v>
      </c>
      <c r="G18" s="392">
        <f>kWh!AN79</f>
        <v>1102238845.1530476</v>
      </c>
      <c r="H18" s="392">
        <f>kWh!AW79</f>
        <v>1093569511.9108763</v>
      </c>
      <c r="I18" s="392">
        <f>kWh!BF79</f>
        <v>1088557819</v>
      </c>
      <c r="J18" s="388">
        <f>'Rate Class Energy Model'!I42</f>
        <v>1099386750.7095263</v>
      </c>
      <c r="K18" s="388">
        <f>'Rate Class Energy Model'!I43</f>
        <v>1107769580.6095057</v>
      </c>
      <c r="M18" s="591">
        <v>0.0154</v>
      </c>
      <c r="N18" s="592">
        <f>J18*M18</f>
        <v>16930555.960926704</v>
      </c>
      <c r="O18" s="592">
        <f>K18*M18</f>
        <v>17059651.54138639</v>
      </c>
      <c r="P18" s="593">
        <f>(O18-N18)/N18</f>
        <v>0.0076250053901134865</v>
      </c>
      <c r="Q18" s="594"/>
      <c r="R18" s="595">
        <f>(J18-I18)/I18</f>
        <v>0.009947961900153601</v>
      </c>
      <c r="S18" s="596">
        <f>(K18-I18)/I18</f>
        <v>0.017648820553376278</v>
      </c>
      <c r="T18" s="597">
        <f>(K18-G18)/G18</f>
        <v>0.005017728671765457</v>
      </c>
    </row>
    <row r="19" spans="2:20" s="569" customFormat="1" ht="12.75" thickBot="1">
      <c r="B19" s="598" t="s">
        <v>207</v>
      </c>
      <c r="C19" s="599"/>
      <c r="D19" s="600">
        <f>(D18-C18)/C18</f>
        <v>0.01605678476297333</v>
      </c>
      <c r="E19" s="600">
        <f aca="true" t="shared" si="1" ref="E19:K19">(E18-D18)/D18</f>
        <v>0.14257905696446416</v>
      </c>
      <c r="F19" s="600">
        <f t="shared" si="1"/>
        <v>-0.023165380746437567</v>
      </c>
      <c r="G19" s="600">
        <f t="shared" si="1"/>
        <v>0.05820780571471885</v>
      </c>
      <c r="H19" s="600">
        <f t="shared" si="1"/>
        <v>-0.007865203880532388</v>
      </c>
      <c r="I19" s="600">
        <f t="shared" si="1"/>
        <v>-0.004582875488288775</v>
      </c>
      <c r="J19" s="601">
        <f t="shared" si="1"/>
        <v>0.009947961900153601</v>
      </c>
      <c r="K19" s="601">
        <f t="shared" si="1"/>
        <v>0.0076250053901133616</v>
      </c>
      <c r="M19" s="601"/>
      <c r="N19" s="601"/>
      <c r="O19" s="601"/>
      <c r="P19" s="601"/>
      <c r="R19" s="602"/>
      <c r="S19" s="601"/>
      <c r="T19" s="603"/>
    </row>
    <row r="20" spans="8:20" ht="13.5" thickBot="1">
      <c r="H20" s="604"/>
      <c r="I20" s="122"/>
      <c r="J20" s="605"/>
      <c r="K20" s="119"/>
      <c r="M20" s="605"/>
      <c r="N20" s="119"/>
      <c r="O20" s="119"/>
      <c r="P20" s="119"/>
      <c r="R20" s="606"/>
      <c r="S20" s="607"/>
      <c r="T20" s="608"/>
    </row>
    <row r="21" spans="2:20" ht="12.75">
      <c r="B21" s="581" t="s">
        <v>77</v>
      </c>
      <c r="C21" s="467"/>
      <c r="D21" s="467"/>
      <c r="E21" s="467"/>
      <c r="F21" s="467"/>
      <c r="G21" s="467"/>
      <c r="H21" s="467"/>
      <c r="I21" s="467"/>
      <c r="J21" s="582"/>
      <c r="K21" s="582"/>
      <c r="M21" s="582"/>
      <c r="N21" s="582"/>
      <c r="O21" s="582"/>
      <c r="P21" s="582"/>
      <c r="R21" s="583"/>
      <c r="S21" s="584"/>
      <c r="T21" s="585"/>
    </row>
    <row r="22" spans="2:20" ht="12.75">
      <c r="B22" s="30" t="s">
        <v>205</v>
      </c>
      <c r="C22" s="392">
        <f>'Rate Class Customer Model'!D7</f>
        <v>6511.75</v>
      </c>
      <c r="D22" s="392">
        <f>'Rate Class Customer Model'!D8</f>
        <v>6648.25</v>
      </c>
      <c r="E22" s="392">
        <f>'Rate Class Customer Model'!D9</f>
        <v>6891.666666666667</v>
      </c>
      <c r="F22" s="392">
        <f>'Rate Class Customer Model'!D10</f>
        <v>7075.333333333333</v>
      </c>
      <c r="G22" s="392">
        <f>'Rate Class Customer Model'!D11</f>
        <v>7294.333333333333</v>
      </c>
      <c r="H22" s="392">
        <f>'Rate Class Customer Model'!D12</f>
        <v>7436.75</v>
      </c>
      <c r="I22" s="392">
        <f>'Rate Class Customer Model'!D13</f>
        <v>7528.75</v>
      </c>
      <c r="J22" s="388">
        <f>'Rate Class Customer Model'!D14</f>
        <v>7727.996361147564</v>
      </c>
      <c r="K22" s="388">
        <f>'Rate Class Customer Model'!D15</f>
        <v>7892.95355666639</v>
      </c>
      <c r="M22" s="388"/>
      <c r="N22" s="388"/>
      <c r="O22" s="388"/>
      <c r="P22" s="388"/>
      <c r="R22" s="587"/>
      <c r="S22" s="588"/>
      <c r="T22" s="589"/>
    </row>
    <row r="23" spans="2:20" ht="5.25" customHeight="1">
      <c r="B23" s="30"/>
      <c r="C23" s="392"/>
      <c r="D23" s="392"/>
      <c r="E23" s="392"/>
      <c r="F23" s="392"/>
      <c r="G23" s="392"/>
      <c r="H23" s="392"/>
      <c r="I23" s="392"/>
      <c r="J23" s="388"/>
      <c r="K23" s="388"/>
      <c r="M23" s="388"/>
      <c r="N23" s="388"/>
      <c r="O23" s="388"/>
      <c r="P23" s="388"/>
      <c r="R23" s="587"/>
      <c r="S23" s="588"/>
      <c r="T23" s="589"/>
    </row>
    <row r="24" spans="2:20" ht="12.75">
      <c r="B24" s="30" t="s">
        <v>206</v>
      </c>
      <c r="C24" s="392">
        <f>kWh!F79</f>
        <v>261424109.25028968</v>
      </c>
      <c r="D24" s="392">
        <f>kWh!O79</f>
        <v>264116354.38468543</v>
      </c>
      <c r="E24" s="392">
        <f>kWh!X79</f>
        <v>288084105.89146394</v>
      </c>
      <c r="F24" s="392">
        <f>kWh!AG79</f>
        <v>282703765.9841937</v>
      </c>
      <c r="G24" s="392">
        <f>kWh!AP79</f>
        <v>298781693.0369566</v>
      </c>
      <c r="H24" s="392">
        <f>kWh!AY79</f>
        <v>288052193.27834255</v>
      </c>
      <c r="I24" s="392">
        <f>kWh!BH79</f>
        <v>278899780.4499807</v>
      </c>
      <c r="J24" s="388">
        <f>'Rate Class Energy Model'!J42</f>
        <v>285620803.02129936</v>
      </c>
      <c r="K24" s="388">
        <f>'Rate Class Energy Model'!J43</f>
        <v>290725436.40759933</v>
      </c>
      <c r="M24" s="591">
        <v>0.0178</v>
      </c>
      <c r="N24" s="592">
        <f>J24*M24</f>
        <v>5084050.293779128</v>
      </c>
      <c r="O24" s="592">
        <f>K24*M24</f>
        <v>5174912.768055268</v>
      </c>
      <c r="P24" s="593">
        <f>(O24-N24)/N24</f>
        <v>0.017872064402533396</v>
      </c>
      <c r="Q24" s="594"/>
      <c r="R24" s="595">
        <f>(J24-I24)/I24</f>
        <v>0.024098342997885824</v>
      </c>
      <c r="S24" s="596">
        <f>(K24-I24)/I24</f>
        <v>0.04240109453847178</v>
      </c>
      <c r="T24" s="597">
        <f>(K24-G24)/G24</f>
        <v>-0.026963688931104596</v>
      </c>
    </row>
    <row r="25" spans="2:20" s="569" customFormat="1" ht="12.75" thickBot="1">
      <c r="B25" s="598" t="s">
        <v>207</v>
      </c>
      <c r="C25" s="599"/>
      <c r="D25" s="600">
        <f>(D24-C24)/C24</f>
        <v>0.010298381209432255</v>
      </c>
      <c r="E25" s="600">
        <f aca="true" t="shared" si="2" ref="E25:K25">(E24-D24)/D24</f>
        <v>0.09074694205368851</v>
      </c>
      <c r="F25" s="600">
        <f t="shared" si="2"/>
        <v>-0.018676281673440542</v>
      </c>
      <c r="G25" s="600">
        <f t="shared" si="2"/>
        <v>0.05687199460109726</v>
      </c>
      <c r="H25" s="600">
        <f t="shared" si="2"/>
        <v>-0.035910833925447104</v>
      </c>
      <c r="I25" s="600">
        <f t="shared" si="2"/>
        <v>-0.03177345301279468</v>
      </c>
      <c r="J25" s="601">
        <f t="shared" si="2"/>
        <v>0.024098342997885824</v>
      </c>
      <c r="K25" s="601">
        <f t="shared" si="2"/>
        <v>0.0178720644025334</v>
      </c>
      <c r="M25" s="601"/>
      <c r="N25" s="601"/>
      <c r="O25" s="601"/>
      <c r="P25" s="601"/>
      <c r="R25" s="602"/>
      <c r="S25" s="601"/>
      <c r="T25" s="603"/>
    </row>
    <row r="26" spans="8:20" ht="13.5" thickBot="1">
      <c r="H26" s="604"/>
      <c r="I26" s="122"/>
      <c r="J26" s="605"/>
      <c r="K26" s="119"/>
      <c r="M26" s="605"/>
      <c r="N26" s="119"/>
      <c r="O26" s="119"/>
      <c r="P26" s="119"/>
      <c r="R26" s="606"/>
      <c r="S26" s="607"/>
      <c r="T26" s="608"/>
    </row>
    <row r="27" spans="2:20" ht="12.75">
      <c r="B27" s="581" t="s">
        <v>76</v>
      </c>
      <c r="C27" s="467"/>
      <c r="D27" s="467"/>
      <c r="E27" s="467"/>
      <c r="F27" s="467"/>
      <c r="G27" s="467"/>
      <c r="H27" s="467"/>
      <c r="I27" s="467"/>
      <c r="J27" s="582"/>
      <c r="K27" s="582"/>
      <c r="M27" s="582"/>
      <c r="N27" s="582"/>
      <c r="O27" s="582"/>
      <c r="P27" s="582"/>
      <c r="R27" s="583"/>
      <c r="S27" s="584"/>
      <c r="T27" s="585"/>
    </row>
    <row r="28" spans="2:20" ht="12.75">
      <c r="B28" s="30" t="s">
        <v>208</v>
      </c>
      <c r="C28" s="392">
        <f>'Rate Class Customer Model'!E7</f>
        <v>1105</v>
      </c>
      <c r="D28" s="392">
        <f>'Rate Class Customer Model'!E8</f>
        <v>1130</v>
      </c>
      <c r="E28" s="392">
        <f>'Rate Class Customer Model'!E9</f>
        <v>1159</v>
      </c>
      <c r="F28" s="392">
        <f>'Rate Class Customer Model'!E10</f>
        <v>1207</v>
      </c>
      <c r="G28" s="392">
        <f>'Rate Class Customer Model'!E11</f>
        <v>1250</v>
      </c>
      <c r="H28" s="392">
        <f>'Rate Class Customer Model'!E12</f>
        <v>1267</v>
      </c>
      <c r="I28" s="392">
        <f>'Rate Class Customer Model'!E13</f>
        <v>1280</v>
      </c>
      <c r="J28" s="388">
        <f>'Rate Class Customer Model'!E14</f>
        <v>1287.1362723368832</v>
      </c>
      <c r="K28" s="388">
        <f>'Rate Class Customer Model'!E15</f>
        <v>1300.4051714878062</v>
      </c>
      <c r="M28" s="388"/>
      <c r="N28" s="388"/>
      <c r="O28" s="388"/>
      <c r="P28" s="388"/>
      <c r="R28" s="587"/>
      <c r="S28" s="588"/>
      <c r="T28" s="589"/>
    </row>
    <row r="29" spans="2:20" ht="5.25" customHeight="1">
      <c r="B29" s="30"/>
      <c r="C29" s="392"/>
      <c r="D29" s="392"/>
      <c r="E29" s="392"/>
      <c r="F29" s="392"/>
      <c r="G29" s="392"/>
      <c r="H29" s="392"/>
      <c r="I29" s="392"/>
      <c r="J29" s="388"/>
      <c r="K29" s="388"/>
      <c r="M29" s="388"/>
      <c r="N29" s="388"/>
      <c r="O29" s="388"/>
      <c r="P29" s="388"/>
      <c r="R29" s="587"/>
      <c r="S29" s="588"/>
      <c r="T29" s="589"/>
    </row>
    <row r="30" spans="2:20" ht="12.75">
      <c r="B30" s="30" t="s">
        <v>206</v>
      </c>
      <c r="C30" s="392">
        <f>kWh!E79</f>
        <v>7522731.749710311</v>
      </c>
      <c r="D30" s="392">
        <f>kWh!N79</f>
        <v>5817641.87455742</v>
      </c>
      <c r="E30" s="392">
        <f>kWh!W79</f>
        <v>5528171.108536116</v>
      </c>
      <c r="F30" s="392">
        <f>kWh!AF79</f>
        <v>5294846.640991666</v>
      </c>
      <c r="G30" s="392">
        <f>kWh!AO79</f>
        <v>5047284.347783278</v>
      </c>
      <c r="H30" s="392">
        <f>kWh!AX79</f>
        <v>5109078.339598986</v>
      </c>
      <c r="I30" s="392">
        <f>kWh!BG79</f>
        <v>5104984.550019313</v>
      </c>
      <c r="J30" s="388">
        <f>'Rate Class Energy Model'!K42</f>
        <v>5013040.354278895</v>
      </c>
      <c r="K30" s="388">
        <f>'Rate Class Energy Model'!K43</f>
        <v>4899875.861946859</v>
      </c>
      <c r="M30" s="591">
        <v>0.0178</v>
      </c>
      <c r="N30" s="592">
        <f>J30*M30</f>
        <v>89232.11830616434</v>
      </c>
      <c r="O30" s="592">
        <f>K30*M30</f>
        <v>87217.7903426541</v>
      </c>
      <c r="P30" s="593">
        <f>(O30-N30)/N30</f>
        <v>-0.022574023812803323</v>
      </c>
      <c r="Q30" s="594"/>
      <c r="R30" s="595">
        <f>(J30-I30)/I30</f>
        <v>-0.01801067071595148</v>
      </c>
      <c r="S30" s="596">
        <f>(K30-I30)/I30</f>
        <v>-0.04017812121912833</v>
      </c>
      <c r="T30" s="597">
        <f>(K30-G30)/G30</f>
        <v>-0.02920550452069514</v>
      </c>
    </row>
    <row r="31" spans="2:20" s="569" customFormat="1" ht="12.75" thickBot="1">
      <c r="B31" s="598" t="s">
        <v>207</v>
      </c>
      <c r="C31" s="599"/>
      <c r="D31" s="600">
        <f>(D30-C30)/C30</f>
        <v>-0.22665833793934656</v>
      </c>
      <c r="E31" s="600">
        <f aca="true" t="shared" si="3" ref="E31:K31">(E30-D30)/D30</f>
        <v>-0.04975740553698581</v>
      </c>
      <c r="F31" s="600">
        <f t="shared" si="3"/>
        <v>-0.042206448202041065</v>
      </c>
      <c r="G31" s="600">
        <f t="shared" si="3"/>
        <v>-0.04675532833978793</v>
      </c>
      <c r="H31" s="600">
        <f t="shared" si="3"/>
        <v>0.012243017741381649</v>
      </c>
      <c r="I31" s="600">
        <f t="shared" si="3"/>
        <v>-0.000801277511825155</v>
      </c>
      <c r="J31" s="601">
        <f t="shared" si="3"/>
        <v>-0.01801067071595148</v>
      </c>
      <c r="K31" s="601">
        <f t="shared" si="3"/>
        <v>-0.022574023812803302</v>
      </c>
      <c r="M31" s="601"/>
      <c r="N31" s="601"/>
      <c r="O31" s="601"/>
      <c r="P31" s="601"/>
      <c r="R31" s="602"/>
      <c r="S31" s="601"/>
      <c r="T31" s="603"/>
    </row>
    <row r="32" spans="8:20" ht="13.5" thickBot="1">
      <c r="H32" s="604"/>
      <c r="I32" s="122"/>
      <c r="J32" s="605"/>
      <c r="K32" s="119"/>
      <c r="M32" s="605"/>
      <c r="N32" s="119"/>
      <c r="O32" s="119"/>
      <c r="P32" s="119"/>
      <c r="R32" s="606"/>
      <c r="S32" s="607"/>
      <c r="T32" s="608"/>
    </row>
    <row r="33" spans="2:20" ht="12.75">
      <c r="B33" s="581" t="s">
        <v>89</v>
      </c>
      <c r="C33" s="467"/>
      <c r="D33" s="467"/>
      <c r="E33" s="467"/>
      <c r="F33" s="467"/>
      <c r="G33" s="467"/>
      <c r="H33" s="467"/>
      <c r="I33" s="467"/>
      <c r="J33" s="385"/>
      <c r="K33" s="582"/>
      <c r="M33" s="385"/>
      <c r="N33" s="582"/>
      <c r="O33" s="582"/>
      <c r="P33" s="582"/>
      <c r="R33" s="609"/>
      <c r="S33" s="584"/>
      <c r="T33" s="585"/>
    </row>
    <row r="34" spans="2:20" ht="12.75">
      <c r="B34" s="30" t="s">
        <v>205</v>
      </c>
      <c r="C34" s="392">
        <f>'Rate Class Customer Model'!F7</f>
        <v>1357.4166666666667</v>
      </c>
      <c r="D34" s="392">
        <f>'Rate Class Customer Model'!F8</f>
        <v>1393.3333333333333</v>
      </c>
      <c r="E34" s="392">
        <f>'Rate Class Customer Model'!F9</f>
        <v>1363.75</v>
      </c>
      <c r="F34" s="392">
        <f>'Rate Class Customer Model'!F10</f>
        <v>1402.0833333333333</v>
      </c>
      <c r="G34" s="392">
        <f>'Rate Class Customer Model'!F11</f>
        <v>1416.8333333333333</v>
      </c>
      <c r="H34" s="392">
        <f>'Rate Class Customer Model'!F12</f>
        <v>1491.1666666666667</v>
      </c>
      <c r="I34" s="392">
        <f>'Rate Class Customer Model'!F13</f>
        <v>1553.6666666666667</v>
      </c>
      <c r="J34" s="388">
        <f>'Rate Class Customer Model'!F14</f>
        <v>1543.6910838752199</v>
      </c>
      <c r="K34" s="388">
        <f>'Rate Class Customer Model'!F15</f>
        <v>1552.2130766767457</v>
      </c>
      <c r="M34" s="388"/>
      <c r="N34" s="388"/>
      <c r="O34" s="388"/>
      <c r="P34" s="388"/>
      <c r="R34" s="587"/>
      <c r="S34" s="588"/>
      <c r="T34" s="589"/>
    </row>
    <row r="35" spans="2:20" ht="12.75">
      <c r="B35" s="30"/>
      <c r="C35" s="392"/>
      <c r="D35" s="392"/>
      <c r="E35" s="392"/>
      <c r="F35" s="392"/>
      <c r="G35" s="392"/>
      <c r="H35" s="392"/>
      <c r="I35" s="392"/>
      <c r="J35" s="388"/>
      <c r="K35" s="388"/>
      <c r="M35" s="388"/>
      <c r="N35" s="388"/>
      <c r="O35" s="388"/>
      <c r="P35" s="388"/>
      <c r="R35" s="587"/>
      <c r="S35" s="588"/>
      <c r="T35" s="589"/>
    </row>
    <row r="36" spans="2:20" ht="12.75">
      <c r="B36" s="30" t="s">
        <v>206</v>
      </c>
      <c r="C36" s="392">
        <f>kWh!G79</f>
        <v>996032849</v>
      </c>
      <c r="D36" s="392">
        <f>kWh!P79</f>
        <v>1045707603.4846358</v>
      </c>
      <c r="E36" s="392">
        <f>kWh!Y79</f>
        <v>1083191856</v>
      </c>
      <c r="F36" s="392">
        <f>kWh!AH79</f>
        <v>1080817873.5867229</v>
      </c>
      <c r="G36" s="392">
        <f>kWh!AQ79</f>
        <v>1109791373.6344707</v>
      </c>
      <c r="H36" s="392">
        <f>kWh!AZ79</f>
        <v>1116951693.2864387</v>
      </c>
      <c r="I36" s="392">
        <f>kWh!BI79</f>
        <v>1081007720</v>
      </c>
      <c r="J36" s="388">
        <f>'Rate Class Energy Model'!L42</f>
        <v>1097553563.9581668</v>
      </c>
      <c r="K36" s="388">
        <f>'Rate Class Energy Model'!L43</f>
        <v>1123789074.0502443</v>
      </c>
      <c r="M36" s="388"/>
      <c r="N36" s="388"/>
      <c r="O36" s="388"/>
      <c r="P36" s="388"/>
      <c r="Q36" s="594"/>
      <c r="R36" s="595">
        <f>(J36-I36)/I36</f>
        <v>0.015305944307379079</v>
      </c>
      <c r="S36" s="596">
        <f>(K36-I36)/I36</f>
        <v>0.03957543804612638</v>
      </c>
      <c r="T36" s="597">
        <f>(K36-G36)/G36</f>
        <v>0.012612911533031991</v>
      </c>
    </row>
    <row r="37" spans="2:20" s="569" customFormat="1" ht="12">
      <c r="B37" s="610" t="s">
        <v>207</v>
      </c>
      <c r="C37" s="611"/>
      <c r="D37" s="612">
        <f>(D36-C36)/C36</f>
        <v>0.04987260664596397</v>
      </c>
      <c r="E37" s="612">
        <f aca="true" t="shared" si="4" ref="E37:K37">(E36-D36)/D36</f>
        <v>0.035845825726478917</v>
      </c>
      <c r="F37" s="612">
        <f t="shared" si="4"/>
        <v>-0.0021916545994388912</v>
      </c>
      <c r="G37" s="612">
        <f t="shared" si="4"/>
        <v>0.0268070141656693</v>
      </c>
      <c r="H37" s="612">
        <f t="shared" si="4"/>
        <v>0.0064519510802454475</v>
      </c>
      <c r="I37" s="612">
        <f t="shared" si="4"/>
        <v>-0.03218041881532023</v>
      </c>
      <c r="J37" s="613">
        <f t="shared" si="4"/>
        <v>0.015305944307379079</v>
      </c>
      <c r="K37" s="613">
        <f t="shared" si="4"/>
        <v>0.02390362616787736</v>
      </c>
      <c r="M37" s="613"/>
      <c r="N37" s="613"/>
      <c r="O37" s="613"/>
      <c r="P37" s="613"/>
      <c r="R37" s="614"/>
      <c r="S37" s="613"/>
      <c r="T37" s="615"/>
    </row>
    <row r="38" spans="2:20" ht="12.75">
      <c r="B38" s="30"/>
      <c r="C38" s="392"/>
      <c r="D38" s="616"/>
      <c r="E38" s="616"/>
      <c r="F38" s="616"/>
      <c r="G38" s="616"/>
      <c r="H38" s="616"/>
      <c r="I38" s="616"/>
      <c r="J38" s="588"/>
      <c r="K38" s="588"/>
      <c r="M38" s="588"/>
      <c r="N38" s="588"/>
      <c r="O38" s="588"/>
      <c r="P38" s="588"/>
      <c r="R38" s="587"/>
      <c r="S38" s="588"/>
      <c r="T38" s="589"/>
    </row>
    <row r="39" spans="2:20" ht="12.75">
      <c r="B39" s="30" t="s">
        <v>209</v>
      </c>
      <c r="C39" s="392">
        <f>KW!C16</f>
        <v>2726683</v>
      </c>
      <c r="D39" s="392">
        <f>KW!I16</f>
        <v>2792673</v>
      </c>
      <c r="E39" s="392">
        <f>KW!O16</f>
        <v>2901457</v>
      </c>
      <c r="F39" s="392">
        <f>KW!U16</f>
        <v>2962866</v>
      </c>
      <c r="G39" s="392">
        <f>KW!AA16</f>
        <v>3039974</v>
      </c>
      <c r="H39" s="392">
        <f>KW!AG16</f>
        <v>3064109</v>
      </c>
      <c r="I39" s="392">
        <f>KW!AM16</f>
        <v>3049119</v>
      </c>
      <c r="J39" s="388">
        <f>'Rate Class Load Model'!B10</f>
        <v>3008017.2379130363</v>
      </c>
      <c r="K39" s="388">
        <f>'Rate Class Load Model'!B11</f>
        <v>3079919.7574746404</v>
      </c>
      <c r="M39" s="591">
        <f>2.2935-0.017</f>
        <v>2.2765</v>
      </c>
      <c r="N39" s="592">
        <f>J39*M39</f>
        <v>6847751.242109027</v>
      </c>
      <c r="O39" s="592">
        <f>K39*M39</f>
        <v>7011437.327891019</v>
      </c>
      <c r="P39" s="593">
        <f>(O39-N39)/N39</f>
        <v>0.023903626167877418</v>
      </c>
      <c r="Q39" s="594"/>
      <c r="R39" s="595">
        <f>(J39-I39)/I39</f>
        <v>-0.013479881266347344</v>
      </c>
      <c r="S39" s="596">
        <f>(K39-I39)/I39</f>
        <v>0.010101526858951843</v>
      </c>
      <c r="T39" s="597">
        <f>(K39-G39)/G39</f>
        <v>0.013140164183851699</v>
      </c>
    </row>
    <row r="40" spans="2:20" s="569" customFormat="1" ht="12.75" thickBot="1">
      <c r="B40" s="598" t="s">
        <v>210</v>
      </c>
      <c r="C40" s="599"/>
      <c r="D40" s="600">
        <f>(D39-C39)/C39</f>
        <v>0.024201566518733567</v>
      </c>
      <c r="E40" s="600">
        <f aca="true" t="shared" si="5" ref="E40:K40">(E39-D39)/D39</f>
        <v>0.03895336117046285</v>
      </c>
      <c r="F40" s="600">
        <f t="shared" si="5"/>
        <v>0.021164883711873035</v>
      </c>
      <c r="G40" s="600">
        <f t="shared" si="5"/>
        <v>0.026024801661634376</v>
      </c>
      <c r="H40" s="600">
        <f t="shared" si="5"/>
        <v>0.007939212638002825</v>
      </c>
      <c r="I40" s="600">
        <f t="shared" si="5"/>
        <v>-0.004892123615706882</v>
      </c>
      <c r="J40" s="601">
        <f t="shared" si="5"/>
        <v>-0.013479881266347344</v>
      </c>
      <c r="K40" s="601">
        <f t="shared" si="5"/>
        <v>0.023903626167877327</v>
      </c>
      <c r="M40" s="601"/>
      <c r="N40" s="601"/>
      <c r="O40" s="601"/>
      <c r="P40" s="601"/>
      <c r="R40" s="602"/>
      <c r="S40" s="601"/>
      <c r="T40" s="603"/>
    </row>
    <row r="41" spans="8:20" ht="13.5" thickBot="1">
      <c r="H41" s="604"/>
      <c r="I41" s="122"/>
      <c r="J41" s="605"/>
      <c r="K41" s="119"/>
      <c r="M41" s="605"/>
      <c r="N41" s="119"/>
      <c r="O41" s="119"/>
      <c r="P41" s="119"/>
      <c r="R41" s="606"/>
      <c r="S41" s="607"/>
      <c r="T41" s="608"/>
    </row>
    <row r="42" spans="2:20" ht="12.75">
      <c r="B42" s="581" t="s">
        <v>79</v>
      </c>
      <c r="C42" s="467"/>
      <c r="D42" s="467"/>
      <c r="E42" s="467"/>
      <c r="F42" s="467"/>
      <c r="G42" s="467"/>
      <c r="H42" s="617"/>
      <c r="I42" s="618"/>
      <c r="J42" s="501"/>
      <c r="K42" s="582"/>
      <c r="M42" s="501"/>
      <c r="N42" s="582"/>
      <c r="O42" s="582"/>
      <c r="P42" s="582"/>
      <c r="R42" s="619"/>
      <c r="S42" s="584"/>
      <c r="T42" s="585"/>
    </row>
    <row r="43" spans="2:20" ht="12.75">
      <c r="B43" s="30" t="s">
        <v>205</v>
      </c>
      <c r="C43" s="392">
        <f>'Rate Class Customer Model'!G7</f>
        <v>125.91666666666667</v>
      </c>
      <c r="D43" s="392">
        <f>'Rate Class Customer Model'!G8</f>
        <v>124.33333333333333</v>
      </c>
      <c r="E43" s="392">
        <f>'Rate Class Customer Model'!G9</f>
        <v>120.5</v>
      </c>
      <c r="F43" s="392">
        <f>'Rate Class Customer Model'!G10</f>
        <v>118.66666666666667</v>
      </c>
      <c r="G43" s="392">
        <f>'Rate Class Customer Model'!G11</f>
        <v>116.83333333333333</v>
      </c>
      <c r="H43" s="392">
        <f>'Rate Class Customer Model'!G12</f>
        <v>115.66666666666667</v>
      </c>
      <c r="I43" s="392">
        <f>'Rate Class Customer Model'!G13</f>
        <v>113.91666666666667</v>
      </c>
      <c r="J43" s="388">
        <f>'Rate Class Customer Model'!G14</f>
        <v>110.29141195348073</v>
      </c>
      <c r="K43" s="388">
        <f>'Rate Class Customer Model'!G15</f>
        <v>105.9532852783358</v>
      </c>
      <c r="M43" s="388"/>
      <c r="N43" s="388"/>
      <c r="O43" s="388"/>
      <c r="P43" s="388"/>
      <c r="R43" s="587"/>
      <c r="S43" s="588"/>
      <c r="T43" s="589"/>
    </row>
    <row r="44" spans="2:20" ht="12.75">
      <c r="B44" s="30"/>
      <c r="C44" s="392"/>
      <c r="D44" s="392"/>
      <c r="E44" s="392"/>
      <c r="F44" s="392"/>
      <c r="G44" s="392"/>
      <c r="H44" s="392"/>
      <c r="I44" s="392"/>
      <c r="J44" s="388"/>
      <c r="K44" s="388"/>
      <c r="M44" s="388"/>
      <c r="N44" s="388"/>
      <c r="O44" s="388"/>
      <c r="P44" s="388"/>
      <c r="R44" s="587"/>
      <c r="S44" s="588"/>
      <c r="T44" s="589"/>
    </row>
    <row r="45" spans="2:20" ht="12.75">
      <c r="B45" s="30" t="s">
        <v>206</v>
      </c>
      <c r="C45" s="392">
        <f>kWh!H79</f>
        <v>845121401</v>
      </c>
      <c r="D45" s="392">
        <f>kWh!Q79</f>
        <v>922964133.891856</v>
      </c>
      <c r="E45" s="392">
        <f>kWh!Z79</f>
        <v>954061083</v>
      </c>
      <c r="F45" s="392">
        <f>kWh!AI79</f>
        <v>950418593.1900728</v>
      </c>
      <c r="G45" s="392">
        <f>kWh!AR79</f>
        <v>942048351.1472753</v>
      </c>
      <c r="H45" s="392">
        <f>kWh!BA79</f>
        <v>872587042.1161599</v>
      </c>
      <c r="I45" s="392">
        <f>kWh!BJ79</f>
        <v>788185444</v>
      </c>
      <c r="J45" s="388">
        <f>'Rate Class Energy Model'!M42</f>
        <v>816592993.5144728</v>
      </c>
      <c r="K45" s="388">
        <f>'Rate Class Energy Model'!M43</f>
        <v>832077627.8246802</v>
      </c>
      <c r="M45" s="388"/>
      <c r="N45" s="388"/>
      <c r="O45" s="388"/>
      <c r="P45" s="388"/>
      <c r="Q45" s="594"/>
      <c r="R45" s="595">
        <f>(J45-I45)/I45</f>
        <v>0.03604170786294404</v>
      </c>
      <c r="S45" s="596">
        <f>(K45-I45)/I45</f>
        <v>0.05568763564311676</v>
      </c>
      <c r="T45" s="597">
        <f>(K45-G45)/G45</f>
        <v>-0.11673575266987843</v>
      </c>
    </row>
    <row r="46" spans="2:20" s="569" customFormat="1" ht="12">
      <c r="B46" s="610" t="s">
        <v>207</v>
      </c>
      <c r="C46" s="611"/>
      <c r="D46" s="612">
        <f>(D45-C45)/C45</f>
        <v>0.09210834419735155</v>
      </c>
      <c r="E46" s="612">
        <f aca="true" t="shared" si="6" ref="E46:K46">(E45-D45)/D45</f>
        <v>0.03369247835993125</v>
      </c>
      <c r="F46" s="612">
        <f t="shared" si="6"/>
        <v>-0.00381787903817813</v>
      </c>
      <c r="G46" s="612">
        <f t="shared" si="6"/>
        <v>-0.008806900562312016</v>
      </c>
      <c r="H46" s="612">
        <f t="shared" si="6"/>
        <v>-0.07373433534119754</v>
      </c>
      <c r="I46" s="612">
        <f t="shared" si="6"/>
        <v>-0.09672570648249927</v>
      </c>
      <c r="J46" s="613">
        <f t="shared" si="6"/>
        <v>0.03604170786294404</v>
      </c>
      <c r="K46" s="613">
        <f t="shared" si="6"/>
        <v>0.01896248735072318</v>
      </c>
      <c r="M46" s="613"/>
      <c r="N46" s="613"/>
      <c r="O46" s="613"/>
      <c r="P46" s="613"/>
      <c r="R46" s="614"/>
      <c r="S46" s="613"/>
      <c r="T46" s="615"/>
    </row>
    <row r="47" spans="2:20" ht="12.75">
      <c r="B47" s="30"/>
      <c r="C47" s="392"/>
      <c r="D47" s="392"/>
      <c r="E47" s="392"/>
      <c r="F47" s="392"/>
      <c r="G47" s="392"/>
      <c r="H47" s="392"/>
      <c r="I47" s="392"/>
      <c r="J47" s="388"/>
      <c r="K47" s="388"/>
      <c r="M47" s="388"/>
      <c r="N47" s="388"/>
      <c r="O47" s="388"/>
      <c r="P47" s="388"/>
      <c r="R47" s="587"/>
      <c r="S47" s="588"/>
      <c r="T47" s="589"/>
    </row>
    <row r="48" spans="2:20" ht="12.75">
      <c r="B48" s="172" t="s">
        <v>211</v>
      </c>
      <c r="C48" s="392">
        <f>KW!D16</f>
        <v>1956285</v>
      </c>
      <c r="D48" s="392">
        <f>KW!J16</f>
        <v>2104962</v>
      </c>
      <c r="E48" s="392">
        <f>KW!P16</f>
        <v>2167872</v>
      </c>
      <c r="F48" s="392">
        <f>KW!V16</f>
        <v>2137488</v>
      </c>
      <c r="G48" s="392">
        <f>KW!AB16</f>
        <v>2106615</v>
      </c>
      <c r="H48" s="392">
        <f>KW!AH16</f>
        <v>1976551</v>
      </c>
      <c r="I48" s="392">
        <f>KW!AN16</f>
        <v>1839970</v>
      </c>
      <c r="J48" s="388">
        <f>'Rate Class Load Model'!C10</f>
        <v>1844198.136368158</v>
      </c>
      <c r="K48" s="388">
        <f>'Rate Class Load Model'!C11</f>
        <v>1879168.7202012665</v>
      </c>
      <c r="M48" s="591">
        <f>3.7355-0.0124</f>
        <v>3.7231</v>
      </c>
      <c r="N48" s="592">
        <f>J48*M48</f>
        <v>6866134.081512289</v>
      </c>
      <c r="O48" s="592">
        <f>K48*M48</f>
        <v>6996333.062181335</v>
      </c>
      <c r="P48" s="593">
        <f>(O48-N48)/N48</f>
        <v>0.018962487350723138</v>
      </c>
      <c r="Q48" s="594"/>
      <c r="R48" s="595">
        <f>(J48-I48)/I48</f>
        <v>0.002297937666460888</v>
      </c>
      <c r="S48" s="596">
        <f>(K48-I48)/I48</f>
        <v>0.021303999631117065</v>
      </c>
      <c r="T48" s="597">
        <f>(K48-G48)/G48</f>
        <v>-0.10796765417446165</v>
      </c>
    </row>
    <row r="49" spans="2:20" s="569" customFormat="1" ht="12.75" thickBot="1">
      <c r="B49" s="598" t="s">
        <v>210</v>
      </c>
      <c r="C49" s="599"/>
      <c r="D49" s="600">
        <f>(D48-C48)/C48</f>
        <v>0.0759996626258444</v>
      </c>
      <c r="E49" s="600">
        <f aca="true" t="shared" si="7" ref="E49:K49">(E48-D48)/D48</f>
        <v>0.02988652526743951</v>
      </c>
      <c r="F49" s="600">
        <f t="shared" si="7"/>
        <v>-0.0140155876361704</v>
      </c>
      <c r="G49" s="600">
        <f t="shared" si="7"/>
        <v>-0.014443589858750085</v>
      </c>
      <c r="H49" s="600">
        <f t="shared" si="7"/>
        <v>-0.06174075471787678</v>
      </c>
      <c r="I49" s="600">
        <f t="shared" si="7"/>
        <v>-0.06910067081497012</v>
      </c>
      <c r="J49" s="601">
        <f t="shared" si="7"/>
        <v>0.002297937666460888</v>
      </c>
      <c r="K49" s="601">
        <f t="shared" si="7"/>
        <v>0.01896248735072316</v>
      </c>
      <c r="M49" s="601"/>
      <c r="N49" s="601"/>
      <c r="O49" s="601"/>
      <c r="P49" s="601"/>
      <c r="R49" s="602"/>
      <c r="S49" s="601"/>
      <c r="T49" s="603"/>
    </row>
    <row r="50" spans="8:20" ht="13.5" thickBot="1">
      <c r="H50" s="604"/>
      <c r="I50" s="122"/>
      <c r="J50" s="605"/>
      <c r="K50" s="119"/>
      <c r="M50" s="605"/>
      <c r="N50" s="119"/>
      <c r="O50" s="119"/>
      <c r="P50" s="119"/>
      <c r="R50" s="606"/>
      <c r="S50" s="607"/>
      <c r="T50" s="608"/>
    </row>
    <row r="51" spans="2:20" ht="12.75">
      <c r="B51" s="581" t="s">
        <v>92</v>
      </c>
      <c r="C51" s="467"/>
      <c r="D51" s="467"/>
      <c r="E51" s="467"/>
      <c r="F51" s="467"/>
      <c r="G51" s="467"/>
      <c r="H51" s="617"/>
      <c r="I51" s="618"/>
      <c r="J51" s="501"/>
      <c r="K51" s="582"/>
      <c r="M51" s="501"/>
      <c r="N51" s="582"/>
      <c r="O51" s="582"/>
      <c r="P51" s="582"/>
      <c r="R51" s="619"/>
      <c r="S51" s="584"/>
      <c r="T51" s="585"/>
    </row>
    <row r="52" spans="2:20" ht="12.75">
      <c r="B52" s="30" t="s">
        <v>205</v>
      </c>
      <c r="C52" s="392">
        <f>'Rate Class Customer Model'!H7</f>
        <v>4</v>
      </c>
      <c r="D52" s="392">
        <f>'Rate Class Customer Model'!H8</f>
        <v>3.0833333333333335</v>
      </c>
      <c r="E52" s="392">
        <f>'Rate Class Customer Model'!H9</f>
        <v>3</v>
      </c>
      <c r="F52" s="392">
        <f>'Rate Class Customer Model'!H10</f>
        <v>3.9166666666666665</v>
      </c>
      <c r="G52" s="392">
        <f>'Rate Class Customer Model'!H11</f>
        <v>4.916666666666667</v>
      </c>
      <c r="H52" s="392">
        <f>'Rate Class Customer Model'!H12</f>
        <v>6</v>
      </c>
      <c r="I52" s="392">
        <f>'Rate Class Customer Model'!H13</f>
        <v>6</v>
      </c>
      <c r="J52" s="388">
        <f>'Rate Class Customer Model'!H14</f>
        <v>6</v>
      </c>
      <c r="K52" s="388">
        <f>'Rate Class Customer Model'!H15</f>
        <v>6</v>
      </c>
      <c r="M52" s="388"/>
      <c r="N52" s="388"/>
      <c r="O52" s="388"/>
      <c r="P52" s="388"/>
      <c r="R52" s="587"/>
      <c r="S52" s="588"/>
      <c r="T52" s="589"/>
    </row>
    <row r="53" spans="2:20" ht="12.75">
      <c r="B53" s="30"/>
      <c r="C53" s="392"/>
      <c r="D53" s="392"/>
      <c r="E53" s="392"/>
      <c r="F53" s="392"/>
      <c r="G53" s="392"/>
      <c r="H53" s="392"/>
      <c r="I53" s="392"/>
      <c r="J53" s="388"/>
      <c r="K53" s="388"/>
      <c r="M53" s="388"/>
      <c r="N53" s="388"/>
      <c r="O53" s="388"/>
      <c r="P53" s="388"/>
      <c r="R53" s="587"/>
      <c r="S53" s="588"/>
      <c r="T53" s="589"/>
    </row>
    <row r="54" spans="2:20" ht="12.75">
      <c r="B54" s="30" t="s">
        <v>206</v>
      </c>
      <c r="C54" s="392">
        <f>kWh!I79</f>
        <v>281784328</v>
      </c>
      <c r="D54" s="392">
        <f>kWh!R79</f>
        <v>290325101.76705635</v>
      </c>
      <c r="E54" s="392">
        <f>kWh!AA79</f>
        <v>304422360</v>
      </c>
      <c r="F54" s="392">
        <f>kWh!AJ79</f>
        <v>334087721.73003125</v>
      </c>
      <c r="G54" s="392">
        <f>kWh!AS79</f>
        <v>355306259.56106627</v>
      </c>
      <c r="H54" s="392">
        <f>kWh!BB79</f>
        <v>388700963.20286673</v>
      </c>
      <c r="I54" s="392">
        <f>kWh!BK79</f>
        <v>342523390</v>
      </c>
      <c r="J54" s="388">
        <f>'Rate Class Energy Model'!N42</f>
        <v>365387028.7308235</v>
      </c>
      <c r="K54" s="388">
        <f>'Rate Class Energy Model'!N43</f>
        <v>383275616.1508369</v>
      </c>
      <c r="M54" s="388"/>
      <c r="N54" s="388"/>
      <c r="O54" s="388"/>
      <c r="P54" s="388"/>
      <c r="Q54" s="594"/>
      <c r="R54" s="595">
        <f>(J54-I54)/I54</f>
        <v>0.06675059104963173</v>
      </c>
      <c r="S54" s="596">
        <f>(K54-I54)/I54</f>
        <v>0.1189764767621764</v>
      </c>
      <c r="T54" s="597">
        <f>(K54-G54)/G54</f>
        <v>0.07871900884696781</v>
      </c>
    </row>
    <row r="55" spans="2:20" s="569" customFormat="1" ht="12">
      <c r="B55" s="610" t="s">
        <v>207</v>
      </c>
      <c r="C55" s="611"/>
      <c r="D55" s="612">
        <f>(D54-C54)/C54</f>
        <v>0.03030961241767976</v>
      </c>
      <c r="E55" s="612">
        <f aca="true" t="shared" si="8" ref="E55:K55">(E54-D54)/D54</f>
        <v>0.04855680114168927</v>
      </c>
      <c r="F55" s="612">
        <f t="shared" si="8"/>
        <v>0.09744803808114244</v>
      </c>
      <c r="G55" s="612">
        <f t="shared" si="8"/>
        <v>0.0635118756270284</v>
      </c>
      <c r="H55" s="612">
        <f t="shared" si="8"/>
        <v>0.09398850356043596</v>
      </c>
      <c r="I55" s="612">
        <f t="shared" si="8"/>
        <v>-0.11879973957966813</v>
      </c>
      <c r="J55" s="613">
        <f t="shared" si="8"/>
        <v>0.06675059104963173</v>
      </c>
      <c r="K55" s="613">
        <f t="shared" si="8"/>
        <v>0.04895791589030843</v>
      </c>
      <c r="M55" s="613"/>
      <c r="N55" s="613"/>
      <c r="O55" s="613"/>
      <c r="P55" s="613"/>
      <c r="R55" s="614"/>
      <c r="S55" s="613"/>
      <c r="T55" s="615"/>
    </row>
    <row r="56" spans="2:20" ht="12.75">
      <c r="B56" s="30"/>
      <c r="C56" s="392"/>
      <c r="D56" s="392"/>
      <c r="E56" s="392"/>
      <c r="F56" s="392"/>
      <c r="G56" s="392"/>
      <c r="H56" s="392"/>
      <c r="I56" s="392"/>
      <c r="J56" s="388"/>
      <c r="K56" s="388"/>
      <c r="M56" s="388"/>
      <c r="N56" s="388"/>
      <c r="O56" s="388"/>
      <c r="P56" s="388"/>
      <c r="R56" s="587"/>
      <c r="S56" s="588"/>
      <c r="T56" s="589" t="s">
        <v>6</v>
      </c>
    </row>
    <row r="57" spans="2:20" ht="12.75">
      <c r="B57" s="172" t="s">
        <v>211</v>
      </c>
      <c r="C57" s="392">
        <f>KW!E16</f>
        <v>531189</v>
      </c>
      <c r="D57" s="392">
        <f>KW!K16</f>
        <v>505001</v>
      </c>
      <c r="E57" s="392">
        <f>KW!Q16</f>
        <v>515785</v>
      </c>
      <c r="F57" s="392">
        <f>KW!W16</f>
        <v>589471</v>
      </c>
      <c r="G57" s="392">
        <f>KW!AC16</f>
        <v>639861</v>
      </c>
      <c r="H57" s="392">
        <f>KW!AI16</f>
        <v>712935</v>
      </c>
      <c r="I57" s="392">
        <f>KW!AO16</f>
        <v>696851</v>
      </c>
      <c r="J57" s="388">
        <f>'Rate Class Load Model'!D10</f>
        <v>664898.687305483</v>
      </c>
      <c r="K57" s="388">
        <f>'Rate Class Load Model'!D11</f>
        <v>697450.7413141615</v>
      </c>
      <c r="M57" s="591">
        <f>2.903-0.0149</f>
        <v>2.8881</v>
      </c>
      <c r="N57" s="592">
        <f>J57*M57</f>
        <v>1920293.8988069657</v>
      </c>
      <c r="O57" s="592">
        <f>K57*M57</f>
        <v>2014307.4859894298</v>
      </c>
      <c r="P57" s="593">
        <f>(O57-N57)/N57</f>
        <v>0.04895791589030854</v>
      </c>
      <c r="Q57" s="594"/>
      <c r="R57" s="595">
        <f>(J57-I57)/I57</f>
        <v>-0.0458524314301292</v>
      </c>
      <c r="S57" s="596">
        <f>(K57-I57)/I57</f>
        <v>0.0008606449788569615</v>
      </c>
      <c r="T57" s="597">
        <f>(K57-G57)/G57</f>
        <v>0.09000351844253901</v>
      </c>
    </row>
    <row r="58" spans="2:20" s="569" customFormat="1" ht="12.75" thickBot="1">
      <c r="B58" s="598" t="s">
        <v>210</v>
      </c>
      <c r="C58" s="599"/>
      <c r="D58" s="600">
        <f>(D57-C57)/C57</f>
        <v>-0.049300719706168616</v>
      </c>
      <c r="E58" s="600">
        <f aca="true" t="shared" si="9" ref="E58:K58">(E57-D57)/D57</f>
        <v>0.021354413159577902</v>
      </c>
      <c r="F58" s="600">
        <f t="shared" si="9"/>
        <v>0.14286185135279234</v>
      </c>
      <c r="G58" s="600">
        <f t="shared" si="9"/>
        <v>0.08548342496916728</v>
      </c>
      <c r="H58" s="600">
        <f t="shared" si="9"/>
        <v>0.11420292844852241</v>
      </c>
      <c r="I58" s="600">
        <f t="shared" si="9"/>
        <v>-0.02256026145441029</v>
      </c>
      <c r="J58" s="601">
        <f t="shared" si="9"/>
        <v>-0.0458524314301292</v>
      </c>
      <c r="K58" s="601">
        <f t="shared" si="9"/>
        <v>0.04895791589030857</v>
      </c>
      <c r="M58" s="601"/>
      <c r="N58" s="601"/>
      <c r="O58" s="601"/>
      <c r="P58" s="601"/>
      <c r="R58" s="602"/>
      <c r="S58" s="601"/>
      <c r="T58" s="603"/>
    </row>
    <row r="59" spans="8:20" ht="13.5" thickBot="1">
      <c r="H59" s="604"/>
      <c r="I59" s="122"/>
      <c r="J59" s="605"/>
      <c r="K59" s="119"/>
      <c r="M59" s="605"/>
      <c r="N59" s="119"/>
      <c r="O59" s="119"/>
      <c r="P59" s="119"/>
      <c r="R59" s="606"/>
      <c r="S59" s="607"/>
      <c r="T59" s="608"/>
    </row>
    <row r="60" spans="2:20" ht="12.75">
      <c r="B60" s="581" t="s">
        <v>212</v>
      </c>
      <c r="C60" s="467"/>
      <c r="D60" s="467"/>
      <c r="E60" s="467"/>
      <c r="F60" s="467"/>
      <c r="G60" s="467"/>
      <c r="H60" s="467"/>
      <c r="I60" s="467"/>
      <c r="J60" s="385"/>
      <c r="K60" s="582"/>
      <c r="M60" s="385"/>
      <c r="N60" s="582"/>
      <c r="O60" s="582"/>
      <c r="P60" s="582"/>
      <c r="R60" s="609"/>
      <c r="S60" s="584"/>
      <c r="T60" s="585"/>
    </row>
    <row r="61" spans="2:20" ht="12.75">
      <c r="B61" s="30" t="s">
        <v>205</v>
      </c>
      <c r="C61" s="392">
        <f>'Rate Class Customer Model'!I7</f>
        <v>2</v>
      </c>
      <c r="D61" s="392">
        <f>'Rate Class Customer Model'!I8</f>
        <v>2</v>
      </c>
      <c r="E61" s="392">
        <f>'Rate Class Customer Model'!I9</f>
        <v>2</v>
      </c>
      <c r="F61" s="392">
        <f>'Rate Class Customer Model'!I10</f>
        <v>2</v>
      </c>
      <c r="G61" s="392">
        <f>'Rate Class Customer Model'!I11</f>
        <v>2</v>
      </c>
      <c r="H61" s="392">
        <f>'Rate Class Customer Model'!I12</f>
        <v>2</v>
      </c>
      <c r="I61" s="392">
        <f>'Rate Class Customer Model'!I13</f>
        <v>2</v>
      </c>
      <c r="J61" s="388">
        <f>'Rate Class Customer Model'!I14</f>
        <v>2</v>
      </c>
      <c r="K61" s="388">
        <f>'Rate Class Customer Model'!I15</f>
        <v>2</v>
      </c>
      <c r="M61" s="388"/>
      <c r="N61" s="388"/>
      <c r="O61" s="388"/>
      <c r="P61" s="388"/>
      <c r="R61" s="587"/>
      <c r="S61" s="588"/>
      <c r="T61" s="589"/>
    </row>
    <row r="62" spans="2:20" ht="12.75">
      <c r="B62" s="30"/>
      <c r="C62" s="392"/>
      <c r="D62" s="392"/>
      <c r="E62" s="392"/>
      <c r="F62" s="392"/>
      <c r="G62" s="392"/>
      <c r="H62" s="392"/>
      <c r="I62" s="392"/>
      <c r="J62" s="388"/>
      <c r="K62" s="388"/>
      <c r="M62" s="388"/>
      <c r="N62" s="388"/>
      <c r="O62" s="388"/>
      <c r="P62" s="388"/>
      <c r="R62" s="587"/>
      <c r="S62" s="588"/>
      <c r="T62" s="589"/>
    </row>
    <row r="63" spans="2:20" ht="12.75">
      <c r="B63" s="30" t="s">
        <v>206</v>
      </c>
      <c r="C63" s="392">
        <f>kWh!J79</f>
        <v>19110906</v>
      </c>
      <c r="D63" s="392">
        <f>kWh!S79</f>
        <v>20964771.307337914</v>
      </c>
      <c r="E63" s="392">
        <f>kWh!AB79</f>
        <v>21908421</v>
      </c>
      <c r="F63" s="392">
        <f>kWh!AK79</f>
        <v>23791244.91483907</v>
      </c>
      <c r="G63" s="392">
        <f>kWh!AT79</f>
        <v>25786193.119400337</v>
      </c>
      <c r="H63" s="392">
        <f>kWh!BC79</f>
        <v>26793083.865717456</v>
      </c>
      <c r="I63" s="392">
        <f>kWh!BL79</f>
        <v>27343426</v>
      </c>
      <c r="J63" s="388">
        <f>'Rate Class Energy Model'!O42</f>
        <v>28517119.953197297</v>
      </c>
      <c r="K63" s="388">
        <f>'Rate Class Energy Model'!O43</f>
        <v>29780030.56353198</v>
      </c>
      <c r="M63" s="388"/>
      <c r="N63" s="388"/>
      <c r="O63" s="388"/>
      <c r="P63" s="388"/>
      <c r="R63" s="595">
        <f>(J63-I63)/I63</f>
        <v>0.042924173188732706</v>
      </c>
      <c r="S63" s="596">
        <f>(K63-I63)/I63</f>
        <v>0.08911116564295857</v>
      </c>
      <c r="T63" s="597">
        <f>(K63-G63)/G63</f>
        <v>0.15488278652217433</v>
      </c>
    </row>
    <row r="64" spans="2:20" s="569" customFormat="1" ht="12">
      <c r="B64" s="610" t="s">
        <v>207</v>
      </c>
      <c r="C64" s="611"/>
      <c r="D64" s="612">
        <f>(D63-C63)/C63</f>
        <v>0.09700562115359228</v>
      </c>
      <c r="E64" s="612">
        <f aca="true" t="shared" si="10" ref="E64:K64">(E63-D63)/D63</f>
        <v>0.04501120850919075</v>
      </c>
      <c r="F64" s="612">
        <f t="shared" si="10"/>
        <v>0.0859406487961442</v>
      </c>
      <c r="G64" s="612">
        <f t="shared" si="10"/>
        <v>0.08385219906323517</v>
      </c>
      <c r="H64" s="612">
        <f t="shared" si="10"/>
        <v>0.03904766948943621</v>
      </c>
      <c r="I64" s="612">
        <f t="shared" si="10"/>
        <v>0.020540455030886657</v>
      </c>
      <c r="J64" s="613">
        <f t="shared" si="10"/>
        <v>0.042924173188732706</v>
      </c>
      <c r="K64" s="613">
        <f t="shared" si="10"/>
        <v>0.044286050358780624</v>
      </c>
      <c r="M64" s="613"/>
      <c r="N64" s="613"/>
      <c r="O64" s="613"/>
      <c r="P64" s="613"/>
      <c r="R64" s="614"/>
      <c r="S64" s="613"/>
      <c r="T64" s="615"/>
    </row>
    <row r="65" spans="2:20" ht="12.75">
      <c r="B65" s="30"/>
      <c r="C65" s="392"/>
      <c r="D65" s="392"/>
      <c r="E65" s="392"/>
      <c r="F65" s="392"/>
      <c r="G65" s="392"/>
      <c r="H65" s="392"/>
      <c r="I65" s="392"/>
      <c r="J65" s="388"/>
      <c r="K65" s="388"/>
      <c r="M65" s="388"/>
      <c r="N65" s="388"/>
      <c r="O65" s="388"/>
      <c r="P65" s="388"/>
      <c r="R65" s="587"/>
      <c r="S65" s="588"/>
      <c r="T65" s="589" t="s">
        <v>6</v>
      </c>
    </row>
    <row r="66" spans="2:20" ht="12.75">
      <c r="B66" s="30" t="s">
        <v>209</v>
      </c>
      <c r="C66" s="392">
        <f>KW!F16</f>
        <v>58415</v>
      </c>
      <c r="D66" s="392">
        <f>KW!L16</f>
        <v>60474</v>
      </c>
      <c r="E66" s="392">
        <f>KW!R16</f>
        <v>65522</v>
      </c>
      <c r="F66" s="392">
        <f>KW!X16</f>
        <v>70150</v>
      </c>
      <c r="G66" s="392">
        <f>KW!AD16</f>
        <v>76385</v>
      </c>
      <c r="H66" s="392">
        <f>KW!AJ16</f>
        <v>79929</v>
      </c>
      <c r="I66" s="392">
        <f>KW!AP16</f>
        <v>81921</v>
      </c>
      <c r="J66" s="388">
        <f>'Rate Class Load Model'!E10</f>
        <v>84877.64649331334</v>
      </c>
      <c r="K66" s="388">
        <f>'Rate Class Load Model'!E11</f>
        <v>88636.54222025098</v>
      </c>
      <c r="L66" s="369"/>
      <c r="M66" s="591">
        <f>2.2046-0.0092</f>
        <v>2.1954000000000002</v>
      </c>
      <c r="N66" s="592">
        <f>J66*M66</f>
        <v>186340.38511142012</v>
      </c>
      <c r="O66" s="592">
        <f>K66*M66</f>
        <v>194592.664790339</v>
      </c>
      <c r="P66" s="593">
        <f>(O66-N66)/N66</f>
        <v>0.04428605035878041</v>
      </c>
      <c r="R66" s="595">
        <f>(J66-I66)/I66</f>
        <v>0.03609143556979699</v>
      </c>
      <c r="S66" s="596">
        <f>(K66-I66)/I66</f>
        <v>0.08197583306174216</v>
      </c>
      <c r="T66" s="597">
        <f>(K66-G66)/G66</f>
        <v>0.16039199083918282</v>
      </c>
    </row>
    <row r="67" spans="2:20" s="569" customFormat="1" ht="12.75" thickBot="1">
      <c r="B67" s="598" t="s">
        <v>210</v>
      </c>
      <c r="C67" s="599"/>
      <c r="D67" s="600">
        <f>(D66-C66)/C66</f>
        <v>0.03524779594282291</v>
      </c>
      <c r="E67" s="600">
        <f aca="true" t="shared" si="11" ref="E67:K67">(E66-D66)/D66</f>
        <v>0.08347388960545028</v>
      </c>
      <c r="F67" s="600">
        <f t="shared" si="11"/>
        <v>0.07063276456762614</v>
      </c>
      <c r="G67" s="600">
        <f t="shared" si="11"/>
        <v>0.08888096935138988</v>
      </c>
      <c r="H67" s="600">
        <f t="shared" si="11"/>
        <v>0.04639654382404922</v>
      </c>
      <c r="I67" s="600">
        <f t="shared" si="11"/>
        <v>0.024922118380062305</v>
      </c>
      <c r="J67" s="601">
        <f t="shared" si="11"/>
        <v>0.03609143556979699</v>
      </c>
      <c r="K67" s="601">
        <f t="shared" si="11"/>
        <v>0.044286050358780464</v>
      </c>
      <c r="L67" s="620"/>
      <c r="M67" s="601"/>
      <c r="N67" s="601"/>
      <c r="O67" s="601"/>
      <c r="P67" s="601"/>
      <c r="R67" s="602"/>
      <c r="S67" s="601"/>
      <c r="T67" s="603"/>
    </row>
    <row r="68" spans="10:20" ht="12.75">
      <c r="J68" s="118"/>
      <c r="K68" s="119"/>
      <c r="M68" s="118"/>
      <c r="N68" s="119"/>
      <c r="O68" s="119"/>
      <c r="P68" s="119"/>
      <c r="R68" s="587"/>
      <c r="S68" s="607"/>
      <c r="T68" s="608"/>
    </row>
    <row r="69" spans="2:20" ht="12.75">
      <c r="B69" s="296" t="s">
        <v>103</v>
      </c>
      <c r="C69" s="369"/>
      <c r="D69" s="369"/>
      <c r="E69" s="369"/>
      <c r="F69" s="369"/>
      <c r="H69" s="369"/>
      <c r="I69" s="369"/>
      <c r="J69" s="119"/>
      <c r="K69" s="119"/>
      <c r="M69" s="119"/>
      <c r="N69" s="119"/>
      <c r="O69" s="119"/>
      <c r="P69" s="119"/>
      <c r="R69" s="621"/>
      <c r="S69" s="607"/>
      <c r="T69" s="608"/>
    </row>
    <row r="70" spans="2:20" ht="12.75">
      <c r="B70" t="s">
        <v>213</v>
      </c>
      <c r="C70" s="369">
        <f aca="true" t="shared" si="12" ref="C70:K70">SUM(C61,C52,C43,C34,C28,C22,C16)</f>
        <v>100777.08333333333</v>
      </c>
      <c r="D70" s="369">
        <f t="shared" si="12"/>
        <v>107655.5</v>
      </c>
      <c r="E70" s="369">
        <f t="shared" si="12"/>
        <v>114361.41666666667</v>
      </c>
      <c r="F70" s="369">
        <f t="shared" si="12"/>
        <v>119587.16666666667</v>
      </c>
      <c r="G70" s="369">
        <f t="shared" si="12"/>
        <v>124203.75</v>
      </c>
      <c r="H70" s="369">
        <f t="shared" si="12"/>
        <v>129378.58333333333</v>
      </c>
      <c r="I70" s="369">
        <f t="shared" si="12"/>
        <v>131525.16666666666</v>
      </c>
      <c r="J70" s="118">
        <f t="shared" si="12"/>
        <v>133053.68576218217</v>
      </c>
      <c r="K70" s="118">
        <f t="shared" si="12"/>
        <v>134519.4982398635</v>
      </c>
      <c r="M70" s="118"/>
      <c r="N70" s="118"/>
      <c r="O70" s="118"/>
      <c r="P70" s="118"/>
      <c r="R70" s="587"/>
      <c r="S70" s="588"/>
      <c r="T70" s="589"/>
    </row>
    <row r="71" spans="2:20" ht="12.75">
      <c r="B71" t="s">
        <v>206</v>
      </c>
      <c r="C71" s="369">
        <f aca="true" t="shared" si="13" ref="C71:K71">SUM(C63,C54,C45,C36,C30,C24,C18)</f>
        <v>3329496978</v>
      </c>
      <c r="D71" s="369">
        <f t="shared" si="13"/>
        <v>3483144427</v>
      </c>
      <c r="E71" s="369">
        <f t="shared" si="13"/>
        <v>3723506554</v>
      </c>
      <c r="F71" s="369">
        <f t="shared" si="13"/>
        <v>3718723113.000001</v>
      </c>
      <c r="G71" s="369">
        <f t="shared" si="13"/>
        <v>3839000000</v>
      </c>
      <c r="H71" s="369">
        <f t="shared" si="13"/>
        <v>3791763566.000001</v>
      </c>
      <c r="I71" s="369">
        <f t="shared" si="13"/>
        <v>3611622564</v>
      </c>
      <c r="J71" s="118">
        <f t="shared" si="13"/>
        <v>3698071300.241765</v>
      </c>
      <c r="K71" s="118">
        <f t="shared" si="13"/>
        <v>3772317241.4683456</v>
      </c>
      <c r="M71" s="592"/>
      <c r="N71" s="592">
        <f>SUM(N18,N24,N30)</f>
        <v>22103838.373011995</v>
      </c>
      <c r="O71" s="592">
        <f>SUM(O18,O24,O30)</f>
        <v>22321782.09978431</v>
      </c>
      <c r="P71" s="593">
        <f>(O71-N71)/N71</f>
        <v>0.009859994589827321</v>
      </c>
      <c r="R71" s="587"/>
      <c r="S71" s="588"/>
      <c r="T71" s="589"/>
    </row>
    <row r="72" spans="2:20" ht="12.75">
      <c r="B72" t="s">
        <v>214</v>
      </c>
      <c r="C72" s="369">
        <f aca="true" t="shared" si="14" ref="C72:K72">SUM(C66,C57,C48,C39)</f>
        <v>5272572</v>
      </c>
      <c r="D72" s="369">
        <f t="shared" si="14"/>
        <v>5463110</v>
      </c>
      <c r="E72" s="369">
        <f t="shared" si="14"/>
        <v>5650636</v>
      </c>
      <c r="F72" s="369">
        <f t="shared" si="14"/>
        <v>5759975</v>
      </c>
      <c r="G72" s="369">
        <f t="shared" si="14"/>
        <v>5862835</v>
      </c>
      <c r="H72" s="369">
        <f t="shared" si="14"/>
        <v>5833524</v>
      </c>
      <c r="I72" s="369">
        <f t="shared" si="14"/>
        <v>5667861</v>
      </c>
      <c r="J72" s="369">
        <f t="shared" si="14"/>
        <v>5601991.70807999</v>
      </c>
      <c r="K72" s="369">
        <f t="shared" si="14"/>
        <v>5745175.761210319</v>
      </c>
      <c r="M72" s="592"/>
      <c r="N72" s="592">
        <f>SUM(N66,N57,N48,N39)</f>
        <v>15820519.607539702</v>
      </c>
      <c r="O72" s="592">
        <f>SUM(O66,O57,O48,O39)</f>
        <v>16216670.540852122</v>
      </c>
      <c r="P72" s="593">
        <f>(O72-N72)/N72</f>
        <v>0.025040323778216692</v>
      </c>
      <c r="R72" s="587"/>
      <c r="S72" s="588"/>
      <c r="T72" s="589"/>
    </row>
    <row r="73" spans="2:20" ht="13.5" thickBot="1">
      <c r="B73" s="60"/>
      <c r="C73" s="431"/>
      <c r="D73" s="431"/>
      <c r="E73" s="431"/>
      <c r="F73" s="431"/>
      <c r="G73" s="431"/>
      <c r="H73" s="431"/>
      <c r="I73" s="431"/>
      <c r="J73" s="622"/>
      <c r="K73" s="622"/>
      <c r="M73" s="622"/>
      <c r="N73" s="622"/>
      <c r="O73" s="622"/>
      <c r="P73" s="622"/>
      <c r="R73" s="623"/>
      <c r="S73" s="624"/>
      <c r="T73" s="625"/>
    </row>
    <row r="74" spans="10:20" ht="12.75">
      <c r="J74" s="626"/>
      <c r="K74" s="119"/>
      <c r="M74" s="627"/>
      <c r="N74" s="627">
        <f>SUM(N71,N72)</f>
        <v>37924357.9805517</v>
      </c>
      <c r="O74" s="627">
        <f>SUM(O71,O72)</f>
        <v>38538452.64063643</v>
      </c>
      <c r="P74" s="628">
        <f>(O74-N74)/N74</f>
        <v>0.016192618485450717</v>
      </c>
      <c r="R74" s="629"/>
      <c r="S74" s="629"/>
      <c r="T74" s="629"/>
    </row>
    <row r="75" spans="10:20" ht="12.75">
      <c r="J75" s="626"/>
      <c r="K75" s="119"/>
      <c r="R75" s="71"/>
      <c r="S75" s="71"/>
      <c r="T75" s="71"/>
    </row>
  </sheetData>
  <sheetProtection/>
  <mergeCells count="3">
    <mergeCell ref="A1:L1"/>
    <mergeCell ref="C2:I2"/>
    <mergeCell ref="R12:T12"/>
  </mergeCells>
  <printOptions/>
  <pageMargins left="0.7" right="0.7" top="0.75" bottom="0.75" header="0.3" footer="0.3"/>
  <pageSetup fitToHeight="1" fitToWidth="1" horizontalDpi="600" verticalDpi="600" orientation="landscape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157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8" sqref="I8"/>
    </sheetView>
  </sheetViews>
  <sheetFormatPr defaultColWidth="9.140625" defaultRowHeight="12.75"/>
  <cols>
    <col min="1" max="1" width="12.421875" style="111" bestFit="1" customWidth="1"/>
    <col min="2" max="2" width="20.28125" style="122" bestFit="1" customWidth="1"/>
    <col min="3" max="3" width="15.00390625" style="122" bestFit="1" customWidth="1"/>
    <col min="4" max="4" width="12.7109375" style="122" bestFit="1" customWidth="1"/>
    <col min="5" max="6" width="12.421875" style="122" customWidth="1"/>
    <col min="7" max="7" width="13.00390625" style="122" customWidth="1"/>
    <col min="8" max="8" width="9.140625" style="110" customWidth="1"/>
    <col min="9" max="9" width="10.7109375" style="110" bestFit="1" customWidth="1"/>
    <col min="10" max="11" width="9.140625" style="110" customWidth="1"/>
    <col min="12" max="16384" width="9.140625" style="111" customWidth="1"/>
  </cols>
  <sheetData>
    <row r="1" spans="1:8" ht="42" customHeight="1" thickBot="1">
      <c r="A1" s="695"/>
      <c r="B1" s="696" t="s">
        <v>59</v>
      </c>
      <c r="C1" s="696" t="s">
        <v>60</v>
      </c>
      <c r="D1" s="696" t="s">
        <v>61</v>
      </c>
      <c r="E1" s="696" t="s">
        <v>62</v>
      </c>
      <c r="F1" s="696" t="s">
        <v>63</v>
      </c>
      <c r="G1" s="696" t="s">
        <v>64</v>
      </c>
      <c r="H1" s="697" t="s">
        <v>65</v>
      </c>
    </row>
    <row r="2" spans="1:8" ht="12.75">
      <c r="A2" s="112">
        <v>36892</v>
      </c>
      <c r="B2" s="113">
        <v>684.9</v>
      </c>
      <c r="C2" s="113">
        <v>0</v>
      </c>
      <c r="D2" s="114">
        <v>31</v>
      </c>
      <c r="E2" s="115">
        <v>0</v>
      </c>
      <c r="F2" s="115">
        <v>0</v>
      </c>
      <c r="G2" s="114">
        <v>352</v>
      </c>
      <c r="H2" s="116">
        <f>GDP!B26</f>
        <v>0.8622139568354353</v>
      </c>
    </row>
    <row r="3" spans="1:9" ht="12.75">
      <c r="A3" s="112">
        <v>36925</v>
      </c>
      <c r="B3" s="113">
        <v>587.5</v>
      </c>
      <c r="C3" s="113">
        <v>0</v>
      </c>
      <c r="D3" s="114">
        <v>28</v>
      </c>
      <c r="E3" s="115">
        <v>0</v>
      </c>
      <c r="F3" s="115">
        <v>0</v>
      </c>
      <c r="G3" s="114">
        <v>320</v>
      </c>
      <c r="H3" s="116">
        <f>GDP!D27</f>
        <v>0.9652637590449155</v>
      </c>
      <c r="I3" s="117"/>
    </row>
    <row r="4" spans="1:9" ht="12.75">
      <c r="A4" s="112">
        <v>36958</v>
      </c>
      <c r="B4" s="113">
        <v>566.6</v>
      </c>
      <c r="C4" s="113">
        <v>0</v>
      </c>
      <c r="D4" s="114">
        <v>31</v>
      </c>
      <c r="E4" s="115">
        <v>1</v>
      </c>
      <c r="F4" s="115">
        <v>0</v>
      </c>
      <c r="G4" s="114">
        <v>352</v>
      </c>
      <c r="H4" s="116">
        <f>GDP!D28</f>
        <v>0.9717863485840876</v>
      </c>
      <c r="I4" s="117"/>
    </row>
    <row r="5" spans="1:9" ht="12.75">
      <c r="A5" s="112">
        <v>36991</v>
      </c>
      <c r="B5" s="113">
        <v>293.8</v>
      </c>
      <c r="C5" s="113">
        <v>1.4</v>
      </c>
      <c r="D5" s="114">
        <v>30</v>
      </c>
      <c r="E5" s="115">
        <v>1</v>
      </c>
      <c r="F5" s="115">
        <v>0</v>
      </c>
      <c r="G5" s="114">
        <v>320</v>
      </c>
      <c r="H5" s="116">
        <f>GDP!D29</f>
        <v>0.9746125251291234</v>
      </c>
      <c r="I5" s="117"/>
    </row>
    <row r="6" spans="1:9" ht="12.75">
      <c r="A6" s="112">
        <v>37024</v>
      </c>
      <c r="B6" s="113">
        <v>111.5</v>
      </c>
      <c r="C6" s="113">
        <v>12.2</v>
      </c>
      <c r="D6" s="114">
        <v>31</v>
      </c>
      <c r="E6" s="115">
        <v>1</v>
      </c>
      <c r="F6" s="115">
        <v>0</v>
      </c>
      <c r="G6" s="114">
        <v>352</v>
      </c>
      <c r="H6" s="116">
        <f>GDP!D30</f>
        <v>0.9715353188391548</v>
      </c>
      <c r="I6" s="117"/>
    </row>
    <row r="7" spans="1:9" ht="12.75">
      <c r="A7" s="112">
        <v>37057</v>
      </c>
      <c r="B7" s="113">
        <v>30.2</v>
      </c>
      <c r="C7" s="113">
        <v>79.7</v>
      </c>
      <c r="D7" s="114">
        <v>30</v>
      </c>
      <c r="E7" s="115">
        <v>0</v>
      </c>
      <c r="F7" s="115">
        <v>0</v>
      </c>
      <c r="G7" s="114">
        <v>336</v>
      </c>
      <c r="H7" s="116">
        <f>GDP!D31</f>
        <v>0.9658536789455077</v>
      </c>
      <c r="I7" s="117"/>
    </row>
    <row r="8" spans="1:9" ht="12.75">
      <c r="A8" s="112">
        <v>37090</v>
      </c>
      <c r="B8" s="113">
        <v>9.3</v>
      </c>
      <c r="C8" s="113">
        <v>100.9</v>
      </c>
      <c r="D8" s="114">
        <v>31</v>
      </c>
      <c r="E8" s="115">
        <v>0</v>
      </c>
      <c r="F8" s="115">
        <v>0</v>
      </c>
      <c r="G8" s="114">
        <v>336</v>
      </c>
      <c r="H8" s="116">
        <f>GDP!D32</f>
        <v>0.9526327790457104</v>
      </c>
      <c r="I8" s="117"/>
    </row>
    <row r="9" spans="1:9" ht="12.75">
      <c r="A9" s="112">
        <v>37123</v>
      </c>
      <c r="B9" s="113">
        <v>0</v>
      </c>
      <c r="C9" s="113">
        <v>160</v>
      </c>
      <c r="D9" s="114">
        <v>31</v>
      </c>
      <c r="E9" s="115">
        <v>0</v>
      </c>
      <c r="F9" s="115">
        <v>0</v>
      </c>
      <c r="G9" s="114">
        <v>352</v>
      </c>
      <c r="H9" s="116">
        <f>GDP!D33</f>
        <v>0.9648621114530229</v>
      </c>
      <c r="I9" s="117"/>
    </row>
    <row r="10" spans="1:9" ht="12.75">
      <c r="A10" s="112">
        <v>37156</v>
      </c>
      <c r="B10" s="113">
        <v>73.6</v>
      </c>
      <c r="C10" s="113">
        <v>35.7</v>
      </c>
      <c r="D10" s="114">
        <v>30</v>
      </c>
      <c r="E10" s="115">
        <v>1</v>
      </c>
      <c r="F10" s="115">
        <v>0</v>
      </c>
      <c r="G10" s="114">
        <v>304</v>
      </c>
      <c r="H10" s="116">
        <f>GDP!D34</f>
        <v>0.9854235394775652</v>
      </c>
      <c r="I10" s="117"/>
    </row>
    <row r="11" spans="1:9" ht="12.75">
      <c r="A11" s="112">
        <v>37189</v>
      </c>
      <c r="B11" s="113">
        <v>232.5</v>
      </c>
      <c r="C11" s="113">
        <v>2</v>
      </c>
      <c r="D11" s="114">
        <v>31</v>
      </c>
      <c r="E11" s="115">
        <v>1</v>
      </c>
      <c r="F11" s="115">
        <v>0</v>
      </c>
      <c r="G11" s="114">
        <v>352</v>
      </c>
      <c r="H11" s="116">
        <f>GDP!D35</f>
        <v>0.9755183241254228</v>
      </c>
      <c r="I11" s="117"/>
    </row>
    <row r="12" spans="1:9" ht="12.75">
      <c r="A12" s="112">
        <v>37222</v>
      </c>
      <c r="B12" s="113">
        <v>324.5</v>
      </c>
      <c r="C12" s="113">
        <v>0</v>
      </c>
      <c r="D12" s="114">
        <v>30</v>
      </c>
      <c r="E12" s="115">
        <v>1</v>
      </c>
      <c r="F12" s="115">
        <v>0</v>
      </c>
      <c r="G12" s="114">
        <v>352</v>
      </c>
      <c r="H12" s="116">
        <f>GDP!D36</f>
        <v>0.9852771054596877</v>
      </c>
      <c r="I12" s="117"/>
    </row>
    <row r="13" spans="1:9" ht="12.75">
      <c r="A13" s="112">
        <v>37255</v>
      </c>
      <c r="B13" s="113">
        <v>505</v>
      </c>
      <c r="C13" s="113">
        <v>0</v>
      </c>
      <c r="D13" s="114">
        <v>31</v>
      </c>
      <c r="E13" s="115">
        <v>0</v>
      </c>
      <c r="F13" s="115">
        <v>0</v>
      </c>
      <c r="G13" s="114">
        <v>304</v>
      </c>
      <c r="H13" s="116">
        <f>GDP!D37</f>
        <v>0.9649436961201261</v>
      </c>
      <c r="I13" s="117"/>
    </row>
    <row r="14" spans="1:11" s="119" customFormat="1" ht="12.75">
      <c r="A14" s="112">
        <v>37275</v>
      </c>
      <c r="B14" s="113">
        <v>572.2</v>
      </c>
      <c r="C14" s="113">
        <v>0</v>
      </c>
      <c r="D14" s="114">
        <v>31</v>
      </c>
      <c r="E14" s="115">
        <v>0</v>
      </c>
      <c r="F14" s="115">
        <v>0</v>
      </c>
      <c r="G14" s="114">
        <v>352</v>
      </c>
      <c r="H14" s="116">
        <f>GDP!E26</f>
        <v>0.9792042775468537</v>
      </c>
      <c r="I14" s="117"/>
      <c r="J14" s="118"/>
      <c r="K14" s="118"/>
    </row>
    <row r="15" spans="1:9" ht="12.75">
      <c r="A15" s="112">
        <v>37308</v>
      </c>
      <c r="B15" s="113">
        <v>540.2</v>
      </c>
      <c r="C15" s="113">
        <v>0</v>
      </c>
      <c r="D15" s="114">
        <v>28</v>
      </c>
      <c r="E15" s="115">
        <v>0</v>
      </c>
      <c r="F15" s="115">
        <v>0</v>
      </c>
      <c r="G15" s="114">
        <v>320</v>
      </c>
      <c r="H15" s="116">
        <f>GDP!E27</f>
        <v>0.990843690053574</v>
      </c>
      <c r="I15" s="117"/>
    </row>
    <row r="16" spans="1:9" ht="12.75">
      <c r="A16" s="112">
        <v>37341</v>
      </c>
      <c r="B16" s="113">
        <v>545.6</v>
      </c>
      <c r="C16" s="113">
        <v>0</v>
      </c>
      <c r="D16" s="114">
        <v>31</v>
      </c>
      <c r="E16" s="115">
        <v>1</v>
      </c>
      <c r="F16" s="115">
        <v>0</v>
      </c>
      <c r="G16" s="114">
        <v>320</v>
      </c>
      <c r="H16" s="116">
        <f>GDP!E28</f>
        <v>0.9975378165851169</v>
      </c>
      <c r="I16" s="117"/>
    </row>
    <row r="17" spans="1:9" ht="12.75">
      <c r="A17" s="112">
        <v>37374</v>
      </c>
      <c r="B17" s="113">
        <v>329.5</v>
      </c>
      <c r="C17" s="113">
        <v>8.3</v>
      </c>
      <c r="D17" s="114">
        <v>30</v>
      </c>
      <c r="E17" s="115">
        <v>1</v>
      </c>
      <c r="F17" s="115">
        <v>0</v>
      </c>
      <c r="G17" s="114">
        <v>352</v>
      </c>
      <c r="H17" s="116">
        <f>GDP!E29</f>
        <v>0.9967512567176605</v>
      </c>
      <c r="I17" s="117"/>
    </row>
    <row r="18" spans="1:9" ht="12.75">
      <c r="A18" s="112">
        <v>37407</v>
      </c>
      <c r="B18" s="113">
        <v>227.5</v>
      </c>
      <c r="C18" s="113">
        <v>7.8</v>
      </c>
      <c r="D18" s="114">
        <v>31</v>
      </c>
      <c r="E18" s="115">
        <v>1</v>
      </c>
      <c r="F18" s="115">
        <v>0</v>
      </c>
      <c r="G18" s="114">
        <v>352</v>
      </c>
      <c r="H18" s="116">
        <f>GDP!E30</f>
        <v>0.9936029253332943</v>
      </c>
      <c r="I18" s="117"/>
    </row>
    <row r="19" spans="1:9" ht="12.75">
      <c r="A19" s="112">
        <v>37408</v>
      </c>
      <c r="B19" s="113">
        <v>36.2</v>
      </c>
      <c r="C19" s="113">
        <v>70</v>
      </c>
      <c r="D19" s="114">
        <v>30</v>
      </c>
      <c r="E19" s="115">
        <v>0</v>
      </c>
      <c r="F19" s="115">
        <v>0</v>
      </c>
      <c r="G19" s="114">
        <v>320</v>
      </c>
      <c r="H19" s="116">
        <f>GDP!E31</f>
        <v>0.9877936786526397</v>
      </c>
      <c r="I19" s="117"/>
    </row>
    <row r="20" spans="1:9" ht="12.75">
      <c r="A20" s="112">
        <v>37440</v>
      </c>
      <c r="B20" s="113">
        <v>0</v>
      </c>
      <c r="C20" s="113">
        <v>192.4</v>
      </c>
      <c r="D20" s="114">
        <v>31</v>
      </c>
      <c r="E20" s="115">
        <v>0</v>
      </c>
      <c r="F20" s="115">
        <v>0</v>
      </c>
      <c r="G20" s="114">
        <v>352</v>
      </c>
      <c r="H20" s="116">
        <f>GDP!E32</f>
        <v>0.9895822655852863</v>
      </c>
      <c r="I20" s="117"/>
    </row>
    <row r="21" spans="1:9" ht="12.75">
      <c r="A21" s="112">
        <v>37473</v>
      </c>
      <c r="B21" s="113">
        <v>0.2</v>
      </c>
      <c r="C21" s="113">
        <v>142.7</v>
      </c>
      <c r="D21" s="114">
        <v>31</v>
      </c>
      <c r="E21" s="115">
        <v>0</v>
      </c>
      <c r="F21" s="115">
        <v>0</v>
      </c>
      <c r="G21" s="114">
        <v>336</v>
      </c>
      <c r="H21" s="116">
        <f>GDP!E33</f>
        <v>1.0022864625934302</v>
      </c>
      <c r="I21" s="117"/>
    </row>
    <row r="22" spans="1:9" ht="12.75">
      <c r="A22" s="112">
        <v>37506</v>
      </c>
      <c r="B22" s="113">
        <v>21.8</v>
      </c>
      <c r="C22" s="113">
        <v>87.6</v>
      </c>
      <c r="D22" s="114">
        <v>30</v>
      </c>
      <c r="E22" s="115">
        <v>1</v>
      </c>
      <c r="F22" s="115">
        <v>0</v>
      </c>
      <c r="G22" s="114">
        <v>320</v>
      </c>
      <c r="H22" s="116">
        <f>GDP!E34</f>
        <v>1.0236449100581344</v>
      </c>
      <c r="I22" s="117"/>
    </row>
    <row r="23" spans="1:9" ht="12.75">
      <c r="A23" s="112">
        <v>37539</v>
      </c>
      <c r="B23" s="113">
        <v>292.2</v>
      </c>
      <c r="C23" s="113">
        <v>10</v>
      </c>
      <c r="D23" s="114">
        <v>31</v>
      </c>
      <c r="E23" s="115">
        <v>1</v>
      </c>
      <c r="F23" s="115">
        <v>0</v>
      </c>
      <c r="G23" s="114">
        <v>352</v>
      </c>
      <c r="H23" s="116">
        <f>GDP!E35</f>
        <v>1.0109595402808604</v>
      </c>
      <c r="I23" s="117"/>
    </row>
    <row r="24" spans="1:9" ht="12.75">
      <c r="A24" s="112">
        <v>37572</v>
      </c>
      <c r="B24" s="113">
        <v>445</v>
      </c>
      <c r="C24" s="113">
        <v>0</v>
      </c>
      <c r="D24" s="114">
        <v>30</v>
      </c>
      <c r="E24" s="115">
        <v>1</v>
      </c>
      <c r="F24" s="115">
        <v>0</v>
      </c>
      <c r="G24" s="114">
        <v>336</v>
      </c>
      <c r="H24" s="116">
        <f>GDP!E36</f>
        <v>1.0210718551725726</v>
      </c>
      <c r="I24" s="117"/>
    </row>
    <row r="25" spans="1:9" ht="12.75">
      <c r="A25" s="112">
        <v>37605</v>
      </c>
      <c r="B25" s="113">
        <v>619.4</v>
      </c>
      <c r="C25" s="113">
        <v>0</v>
      </c>
      <c r="D25" s="115">
        <v>31</v>
      </c>
      <c r="E25" s="115">
        <v>0</v>
      </c>
      <c r="F25" s="115">
        <v>0</v>
      </c>
      <c r="G25" s="115">
        <v>320</v>
      </c>
      <c r="H25" s="525">
        <f>GDP!E37</f>
        <v>1</v>
      </c>
      <c r="I25" s="117"/>
    </row>
    <row r="26" spans="1:9" ht="12.75">
      <c r="A26" s="112">
        <v>37622</v>
      </c>
      <c r="B26" s="113">
        <v>814.6</v>
      </c>
      <c r="C26" s="113">
        <v>0</v>
      </c>
      <c r="D26" s="114">
        <v>31</v>
      </c>
      <c r="E26" s="115">
        <v>0</v>
      </c>
      <c r="F26" s="115">
        <v>0</v>
      </c>
      <c r="G26" s="114">
        <v>352</v>
      </c>
      <c r="H26" s="116">
        <f>GDP!F26</f>
        <v>1.0072777706885119</v>
      </c>
      <c r="I26" s="117"/>
    </row>
    <row r="27" spans="1:9" ht="12.75">
      <c r="A27" s="112">
        <v>37653</v>
      </c>
      <c r="B27" s="113">
        <v>699</v>
      </c>
      <c r="C27" s="113">
        <v>0</v>
      </c>
      <c r="D27" s="114">
        <v>28</v>
      </c>
      <c r="E27" s="115">
        <v>0</v>
      </c>
      <c r="F27" s="115">
        <v>0</v>
      </c>
      <c r="G27" s="114">
        <v>320</v>
      </c>
      <c r="H27" s="116">
        <f>GDP!F27</f>
        <v>1.019249797607268</v>
      </c>
      <c r="I27" s="117"/>
    </row>
    <row r="28" spans="1:9" ht="12.75">
      <c r="A28" s="112">
        <v>37681</v>
      </c>
      <c r="B28" s="113">
        <v>581.1</v>
      </c>
      <c r="C28" s="113">
        <v>0</v>
      </c>
      <c r="D28" s="114">
        <v>31</v>
      </c>
      <c r="E28" s="115">
        <v>1</v>
      </c>
      <c r="F28" s="115">
        <v>0</v>
      </c>
      <c r="G28" s="114">
        <v>336</v>
      </c>
      <c r="H28" s="116">
        <f>GDP!F28</f>
        <v>1.026138472191134</v>
      </c>
      <c r="I28" s="117"/>
    </row>
    <row r="29" spans="1:9" ht="12.75">
      <c r="A29" s="112">
        <v>37712</v>
      </c>
      <c r="B29" s="113">
        <v>372.5</v>
      </c>
      <c r="C29" s="113">
        <v>2.4</v>
      </c>
      <c r="D29" s="114">
        <v>30</v>
      </c>
      <c r="E29" s="115">
        <v>1</v>
      </c>
      <c r="F29" s="115">
        <v>0</v>
      </c>
      <c r="G29" s="114">
        <v>336</v>
      </c>
      <c r="H29" s="116">
        <f>GDP!F29</f>
        <v>1.0184151237053665</v>
      </c>
      <c r="I29" s="117"/>
    </row>
    <row r="30" spans="1:9" ht="12.75">
      <c r="A30" s="112">
        <v>37742</v>
      </c>
      <c r="B30" s="113">
        <v>177.8</v>
      </c>
      <c r="C30" s="113">
        <v>0</v>
      </c>
      <c r="D30" s="114">
        <v>31</v>
      </c>
      <c r="E30" s="115">
        <v>1</v>
      </c>
      <c r="F30" s="115">
        <v>0</v>
      </c>
      <c r="G30" s="114">
        <v>336</v>
      </c>
      <c r="H30" s="116">
        <f>GDP!F30</f>
        <v>1.0151977591411436</v>
      </c>
      <c r="I30" s="117"/>
    </row>
    <row r="31" spans="1:9" ht="12.75">
      <c r="A31" s="112">
        <v>37773</v>
      </c>
      <c r="B31" s="113">
        <v>43.4</v>
      </c>
      <c r="C31" s="113">
        <v>52.9</v>
      </c>
      <c r="D31" s="114">
        <v>30</v>
      </c>
      <c r="E31" s="115">
        <v>0</v>
      </c>
      <c r="F31" s="115">
        <v>0</v>
      </c>
      <c r="G31" s="114">
        <v>336</v>
      </c>
      <c r="H31" s="116">
        <f>GDP!F31</f>
        <v>1.0092629975880225</v>
      </c>
      <c r="I31" s="117"/>
    </row>
    <row r="32" spans="1:9" ht="12.75">
      <c r="A32" s="112">
        <v>37803</v>
      </c>
      <c r="B32" s="113">
        <v>0.2</v>
      </c>
      <c r="C32" s="113">
        <v>118.3</v>
      </c>
      <c r="D32" s="114">
        <v>31</v>
      </c>
      <c r="E32" s="115">
        <v>0</v>
      </c>
      <c r="F32" s="115">
        <v>0</v>
      </c>
      <c r="G32" s="114">
        <v>352</v>
      </c>
      <c r="H32" s="116">
        <f>GDP!F32</f>
        <v>0.990103152306022</v>
      </c>
      <c r="I32" s="117"/>
    </row>
    <row r="33" spans="1:9" ht="12.75">
      <c r="A33" s="112">
        <v>37834</v>
      </c>
      <c r="B33" s="113">
        <v>2</v>
      </c>
      <c r="C33" s="113">
        <v>128</v>
      </c>
      <c r="D33" s="114">
        <v>31</v>
      </c>
      <c r="E33" s="115">
        <v>0</v>
      </c>
      <c r="F33" s="115">
        <v>1</v>
      </c>
      <c r="G33" s="114">
        <v>320</v>
      </c>
      <c r="H33" s="116">
        <f>GDP!F33</f>
        <v>1.002813625057789</v>
      </c>
      <c r="I33" s="117"/>
    </row>
    <row r="34" spans="1:9" ht="12.75">
      <c r="A34" s="112">
        <v>37865</v>
      </c>
      <c r="B34" s="113">
        <v>54.9</v>
      </c>
      <c r="C34" s="113">
        <v>24</v>
      </c>
      <c r="D34" s="114">
        <v>30</v>
      </c>
      <c r="E34" s="115">
        <v>1</v>
      </c>
      <c r="F34" s="115">
        <v>0</v>
      </c>
      <c r="G34" s="114">
        <v>336</v>
      </c>
      <c r="H34" s="116">
        <f>GDP!F34</f>
        <v>1.0241846240097399</v>
      </c>
      <c r="I34" s="117"/>
    </row>
    <row r="35" spans="1:9" ht="12.75">
      <c r="A35" s="112">
        <v>37895</v>
      </c>
      <c r="B35" s="113">
        <v>275.8</v>
      </c>
      <c r="C35" s="113">
        <v>0</v>
      </c>
      <c r="D35" s="114">
        <v>31</v>
      </c>
      <c r="E35" s="115">
        <v>1</v>
      </c>
      <c r="F35" s="115">
        <v>0</v>
      </c>
      <c r="G35" s="114">
        <v>352</v>
      </c>
      <c r="H35" s="116">
        <f>GDP!F35</f>
        <v>1.0155345573822618</v>
      </c>
      <c r="I35" s="117"/>
    </row>
    <row r="36" spans="1:9" ht="12.75">
      <c r="A36" s="112">
        <v>37926</v>
      </c>
      <c r="B36" s="113">
        <v>398.5</v>
      </c>
      <c r="C36" s="113">
        <v>0</v>
      </c>
      <c r="D36" s="114">
        <v>30</v>
      </c>
      <c r="E36" s="115">
        <v>1</v>
      </c>
      <c r="F36" s="115">
        <v>0</v>
      </c>
      <c r="G36" s="114">
        <v>320</v>
      </c>
      <c r="H36" s="116">
        <f>GDP!F36</f>
        <v>1.0256928943938781</v>
      </c>
      <c r="I36" s="117"/>
    </row>
    <row r="37" spans="1:9" ht="12.75">
      <c r="A37" s="112">
        <v>37956</v>
      </c>
      <c r="B37" s="113">
        <v>561.5</v>
      </c>
      <c r="C37" s="113">
        <v>0</v>
      </c>
      <c r="D37" s="114">
        <v>31</v>
      </c>
      <c r="E37" s="115">
        <v>0</v>
      </c>
      <c r="F37" s="115">
        <v>0</v>
      </c>
      <c r="G37" s="114">
        <v>336</v>
      </c>
      <c r="H37" s="116">
        <f>GDP!F37</f>
        <v>1.004526903066956</v>
      </c>
      <c r="I37" s="117"/>
    </row>
    <row r="38" spans="1:9" ht="12.75">
      <c r="A38" s="112">
        <v>37987</v>
      </c>
      <c r="B38" s="113">
        <v>849.1</v>
      </c>
      <c r="C38" s="113">
        <v>0</v>
      </c>
      <c r="D38" s="114">
        <v>31</v>
      </c>
      <c r="E38" s="115">
        <v>0</v>
      </c>
      <c r="F38" s="115">
        <v>0</v>
      </c>
      <c r="G38" s="114">
        <v>336</v>
      </c>
      <c r="H38" s="116">
        <f>GDP!G26</f>
        <v>1.007342620039286</v>
      </c>
      <c r="I38" s="117"/>
    </row>
    <row r="39" spans="1:9" ht="12.75">
      <c r="A39" s="112">
        <v>38018</v>
      </c>
      <c r="B39" s="113">
        <v>631.7</v>
      </c>
      <c r="C39" s="113">
        <v>0</v>
      </c>
      <c r="D39" s="114">
        <v>29</v>
      </c>
      <c r="E39" s="115">
        <v>0</v>
      </c>
      <c r="F39" s="115">
        <v>0</v>
      </c>
      <c r="G39" s="114">
        <v>320</v>
      </c>
      <c r="H39" s="116">
        <f>GDP!G27</f>
        <v>1.0193146469580425</v>
      </c>
      <c r="I39" s="117"/>
    </row>
    <row r="40" spans="1:9" ht="12.75">
      <c r="A40" s="112">
        <v>38047</v>
      </c>
      <c r="B40" s="113">
        <v>487.3</v>
      </c>
      <c r="C40" s="113">
        <v>0</v>
      </c>
      <c r="D40" s="114">
        <v>31</v>
      </c>
      <c r="E40" s="115">
        <v>1</v>
      </c>
      <c r="F40" s="115">
        <v>0</v>
      </c>
      <c r="G40" s="114">
        <v>368</v>
      </c>
      <c r="H40" s="116">
        <f>GDP!G28</f>
        <v>1.0262033215419084</v>
      </c>
      <c r="I40" s="117"/>
    </row>
    <row r="41" spans="1:9" ht="12.75">
      <c r="A41" s="112">
        <v>38078</v>
      </c>
      <c r="B41" s="113">
        <v>331.5</v>
      </c>
      <c r="C41" s="113">
        <v>0</v>
      </c>
      <c r="D41" s="114">
        <v>30</v>
      </c>
      <c r="E41" s="115">
        <v>1</v>
      </c>
      <c r="F41" s="115">
        <v>0</v>
      </c>
      <c r="G41" s="114">
        <v>336</v>
      </c>
      <c r="H41" s="116">
        <f>GDP!G29</f>
        <v>1.03705199035209</v>
      </c>
      <c r="I41" s="117"/>
    </row>
    <row r="42" spans="1:9" ht="12.75">
      <c r="A42" s="112">
        <v>38108</v>
      </c>
      <c r="B42" s="113">
        <v>158.9</v>
      </c>
      <c r="C42" s="113">
        <v>8.6</v>
      </c>
      <c r="D42" s="114">
        <v>31</v>
      </c>
      <c r="E42" s="115">
        <v>1</v>
      </c>
      <c r="F42" s="115">
        <v>0</v>
      </c>
      <c r="G42" s="114">
        <v>320</v>
      </c>
      <c r="H42" s="116">
        <f>GDP!G30</f>
        <v>1.0337760521807162</v>
      </c>
      <c r="I42" s="117"/>
    </row>
    <row r="43" spans="1:9" ht="12.75">
      <c r="A43" s="112">
        <v>38139</v>
      </c>
      <c r="B43" s="113">
        <v>44.2</v>
      </c>
      <c r="C43" s="113">
        <v>31.6</v>
      </c>
      <c r="D43" s="114">
        <v>30</v>
      </c>
      <c r="E43" s="115">
        <v>0</v>
      </c>
      <c r="F43" s="115">
        <v>0</v>
      </c>
      <c r="G43" s="114">
        <v>352</v>
      </c>
      <c r="H43" s="116">
        <f>GDP!G31</f>
        <v>1.0277325110714577</v>
      </c>
      <c r="I43" s="117"/>
    </row>
    <row r="44" spans="1:9" ht="12.75">
      <c r="A44" s="112">
        <v>38169</v>
      </c>
      <c r="B44" s="113">
        <v>3.6</v>
      </c>
      <c r="C44" s="113">
        <v>85.4</v>
      </c>
      <c r="D44" s="114">
        <v>31</v>
      </c>
      <c r="E44" s="115">
        <v>0</v>
      </c>
      <c r="F44" s="115">
        <v>0</v>
      </c>
      <c r="G44" s="114">
        <v>336</v>
      </c>
      <c r="H44" s="116">
        <f>GDP!G32</f>
        <v>1.032014660137104</v>
      </c>
      <c r="I44" s="117"/>
    </row>
    <row r="45" spans="1:9" ht="12.75">
      <c r="A45" s="112">
        <v>38200</v>
      </c>
      <c r="B45" s="113">
        <v>12.8</v>
      </c>
      <c r="C45" s="113">
        <v>59.6</v>
      </c>
      <c r="D45" s="114">
        <v>31</v>
      </c>
      <c r="E45" s="115">
        <v>0</v>
      </c>
      <c r="F45" s="115">
        <v>0</v>
      </c>
      <c r="G45" s="114">
        <v>336</v>
      </c>
      <c r="H45" s="116">
        <f>GDP!G33</f>
        <v>1.0452648468404768</v>
      </c>
      <c r="I45" s="117"/>
    </row>
    <row r="46" spans="1:9" ht="12.75">
      <c r="A46" s="112">
        <v>38231</v>
      </c>
      <c r="B46" s="113">
        <v>30</v>
      </c>
      <c r="C46" s="113">
        <v>41.2</v>
      </c>
      <c r="D46" s="114">
        <v>30</v>
      </c>
      <c r="E46" s="115">
        <v>1</v>
      </c>
      <c r="F46" s="115">
        <v>0</v>
      </c>
      <c r="G46" s="114">
        <v>336</v>
      </c>
      <c r="H46" s="116">
        <f>GDP!G34</f>
        <v>1.067539552874186</v>
      </c>
      <c r="I46" s="117"/>
    </row>
    <row r="47" spans="1:9" ht="12.75">
      <c r="A47" s="112">
        <v>38261</v>
      </c>
      <c r="B47" s="113">
        <v>226.3</v>
      </c>
      <c r="C47" s="113">
        <v>1.5</v>
      </c>
      <c r="D47" s="114">
        <v>31</v>
      </c>
      <c r="E47" s="115">
        <v>1</v>
      </c>
      <c r="F47" s="115">
        <v>0</v>
      </c>
      <c r="G47" s="114">
        <v>320</v>
      </c>
      <c r="H47" s="116">
        <f>GDP!G35</f>
        <v>1.0536492403212343</v>
      </c>
      <c r="I47" s="117"/>
    </row>
    <row r="48" spans="1:9" ht="12.75">
      <c r="A48" s="112">
        <v>38292</v>
      </c>
      <c r="B48" s="113">
        <v>380.3</v>
      </c>
      <c r="C48" s="113">
        <v>0</v>
      </c>
      <c r="D48" s="114">
        <v>30</v>
      </c>
      <c r="E48" s="115">
        <v>1</v>
      </c>
      <c r="F48" s="115">
        <v>0</v>
      </c>
      <c r="G48" s="114">
        <v>352</v>
      </c>
      <c r="H48" s="116">
        <f>GDP!G36</f>
        <v>1.0641883057793322</v>
      </c>
      <c r="I48" s="117"/>
    </row>
    <row r="49" spans="1:9" ht="12.75">
      <c r="A49" s="112">
        <v>38322</v>
      </c>
      <c r="B49" s="113">
        <v>643.4</v>
      </c>
      <c r="C49" s="113">
        <v>0</v>
      </c>
      <c r="D49" s="114">
        <v>31</v>
      </c>
      <c r="E49" s="115">
        <v>0</v>
      </c>
      <c r="F49" s="115">
        <v>0</v>
      </c>
      <c r="G49" s="114">
        <v>336</v>
      </c>
      <c r="H49" s="116">
        <f>GDP!G37</f>
        <v>1.0422273869267893</v>
      </c>
      <c r="I49" s="117"/>
    </row>
    <row r="50" spans="1:9" ht="12.75">
      <c r="A50" s="112">
        <v>38353</v>
      </c>
      <c r="B50" s="113">
        <v>770</v>
      </c>
      <c r="C50" s="113">
        <v>0</v>
      </c>
      <c r="D50" s="114">
        <v>31</v>
      </c>
      <c r="E50" s="115">
        <v>0</v>
      </c>
      <c r="F50" s="115">
        <v>0</v>
      </c>
      <c r="G50" s="114">
        <v>320</v>
      </c>
      <c r="H50" s="116">
        <f>GDP!H26</f>
        <v>1.0472814524581042</v>
      </c>
      <c r="I50" s="117"/>
    </row>
    <row r="51" spans="1:9" ht="12.75">
      <c r="A51" s="112">
        <v>38384</v>
      </c>
      <c r="B51" s="113">
        <v>616.4</v>
      </c>
      <c r="C51" s="113">
        <v>0</v>
      </c>
      <c r="D51" s="114">
        <v>28</v>
      </c>
      <c r="E51" s="115">
        <v>0</v>
      </c>
      <c r="F51" s="115">
        <v>0</v>
      </c>
      <c r="G51" s="114">
        <v>320</v>
      </c>
      <c r="H51" s="116">
        <f>GDP!H27</f>
        <v>1.0597283439776919</v>
      </c>
      <c r="I51" s="117"/>
    </row>
    <row r="52" spans="1:9" ht="12.75">
      <c r="A52" s="112">
        <v>38412</v>
      </c>
      <c r="B52" s="113">
        <v>608.6</v>
      </c>
      <c r="C52" s="113">
        <v>0</v>
      </c>
      <c r="D52" s="114">
        <v>31</v>
      </c>
      <c r="E52" s="115">
        <v>1</v>
      </c>
      <c r="F52" s="115">
        <v>0</v>
      </c>
      <c r="G52" s="114">
        <v>352</v>
      </c>
      <c r="H52" s="116">
        <f>GDP!H28</f>
        <v>1.0668910593664427</v>
      </c>
      <c r="I52" s="117"/>
    </row>
    <row r="53" spans="1:9" ht="12.75">
      <c r="A53" s="112">
        <v>38443</v>
      </c>
      <c r="B53" s="113">
        <v>306.8</v>
      </c>
      <c r="C53" s="113">
        <v>0</v>
      </c>
      <c r="D53" s="114">
        <v>30</v>
      </c>
      <c r="E53" s="115">
        <v>1</v>
      </c>
      <c r="F53" s="115">
        <v>0</v>
      </c>
      <c r="G53" s="114">
        <v>336</v>
      </c>
      <c r="H53" s="116">
        <f>GDP!H29</f>
        <v>1.0672362252657255</v>
      </c>
      <c r="I53" s="117"/>
    </row>
    <row r="54" spans="1:9" ht="12.75">
      <c r="A54" s="112">
        <v>38473</v>
      </c>
      <c r="B54" s="113">
        <v>189.4</v>
      </c>
      <c r="C54" s="113">
        <v>0.8</v>
      </c>
      <c r="D54" s="114">
        <v>31</v>
      </c>
      <c r="E54" s="115">
        <v>1</v>
      </c>
      <c r="F54" s="115">
        <v>0</v>
      </c>
      <c r="G54" s="114">
        <v>336</v>
      </c>
      <c r="H54" s="116">
        <f>GDP!H30</f>
        <v>1.0638661509400018</v>
      </c>
      <c r="I54" s="117"/>
    </row>
    <row r="55" spans="1:9" ht="12.75">
      <c r="A55" s="112">
        <v>38504</v>
      </c>
      <c r="B55" s="113">
        <v>8.9</v>
      </c>
      <c r="C55" s="113">
        <v>146.3</v>
      </c>
      <c r="D55" s="114">
        <v>30</v>
      </c>
      <c r="E55" s="115">
        <v>0</v>
      </c>
      <c r="F55" s="115">
        <v>0</v>
      </c>
      <c r="G55" s="114">
        <v>352</v>
      </c>
      <c r="H55" s="116">
        <f>GDP!H31</f>
        <v>1.0576468890092903</v>
      </c>
      <c r="I55" s="117"/>
    </row>
    <row r="56" spans="1:9" ht="12.75">
      <c r="A56" s="112">
        <v>38534</v>
      </c>
      <c r="B56" s="113">
        <v>0</v>
      </c>
      <c r="C56" s="113">
        <v>188.7</v>
      </c>
      <c r="D56" s="114">
        <v>31</v>
      </c>
      <c r="E56" s="115">
        <v>0</v>
      </c>
      <c r="F56" s="115">
        <v>0</v>
      </c>
      <c r="G56" s="114">
        <v>320</v>
      </c>
      <c r="H56" s="116">
        <f>GDP!H32</f>
        <v>1.0541743108710524</v>
      </c>
      <c r="I56" s="117"/>
    </row>
    <row r="57" spans="1:9" ht="12.75">
      <c r="A57" s="112">
        <v>38565</v>
      </c>
      <c r="B57" s="113">
        <v>0.2</v>
      </c>
      <c r="C57" s="113">
        <v>140.7</v>
      </c>
      <c r="D57" s="114">
        <v>31</v>
      </c>
      <c r="E57" s="115">
        <v>0</v>
      </c>
      <c r="F57" s="115">
        <v>0</v>
      </c>
      <c r="G57" s="114">
        <v>352</v>
      </c>
      <c r="H57" s="116">
        <f>GDP!H33</f>
        <v>1.0677069060374746</v>
      </c>
      <c r="I57" s="117"/>
    </row>
    <row r="58" spans="1:9" ht="12.75">
      <c r="A58" s="112">
        <v>38596</v>
      </c>
      <c r="B58" s="113">
        <v>22.6</v>
      </c>
      <c r="C58" s="113">
        <v>50.6</v>
      </c>
      <c r="D58" s="114">
        <v>30</v>
      </c>
      <c r="E58" s="115">
        <v>1</v>
      </c>
      <c r="F58" s="115">
        <v>0</v>
      </c>
      <c r="G58" s="114">
        <v>336</v>
      </c>
      <c r="H58" s="116">
        <f>GDP!H34</f>
        <v>1.0904606605010971</v>
      </c>
      <c r="I58" s="117"/>
    </row>
    <row r="59" spans="1:9" ht="12.75">
      <c r="A59" s="112">
        <v>38626</v>
      </c>
      <c r="B59" s="113">
        <v>220.2</v>
      </c>
      <c r="C59" s="113">
        <v>8</v>
      </c>
      <c r="D59" s="114">
        <v>31</v>
      </c>
      <c r="E59" s="115">
        <v>1</v>
      </c>
      <c r="F59" s="115">
        <v>0</v>
      </c>
      <c r="G59" s="114">
        <v>320</v>
      </c>
      <c r="H59" s="116">
        <f>GDP!H35</f>
        <v>1.0813817513926922</v>
      </c>
      <c r="I59" s="117"/>
    </row>
    <row r="60" spans="1:9" ht="12.75">
      <c r="A60" s="112">
        <v>38657</v>
      </c>
      <c r="B60" s="113">
        <v>388.4</v>
      </c>
      <c r="C60" s="113">
        <v>0</v>
      </c>
      <c r="D60" s="114">
        <v>30</v>
      </c>
      <c r="E60" s="115">
        <v>1</v>
      </c>
      <c r="F60" s="115">
        <v>0</v>
      </c>
      <c r="G60" s="114">
        <v>352</v>
      </c>
      <c r="H60" s="116">
        <f>GDP!H36</f>
        <v>1.0921990414847573</v>
      </c>
      <c r="I60" s="117"/>
    </row>
    <row r="61" spans="1:9" ht="12.75">
      <c r="A61" s="112">
        <v>38687</v>
      </c>
      <c r="B61" s="113">
        <v>665.3</v>
      </c>
      <c r="C61" s="113">
        <v>0</v>
      </c>
      <c r="D61" s="114">
        <v>31</v>
      </c>
      <c r="E61" s="115">
        <v>0</v>
      </c>
      <c r="F61" s="115">
        <v>0</v>
      </c>
      <c r="G61" s="114">
        <v>320</v>
      </c>
      <c r="H61" s="116">
        <f>GDP!H37</f>
        <v>1.0696607542188687</v>
      </c>
      <c r="I61" s="117"/>
    </row>
    <row r="62" spans="1:9" ht="12.75">
      <c r="A62" s="112">
        <v>38718</v>
      </c>
      <c r="B62" s="113">
        <v>551.8</v>
      </c>
      <c r="C62" s="113">
        <v>0</v>
      </c>
      <c r="D62" s="114">
        <v>31</v>
      </c>
      <c r="E62" s="115">
        <v>0</v>
      </c>
      <c r="F62" s="115">
        <v>0</v>
      </c>
      <c r="G62" s="114">
        <v>336</v>
      </c>
      <c r="H62" s="116">
        <f>GDP!I26</f>
        <v>1.079722863161594</v>
      </c>
      <c r="I62" s="117"/>
    </row>
    <row r="63" spans="1:9" ht="12.75">
      <c r="A63" s="112">
        <v>38749</v>
      </c>
      <c r="B63" s="113">
        <v>604.2</v>
      </c>
      <c r="C63" s="113">
        <v>0</v>
      </c>
      <c r="D63" s="114">
        <v>28</v>
      </c>
      <c r="E63" s="115">
        <v>0</v>
      </c>
      <c r="F63" s="115">
        <v>0</v>
      </c>
      <c r="G63" s="114">
        <v>320</v>
      </c>
      <c r="H63" s="116">
        <f>GDP!I27</f>
        <v>1.0925546669567454</v>
      </c>
      <c r="I63" s="117"/>
    </row>
    <row r="64" spans="1:9" ht="12.75">
      <c r="A64" s="112">
        <v>38777</v>
      </c>
      <c r="B64" s="113">
        <v>516.6</v>
      </c>
      <c r="C64" s="113">
        <v>0</v>
      </c>
      <c r="D64" s="114">
        <v>31</v>
      </c>
      <c r="E64" s="115">
        <v>1</v>
      </c>
      <c r="F64" s="115">
        <v>0</v>
      </c>
      <c r="G64" s="114">
        <v>368</v>
      </c>
      <c r="H64" s="116">
        <f>GDP!I28</f>
        <v>1.0999391252868538</v>
      </c>
      <c r="I64" s="117"/>
    </row>
    <row r="65" spans="1:9" ht="12.75">
      <c r="A65" s="112">
        <v>38808</v>
      </c>
      <c r="B65" s="113">
        <v>293.3</v>
      </c>
      <c r="C65" s="113">
        <v>0</v>
      </c>
      <c r="D65" s="114">
        <v>30</v>
      </c>
      <c r="E65" s="115">
        <v>1</v>
      </c>
      <c r="F65" s="115">
        <v>0</v>
      </c>
      <c r="G65" s="114">
        <v>304</v>
      </c>
      <c r="H65" s="116">
        <f>GDP!I29</f>
        <v>1.099844989132504</v>
      </c>
      <c r="I65" s="117"/>
    </row>
    <row r="66" spans="1:9" ht="12.75">
      <c r="A66" s="112">
        <v>38838</v>
      </c>
      <c r="B66" s="113">
        <v>136.9</v>
      </c>
      <c r="C66" s="113">
        <v>26</v>
      </c>
      <c r="D66" s="114">
        <v>31</v>
      </c>
      <c r="E66" s="115">
        <v>1</v>
      </c>
      <c r="F66" s="115">
        <v>0</v>
      </c>
      <c r="G66" s="114">
        <v>352</v>
      </c>
      <c r="H66" s="116">
        <f>GDP!I30</f>
        <v>1.096372410994266</v>
      </c>
      <c r="I66" s="117"/>
    </row>
    <row r="67" spans="1:9" ht="12.75">
      <c r="A67" s="112">
        <v>38869</v>
      </c>
      <c r="B67" s="113">
        <v>19.5</v>
      </c>
      <c r="C67" s="113">
        <v>72.6</v>
      </c>
      <c r="D67" s="114">
        <v>30</v>
      </c>
      <c r="E67" s="115">
        <v>0</v>
      </c>
      <c r="F67" s="115">
        <v>0</v>
      </c>
      <c r="G67" s="114">
        <v>352</v>
      </c>
      <c r="H67" s="116">
        <f>GDP!I31</f>
        <v>1.0899627848403137</v>
      </c>
      <c r="I67" s="117"/>
    </row>
    <row r="68" spans="1:9" ht="12.75">
      <c r="A68" s="112">
        <v>38899</v>
      </c>
      <c r="B68" s="113">
        <v>0</v>
      </c>
      <c r="C68" s="113">
        <v>167.3</v>
      </c>
      <c r="D68" s="114">
        <v>31</v>
      </c>
      <c r="E68" s="115">
        <v>0</v>
      </c>
      <c r="F68" s="115">
        <v>0</v>
      </c>
      <c r="G68" s="114">
        <v>320</v>
      </c>
      <c r="H68" s="116">
        <f>GDP!I32</f>
        <v>1.0781309161958115</v>
      </c>
      <c r="I68" s="117"/>
    </row>
    <row r="69" spans="1:9" ht="12.75">
      <c r="A69" s="112">
        <v>38930</v>
      </c>
      <c r="B69" s="113">
        <v>4.2</v>
      </c>
      <c r="C69" s="113">
        <v>101.5</v>
      </c>
      <c r="D69" s="114">
        <v>31</v>
      </c>
      <c r="E69" s="115">
        <v>0</v>
      </c>
      <c r="F69" s="115">
        <v>0</v>
      </c>
      <c r="G69" s="114">
        <v>352</v>
      </c>
      <c r="H69" s="116">
        <f>GDP!I33</f>
        <v>1.0919731147143177</v>
      </c>
      <c r="I69" s="117"/>
    </row>
    <row r="70" spans="1:9" ht="12.75">
      <c r="A70" s="112">
        <v>38961</v>
      </c>
      <c r="B70" s="113">
        <v>80.9</v>
      </c>
      <c r="C70" s="113">
        <v>12.9</v>
      </c>
      <c r="D70" s="114">
        <v>30</v>
      </c>
      <c r="E70" s="115">
        <v>1</v>
      </c>
      <c r="F70" s="115">
        <v>0</v>
      </c>
      <c r="G70" s="114">
        <v>320</v>
      </c>
      <c r="H70" s="116">
        <f>GDP!I34</f>
        <v>1.1152414801550528</v>
      </c>
      <c r="I70" s="117"/>
    </row>
    <row r="71" spans="1:9" ht="12.75">
      <c r="A71" s="112">
        <v>38991</v>
      </c>
      <c r="B71" s="113">
        <v>288.3</v>
      </c>
      <c r="C71" s="113">
        <v>1.1</v>
      </c>
      <c r="D71" s="114">
        <v>31</v>
      </c>
      <c r="E71" s="115">
        <v>1</v>
      </c>
      <c r="F71" s="115">
        <v>0</v>
      </c>
      <c r="G71" s="114">
        <v>336</v>
      </c>
      <c r="H71" s="116">
        <f>GDP!I35</f>
        <v>1.1045936351408172</v>
      </c>
      <c r="I71" s="117"/>
    </row>
    <row r="72" spans="1:9" ht="12.75">
      <c r="A72" s="112">
        <v>39022</v>
      </c>
      <c r="B72" s="113">
        <v>382</v>
      </c>
      <c r="C72" s="113">
        <v>0</v>
      </c>
      <c r="D72" s="114">
        <v>30</v>
      </c>
      <c r="E72" s="115">
        <v>1</v>
      </c>
      <c r="F72" s="115">
        <v>0</v>
      </c>
      <c r="G72" s="114">
        <v>352</v>
      </c>
      <c r="H72" s="116">
        <f>GDP!I36</f>
        <v>1.1156431277469452</v>
      </c>
      <c r="I72" s="117"/>
    </row>
    <row r="73" spans="1:9" ht="12.75">
      <c r="A73" s="112">
        <v>39052</v>
      </c>
      <c r="B73" s="113">
        <v>500.5</v>
      </c>
      <c r="C73" s="113">
        <v>0</v>
      </c>
      <c r="D73" s="114">
        <v>31</v>
      </c>
      <c r="E73" s="115">
        <v>0</v>
      </c>
      <c r="F73" s="115">
        <v>0</v>
      </c>
      <c r="G73" s="114">
        <v>304</v>
      </c>
      <c r="H73" s="116">
        <f>GDP!I37</f>
        <v>1.092621608222061</v>
      </c>
      <c r="I73" s="117"/>
    </row>
    <row r="74" spans="1:9" ht="12.75">
      <c r="A74" s="112">
        <v>39083</v>
      </c>
      <c r="B74" s="113">
        <v>649.6</v>
      </c>
      <c r="C74" s="113">
        <v>0</v>
      </c>
      <c r="D74" s="114">
        <v>31</v>
      </c>
      <c r="E74" s="115">
        <v>0</v>
      </c>
      <c r="F74" s="115">
        <v>0</v>
      </c>
      <c r="G74" s="114">
        <v>352</v>
      </c>
      <c r="H74" s="116">
        <f>GDP!J26</f>
        <v>1.10252054783058</v>
      </c>
      <c r="I74" s="117"/>
    </row>
    <row r="75" spans="1:9" ht="12.75">
      <c r="A75" s="112">
        <v>39114</v>
      </c>
      <c r="B75" s="113">
        <v>740.1</v>
      </c>
      <c r="C75" s="113">
        <v>0</v>
      </c>
      <c r="D75" s="114">
        <v>28</v>
      </c>
      <c r="E75" s="115">
        <v>0</v>
      </c>
      <c r="F75" s="115">
        <v>0</v>
      </c>
      <c r="G75" s="114">
        <v>320</v>
      </c>
      <c r="H75" s="116">
        <f>GDP!J27</f>
        <v>1.1156243005160753</v>
      </c>
      <c r="I75" s="117"/>
    </row>
    <row r="76" spans="1:9" ht="12.75">
      <c r="A76" s="112">
        <v>39142</v>
      </c>
      <c r="B76" s="113">
        <v>546.7</v>
      </c>
      <c r="C76" s="113">
        <v>0</v>
      </c>
      <c r="D76" s="114">
        <v>31</v>
      </c>
      <c r="E76" s="115">
        <v>1</v>
      </c>
      <c r="F76" s="115">
        <v>0</v>
      </c>
      <c r="G76" s="114">
        <v>352</v>
      </c>
      <c r="H76" s="116">
        <f>GDP!J28</f>
        <v>1.1231614686076845</v>
      </c>
      <c r="I76" s="117"/>
    </row>
    <row r="77" spans="1:9" ht="12.75">
      <c r="A77" s="112">
        <v>39173</v>
      </c>
      <c r="B77" s="113">
        <v>356.4</v>
      </c>
      <c r="C77" s="113">
        <v>0</v>
      </c>
      <c r="D77" s="114">
        <v>30</v>
      </c>
      <c r="E77" s="115">
        <v>1</v>
      </c>
      <c r="F77" s="115">
        <v>0</v>
      </c>
      <c r="G77" s="114">
        <v>320</v>
      </c>
      <c r="H77" s="116">
        <f>GDP!J29</f>
        <v>1.1273327462026521</v>
      </c>
      <c r="I77" s="117"/>
    </row>
    <row r="78" spans="1:9" ht="12.75">
      <c r="A78" s="112">
        <v>39203</v>
      </c>
      <c r="B78" s="113">
        <v>136.4</v>
      </c>
      <c r="C78" s="113">
        <v>22.4</v>
      </c>
      <c r="D78" s="114">
        <v>31</v>
      </c>
      <c r="E78" s="115">
        <v>1</v>
      </c>
      <c r="F78" s="115">
        <v>0</v>
      </c>
      <c r="G78" s="114">
        <v>352</v>
      </c>
      <c r="H78" s="116">
        <f>GDP!J30</f>
        <v>1.1237723076536876</v>
      </c>
      <c r="I78" s="117"/>
    </row>
    <row r="79" spans="1:9" ht="12.75">
      <c r="A79" s="112">
        <v>39234</v>
      </c>
      <c r="B79" s="113">
        <v>16.5</v>
      </c>
      <c r="C79" s="113">
        <v>99.2</v>
      </c>
      <c r="D79" s="114">
        <v>30</v>
      </c>
      <c r="E79" s="115">
        <v>0</v>
      </c>
      <c r="F79" s="115">
        <v>0</v>
      </c>
      <c r="G79" s="114">
        <v>336</v>
      </c>
      <c r="H79" s="116">
        <f>GDP!J31</f>
        <v>1.11720160408007</v>
      </c>
      <c r="I79" s="117"/>
    </row>
    <row r="80" spans="1:9" ht="12.75">
      <c r="A80" s="112">
        <v>39264</v>
      </c>
      <c r="B80" s="113">
        <v>3.2</v>
      </c>
      <c r="C80" s="113">
        <v>106.1</v>
      </c>
      <c r="D80" s="114">
        <v>31</v>
      </c>
      <c r="E80" s="115">
        <v>0</v>
      </c>
      <c r="F80" s="115">
        <v>0</v>
      </c>
      <c r="G80" s="114">
        <v>336</v>
      </c>
      <c r="H80" s="116">
        <f>GDP!J32</f>
        <v>1.1076896686616557</v>
      </c>
      <c r="I80" s="117"/>
    </row>
    <row r="81" spans="1:9" ht="12.75">
      <c r="A81" s="112">
        <v>39295</v>
      </c>
      <c r="B81" s="113">
        <v>5.2</v>
      </c>
      <c r="C81" s="113">
        <v>141</v>
      </c>
      <c r="D81" s="114">
        <v>31</v>
      </c>
      <c r="E81" s="115">
        <v>0</v>
      </c>
      <c r="F81" s="115">
        <v>0</v>
      </c>
      <c r="G81" s="114">
        <v>352</v>
      </c>
      <c r="H81" s="116">
        <f>GDP!J33</f>
        <v>1.1219084117975613</v>
      </c>
      <c r="I81" s="117"/>
    </row>
    <row r="82" spans="1:9" ht="12.75">
      <c r="A82" s="112">
        <v>39326</v>
      </c>
      <c r="B82" s="113">
        <v>36.7</v>
      </c>
      <c r="C82" s="113">
        <v>47.5</v>
      </c>
      <c r="D82" s="114">
        <v>30</v>
      </c>
      <c r="E82" s="115">
        <v>1</v>
      </c>
      <c r="F82" s="115">
        <v>0</v>
      </c>
      <c r="G82" s="114">
        <v>304</v>
      </c>
      <c r="H82" s="116">
        <f>GDP!J34</f>
        <v>1.145816903087875</v>
      </c>
      <c r="I82" s="117"/>
    </row>
    <row r="83" spans="1:9" ht="12.75">
      <c r="A83" s="112">
        <v>39356</v>
      </c>
      <c r="B83" s="113">
        <v>137.6</v>
      </c>
      <c r="C83" s="113">
        <v>19.8</v>
      </c>
      <c r="D83" s="114">
        <v>31</v>
      </c>
      <c r="E83" s="115">
        <v>1</v>
      </c>
      <c r="F83" s="115">
        <v>0</v>
      </c>
      <c r="G83" s="114">
        <v>352</v>
      </c>
      <c r="H83" s="116">
        <f>GDP!J35</f>
        <v>1.126550370164278</v>
      </c>
      <c r="I83" s="117"/>
    </row>
    <row r="84" spans="1:9" ht="12.75">
      <c r="A84" s="112">
        <v>39387</v>
      </c>
      <c r="B84" s="113">
        <v>462.5</v>
      </c>
      <c r="C84" s="113">
        <v>0</v>
      </c>
      <c r="D84" s="114">
        <v>30</v>
      </c>
      <c r="E84" s="115">
        <v>1</v>
      </c>
      <c r="F84" s="115">
        <v>0</v>
      </c>
      <c r="G84" s="114">
        <v>352</v>
      </c>
      <c r="H84" s="116">
        <f>GDP!J36</f>
        <v>1.1378195137972225</v>
      </c>
      <c r="I84" s="117"/>
    </row>
    <row r="85" spans="1:9" ht="12.75">
      <c r="A85" s="112">
        <v>39417</v>
      </c>
      <c r="B85" s="113">
        <v>630.7</v>
      </c>
      <c r="C85" s="113">
        <v>0</v>
      </c>
      <c r="D85" s="114">
        <v>31</v>
      </c>
      <c r="E85" s="115">
        <v>0</v>
      </c>
      <c r="F85" s="115">
        <v>0</v>
      </c>
      <c r="G85" s="114">
        <v>304</v>
      </c>
      <c r="H85" s="116">
        <f>GDP!J37</f>
        <v>1.1143398649878355</v>
      </c>
      <c r="I85" s="117"/>
    </row>
    <row r="86" spans="1:9" ht="12.75">
      <c r="A86" s="112">
        <v>39448</v>
      </c>
      <c r="B86" s="113">
        <v>626</v>
      </c>
      <c r="C86" s="113">
        <v>0</v>
      </c>
      <c r="D86" s="114">
        <v>31</v>
      </c>
      <c r="E86" s="115">
        <v>0</v>
      </c>
      <c r="F86" s="115">
        <v>0</v>
      </c>
      <c r="G86" s="91">
        <v>352</v>
      </c>
      <c r="H86" s="116">
        <f>GDP!K26</f>
        <v>1.109135181609561</v>
      </c>
      <c r="I86" s="117"/>
    </row>
    <row r="87" spans="1:9" ht="12.75">
      <c r="A87" s="112">
        <v>39479</v>
      </c>
      <c r="B87" s="113">
        <v>674.7</v>
      </c>
      <c r="C87" s="113">
        <v>0</v>
      </c>
      <c r="D87" s="114">
        <v>29</v>
      </c>
      <c r="E87" s="115">
        <v>0</v>
      </c>
      <c r="F87" s="115">
        <v>0</v>
      </c>
      <c r="G87" s="91">
        <v>320</v>
      </c>
      <c r="H87" s="116">
        <f>GDP!K27</f>
        <v>1.1223184270476183</v>
      </c>
      <c r="I87" s="117"/>
    </row>
    <row r="88" spans="1:9" ht="12.75">
      <c r="A88" s="112">
        <v>39508</v>
      </c>
      <c r="B88" s="113">
        <v>610.2</v>
      </c>
      <c r="C88" s="113">
        <v>0</v>
      </c>
      <c r="D88" s="114">
        <v>31</v>
      </c>
      <c r="E88" s="115">
        <v>1</v>
      </c>
      <c r="F88" s="115">
        <v>0</v>
      </c>
      <c r="G88" s="91">
        <v>304</v>
      </c>
      <c r="H88" s="116">
        <f>GDP!K28</f>
        <v>1.1299016172591316</v>
      </c>
      <c r="I88" s="117"/>
    </row>
    <row r="89" spans="1:9" ht="12.75">
      <c r="A89" s="112">
        <v>39539</v>
      </c>
      <c r="B89" s="113">
        <v>253.9</v>
      </c>
      <c r="C89" s="113">
        <v>0</v>
      </c>
      <c r="D89" s="114">
        <v>30</v>
      </c>
      <c r="E89" s="115">
        <v>1</v>
      </c>
      <c r="F89" s="115">
        <v>0</v>
      </c>
      <c r="G89" s="91">
        <v>352</v>
      </c>
      <c r="H89" s="116">
        <f>GDP!K29</f>
        <v>1.1265733812242302</v>
      </c>
      <c r="I89" s="117"/>
    </row>
    <row r="90" spans="1:9" ht="12.75">
      <c r="A90" s="112">
        <v>39569</v>
      </c>
      <c r="B90" s="113">
        <v>193.5</v>
      </c>
      <c r="C90" s="113">
        <v>2.5</v>
      </c>
      <c r="D90" s="114">
        <v>31</v>
      </c>
      <c r="E90" s="115">
        <v>1</v>
      </c>
      <c r="F90" s="115">
        <v>0</v>
      </c>
      <c r="G90" s="91">
        <v>336</v>
      </c>
      <c r="H90" s="116">
        <f>GDP!K30</f>
        <v>1.123015034589807</v>
      </c>
      <c r="I90" s="117"/>
    </row>
    <row r="91" spans="1:9" ht="12.75">
      <c r="A91" s="112">
        <v>39600</v>
      </c>
      <c r="B91" s="113">
        <v>22.7</v>
      </c>
      <c r="C91" s="113">
        <v>71.5</v>
      </c>
      <c r="D91" s="114">
        <v>30</v>
      </c>
      <c r="E91" s="115">
        <v>0</v>
      </c>
      <c r="F91" s="115">
        <v>0</v>
      </c>
      <c r="G91" s="91">
        <v>336</v>
      </c>
      <c r="H91" s="116">
        <f>GDP!K31</f>
        <v>1.1164506067598126</v>
      </c>
      <c r="I91" s="117"/>
    </row>
    <row r="92" spans="1:9" ht="12.75">
      <c r="A92" s="112">
        <v>39630</v>
      </c>
      <c r="B92" s="113">
        <v>1</v>
      </c>
      <c r="C92" s="113">
        <v>111</v>
      </c>
      <c r="D92" s="114">
        <v>31</v>
      </c>
      <c r="E92" s="115">
        <v>0</v>
      </c>
      <c r="F92" s="115">
        <v>0</v>
      </c>
      <c r="G92" s="91">
        <v>352</v>
      </c>
      <c r="H92" s="116">
        <f>GDP!K32</f>
        <v>1.104627105773475</v>
      </c>
      <c r="I92" s="117"/>
    </row>
    <row r="93" spans="1:9" ht="12.75">
      <c r="A93" s="112">
        <v>39661</v>
      </c>
      <c r="B93" s="113">
        <v>12.7</v>
      </c>
      <c r="C93" s="113">
        <v>64</v>
      </c>
      <c r="D93" s="114">
        <v>31</v>
      </c>
      <c r="E93" s="115">
        <v>0</v>
      </c>
      <c r="F93" s="115">
        <v>0</v>
      </c>
      <c r="G93" s="91">
        <v>320</v>
      </c>
      <c r="H93" s="116">
        <f>GDP!K33</f>
        <v>1.1188081944476405</v>
      </c>
      <c r="I93" s="117"/>
    </row>
    <row r="94" spans="1:9" ht="12.75">
      <c r="A94" s="112">
        <v>39692</v>
      </c>
      <c r="B94" s="113">
        <v>59.5</v>
      </c>
      <c r="C94" s="113">
        <v>26.7</v>
      </c>
      <c r="D94" s="114">
        <v>30</v>
      </c>
      <c r="E94" s="115">
        <v>1</v>
      </c>
      <c r="F94" s="115">
        <v>0</v>
      </c>
      <c r="G94" s="91">
        <v>336</v>
      </c>
      <c r="H94" s="116">
        <f>GDP!K34</f>
        <v>1.142649744472639</v>
      </c>
      <c r="I94" s="117"/>
    </row>
    <row r="95" spans="1:9" ht="12.75">
      <c r="A95" s="112">
        <v>39722</v>
      </c>
      <c r="B95" s="113">
        <v>278.6</v>
      </c>
      <c r="C95" s="113">
        <v>0</v>
      </c>
      <c r="D95" s="114">
        <v>31</v>
      </c>
      <c r="E95" s="115">
        <v>1</v>
      </c>
      <c r="F95" s="115">
        <v>0</v>
      </c>
      <c r="G95" s="91">
        <v>352</v>
      </c>
      <c r="H95" s="116">
        <f>GDP!K35</f>
        <v>1.106152111473942</v>
      </c>
      <c r="I95" s="117"/>
    </row>
    <row r="96" spans="1:9" ht="12.75">
      <c r="A96" s="112">
        <v>39753</v>
      </c>
      <c r="B96" s="113">
        <v>451.6</v>
      </c>
      <c r="C96" s="113">
        <v>0</v>
      </c>
      <c r="D96" s="114">
        <v>30</v>
      </c>
      <c r="E96" s="115">
        <v>1</v>
      </c>
      <c r="F96" s="115">
        <v>0</v>
      </c>
      <c r="G96" s="91">
        <v>304</v>
      </c>
      <c r="H96" s="116">
        <f>GDP!K36</f>
        <v>1.1172162474818579</v>
      </c>
      <c r="I96" s="117"/>
    </row>
    <row r="97" spans="1:9" ht="12.75">
      <c r="A97" s="112">
        <v>39783</v>
      </c>
      <c r="B97" s="113">
        <v>654.6</v>
      </c>
      <c r="C97" s="113">
        <v>0</v>
      </c>
      <c r="D97" s="114">
        <v>31</v>
      </c>
      <c r="E97" s="115">
        <v>0</v>
      </c>
      <c r="F97" s="115">
        <v>0</v>
      </c>
      <c r="G97" s="91">
        <v>336</v>
      </c>
      <c r="H97" s="116">
        <f>GDP!K37</f>
        <v>1.0941612573243158</v>
      </c>
      <c r="I97" s="117"/>
    </row>
    <row r="98" spans="1:9" ht="12.75">
      <c r="A98" s="112">
        <v>39814</v>
      </c>
      <c r="B98" s="113">
        <v>830.2</v>
      </c>
      <c r="C98" s="113">
        <v>0</v>
      </c>
      <c r="D98" s="114">
        <v>31</v>
      </c>
      <c r="E98" s="115">
        <v>0</v>
      </c>
      <c r="F98" s="115">
        <v>0</v>
      </c>
      <c r="G98" s="91">
        <v>336</v>
      </c>
      <c r="H98" s="116">
        <f>GDP!L26</f>
        <v>1.0849233627107866</v>
      </c>
      <c r="I98" s="117"/>
    </row>
    <row r="99" spans="1:9" ht="12.75">
      <c r="A99" s="112">
        <v>39845</v>
      </c>
      <c r="B99" s="113">
        <v>606.4</v>
      </c>
      <c r="C99" s="113">
        <v>0</v>
      </c>
      <c r="D99" s="114">
        <v>28</v>
      </c>
      <c r="E99" s="115">
        <v>0</v>
      </c>
      <c r="F99" s="115">
        <v>0</v>
      </c>
      <c r="G99" s="91">
        <v>304</v>
      </c>
      <c r="H99" s="116">
        <f>GDP!L27</f>
        <v>1.097817923942171</v>
      </c>
      <c r="I99" s="117"/>
    </row>
    <row r="100" spans="1:9" ht="12.75">
      <c r="A100" s="112">
        <v>39873</v>
      </c>
      <c r="B100" s="113">
        <v>515.6</v>
      </c>
      <c r="C100" s="113">
        <v>0</v>
      </c>
      <c r="D100" s="114">
        <v>31</v>
      </c>
      <c r="E100" s="115">
        <v>1</v>
      </c>
      <c r="F100" s="115">
        <v>0</v>
      </c>
      <c r="G100" s="91">
        <v>352</v>
      </c>
      <c r="H100" s="116">
        <f>GDP!L28</f>
        <v>1.105235852904937</v>
      </c>
      <c r="I100" s="117"/>
    </row>
    <row r="101" spans="1:9" ht="12.75">
      <c r="A101" s="112">
        <v>39904</v>
      </c>
      <c r="B101" s="113">
        <v>295.9</v>
      </c>
      <c r="C101" s="113">
        <v>1.2</v>
      </c>
      <c r="D101" s="114">
        <v>30</v>
      </c>
      <c r="E101" s="115">
        <v>1</v>
      </c>
      <c r="F101" s="115">
        <v>0</v>
      </c>
      <c r="G101" s="91">
        <v>320</v>
      </c>
      <c r="H101" s="116">
        <f>GDP!L29</f>
        <v>1.091194922505026</v>
      </c>
      <c r="I101" s="117"/>
    </row>
    <row r="102" spans="1:9" ht="12.75">
      <c r="A102" s="112">
        <v>39934</v>
      </c>
      <c r="B102" s="113">
        <v>158.8</v>
      </c>
      <c r="C102" s="113">
        <v>6.9</v>
      </c>
      <c r="D102" s="114">
        <v>31</v>
      </c>
      <c r="E102" s="115">
        <v>1</v>
      </c>
      <c r="F102" s="115">
        <v>0</v>
      </c>
      <c r="G102" s="91">
        <v>320</v>
      </c>
      <c r="H102" s="116">
        <f>GDP!L30</f>
        <v>1.0877495392558223</v>
      </c>
      <c r="I102" s="117"/>
    </row>
    <row r="103" spans="1:9" ht="12.75">
      <c r="A103" s="112">
        <v>39965</v>
      </c>
      <c r="B103" s="113">
        <v>49.3</v>
      </c>
      <c r="C103" s="113">
        <v>34.2</v>
      </c>
      <c r="D103" s="114">
        <v>30</v>
      </c>
      <c r="E103" s="115">
        <v>0</v>
      </c>
      <c r="F103" s="115">
        <v>0</v>
      </c>
      <c r="G103" s="91">
        <v>352</v>
      </c>
      <c r="H103" s="116">
        <f>GDP!L31</f>
        <v>1.0813901190508566</v>
      </c>
      <c r="I103" s="117"/>
    </row>
    <row r="104" spans="1:9" ht="12.75">
      <c r="A104" s="112">
        <v>39995</v>
      </c>
      <c r="B104" s="113">
        <v>6.2</v>
      </c>
      <c r="C104" s="113">
        <v>43.7</v>
      </c>
      <c r="D104" s="114">
        <v>31</v>
      </c>
      <c r="E104" s="115">
        <v>0</v>
      </c>
      <c r="F104" s="115">
        <v>0</v>
      </c>
      <c r="G104" s="91">
        <v>352</v>
      </c>
      <c r="H104" s="116">
        <f>GDP!L32</f>
        <v>1.070936822088944</v>
      </c>
      <c r="I104" s="117"/>
    </row>
    <row r="105" spans="1:9" ht="12.75">
      <c r="A105" s="112">
        <v>40026</v>
      </c>
      <c r="B105" s="113">
        <v>9.8</v>
      </c>
      <c r="C105" s="113">
        <v>91</v>
      </c>
      <c r="D105" s="114">
        <v>31</v>
      </c>
      <c r="E105" s="115">
        <v>0</v>
      </c>
      <c r="F105" s="115">
        <v>0</v>
      </c>
      <c r="G105" s="91">
        <v>320</v>
      </c>
      <c r="H105" s="116">
        <f>GDP!L33</f>
        <v>1.0846848844531003</v>
      </c>
      <c r="I105" s="117"/>
    </row>
    <row r="106" spans="1:9" ht="12.75">
      <c r="A106" s="112">
        <v>40057</v>
      </c>
      <c r="B106" s="113">
        <v>55.2</v>
      </c>
      <c r="C106" s="113">
        <v>20.9</v>
      </c>
      <c r="D106" s="114">
        <v>30</v>
      </c>
      <c r="E106" s="115">
        <v>1</v>
      </c>
      <c r="F106" s="115">
        <v>0</v>
      </c>
      <c r="G106" s="91">
        <v>336</v>
      </c>
      <c r="H106" s="116">
        <f>GDP!L34</f>
        <v>1.1078005401323345</v>
      </c>
      <c r="I106" s="117"/>
    </row>
    <row r="107" spans="1:9" ht="12.75">
      <c r="A107" s="112">
        <v>40087</v>
      </c>
      <c r="B107" s="113">
        <v>287.8</v>
      </c>
      <c r="C107" s="113">
        <v>0</v>
      </c>
      <c r="D107" s="114">
        <v>31</v>
      </c>
      <c r="E107" s="115">
        <v>1</v>
      </c>
      <c r="F107" s="115">
        <v>0</v>
      </c>
      <c r="G107" s="91">
        <v>336</v>
      </c>
      <c r="H107" s="116">
        <f>GDP!L35</f>
        <v>1.0883038966092158</v>
      </c>
      <c r="I107" s="117"/>
    </row>
    <row r="108" spans="1:9" ht="12.75">
      <c r="A108" s="112">
        <v>40118</v>
      </c>
      <c r="B108" s="113">
        <v>361.2</v>
      </c>
      <c r="C108" s="120">
        <v>0</v>
      </c>
      <c r="D108" s="114">
        <v>30</v>
      </c>
      <c r="E108" s="115">
        <v>1</v>
      </c>
      <c r="F108" s="115">
        <v>0</v>
      </c>
      <c r="G108" s="91">
        <v>320</v>
      </c>
      <c r="H108" s="116">
        <f>GDP!L36</f>
        <v>1.0991881279665963</v>
      </c>
      <c r="I108" s="117"/>
    </row>
    <row r="109" spans="1:9" ht="13.5" thickBot="1">
      <c r="A109" s="112">
        <v>40148</v>
      </c>
      <c r="B109" s="113">
        <v>631.3</v>
      </c>
      <c r="C109" s="120">
        <v>0</v>
      </c>
      <c r="D109" s="114">
        <v>31</v>
      </c>
      <c r="E109" s="115">
        <v>0</v>
      </c>
      <c r="F109" s="115">
        <v>0</v>
      </c>
      <c r="G109" s="91">
        <v>352</v>
      </c>
      <c r="H109" s="116">
        <f>GDP!L37</f>
        <v>1.0765054985973712</v>
      </c>
      <c r="I109" s="117"/>
    </row>
    <row r="110" spans="1:9" ht="12.75">
      <c r="A110" s="112">
        <v>40179</v>
      </c>
      <c r="B110" s="549">
        <f>'HDD-CDD'!AK33</f>
        <v>726.4066666666666</v>
      </c>
      <c r="C110" s="550">
        <f>'HDD-CDD'!AL33</f>
        <v>0</v>
      </c>
      <c r="D110" s="114">
        <v>31</v>
      </c>
      <c r="E110" s="115">
        <v>0</v>
      </c>
      <c r="F110" s="115">
        <v>0</v>
      </c>
      <c r="G110" s="91">
        <v>320</v>
      </c>
      <c r="H110" s="116">
        <f>GDP!M26</f>
        <v>1.0788981691010793</v>
      </c>
      <c r="I110" s="117"/>
    </row>
    <row r="111" spans="1:9" ht="12.75">
      <c r="A111" s="112">
        <v>40210</v>
      </c>
      <c r="B111" s="551">
        <f>'HDD-CDD'!AK34</f>
        <v>639.62</v>
      </c>
      <c r="C111" s="552">
        <f>'HDD-CDD'!AL34</f>
        <v>0</v>
      </c>
      <c r="D111" s="114">
        <v>28</v>
      </c>
      <c r="E111" s="115">
        <v>0</v>
      </c>
      <c r="F111" s="115">
        <v>0</v>
      </c>
      <c r="G111" s="91">
        <v>304</v>
      </c>
      <c r="H111" s="116">
        <f>GDP!M27</f>
        <v>1.0812961576195552</v>
      </c>
      <c r="I111" s="117"/>
    </row>
    <row r="112" spans="1:9" ht="12.75">
      <c r="A112" s="112">
        <v>40238</v>
      </c>
      <c r="B112" s="551">
        <f>'HDD-CDD'!AK35</f>
        <v>559.5466666666666</v>
      </c>
      <c r="C112" s="552">
        <f>'HDD-CDD'!AL35</f>
        <v>0</v>
      </c>
      <c r="D112" s="114">
        <v>31</v>
      </c>
      <c r="E112" s="115">
        <v>1</v>
      </c>
      <c r="F112" s="115">
        <v>0</v>
      </c>
      <c r="G112" s="91">
        <v>368</v>
      </c>
      <c r="H112" s="116">
        <f>GDP!M28</f>
        <v>1.083699475972764</v>
      </c>
      <c r="I112" s="117"/>
    </row>
    <row r="113" spans="1:9" ht="12.75">
      <c r="A113" s="112">
        <v>40269</v>
      </c>
      <c r="B113" s="551">
        <f>'HDD-CDD'!AK36</f>
        <v>331.78000000000003</v>
      </c>
      <c r="C113" s="552">
        <f>'HDD-CDD'!AL36</f>
        <v>1.3266666666666669</v>
      </c>
      <c r="D113" s="114">
        <v>30</v>
      </c>
      <c r="E113" s="115">
        <v>1</v>
      </c>
      <c r="F113" s="115">
        <v>0</v>
      </c>
      <c r="G113" s="91">
        <v>320</v>
      </c>
      <c r="H113" s="116">
        <f>GDP!M29</f>
        <v>1.0861081360069416</v>
      </c>
      <c r="I113" s="117"/>
    </row>
    <row r="114" spans="1:9" ht="12.75">
      <c r="A114" s="112">
        <v>40299</v>
      </c>
      <c r="B114" s="551">
        <f>'HDD-CDD'!AK37</f>
        <v>165.23666666666665</v>
      </c>
      <c r="C114" s="552">
        <f>'HDD-CDD'!AL37</f>
        <v>11.956666666666663</v>
      </c>
      <c r="D114" s="114">
        <v>31</v>
      </c>
      <c r="E114" s="115">
        <v>1</v>
      </c>
      <c r="F114" s="115">
        <v>0</v>
      </c>
      <c r="G114" s="91">
        <v>320</v>
      </c>
      <c r="H114" s="116">
        <f>GDP!M30</f>
        <v>1.0885221495946538</v>
      </c>
      <c r="I114" s="117"/>
    </row>
    <row r="115" spans="1:9" ht="12.75">
      <c r="A115" s="112">
        <v>40330</v>
      </c>
      <c r="B115" s="551">
        <f>'HDD-CDD'!AK38</f>
        <v>41.693333333333335</v>
      </c>
      <c r="C115" s="552">
        <f>'HDD-CDD'!AL38</f>
        <v>55.49</v>
      </c>
      <c r="D115" s="114">
        <v>30</v>
      </c>
      <c r="E115" s="115">
        <v>0</v>
      </c>
      <c r="F115" s="115">
        <v>0</v>
      </c>
      <c r="G115" s="91">
        <v>352</v>
      </c>
      <c r="H115" s="116">
        <f>GDP!M31</f>
        <v>1.0909415286348552</v>
      </c>
      <c r="I115" s="117"/>
    </row>
    <row r="116" spans="1:9" ht="12.75">
      <c r="A116" s="112">
        <v>40360</v>
      </c>
      <c r="B116" s="551">
        <f>'HDD-CDD'!AK39</f>
        <v>5.52</v>
      </c>
      <c r="C116" s="552">
        <f>'HDD-CDD'!AL39</f>
        <v>109.36333333333334</v>
      </c>
      <c r="D116" s="114">
        <v>31</v>
      </c>
      <c r="E116" s="115">
        <v>0</v>
      </c>
      <c r="F116" s="115">
        <v>0</v>
      </c>
      <c r="G116" s="91">
        <v>336</v>
      </c>
      <c r="H116" s="116">
        <f>GDP!M32</f>
        <v>1.0933662850529466</v>
      </c>
      <c r="I116" s="117"/>
    </row>
    <row r="117" spans="1:9" ht="12.75">
      <c r="A117" s="112">
        <v>40391</v>
      </c>
      <c r="B117" s="551">
        <f>'HDD-CDD'!AK40</f>
        <v>11.943333333333335</v>
      </c>
      <c r="C117" s="552">
        <f>'HDD-CDD'!AL40</f>
        <v>89.85333333333331</v>
      </c>
      <c r="D117" s="114">
        <v>31</v>
      </c>
      <c r="E117" s="115">
        <v>0</v>
      </c>
      <c r="F117" s="115">
        <v>0</v>
      </c>
      <c r="G117" s="91">
        <v>336</v>
      </c>
      <c r="H117" s="116">
        <f>GDP!M33</f>
        <v>1.095796430800835</v>
      </c>
      <c r="I117" s="117"/>
    </row>
    <row r="118" spans="1:9" ht="12.75">
      <c r="A118" s="112">
        <v>40422</v>
      </c>
      <c r="B118" s="551">
        <f>'HDD-CDD'!AK41</f>
        <v>81.22666666666667</v>
      </c>
      <c r="C118" s="552">
        <f>'HDD-CDD'!AL41</f>
        <v>28.24333333333333</v>
      </c>
      <c r="D118" s="114">
        <v>30</v>
      </c>
      <c r="E118" s="115">
        <v>1</v>
      </c>
      <c r="F118" s="115">
        <v>0</v>
      </c>
      <c r="G118" s="91">
        <v>336</v>
      </c>
      <c r="H118" s="116">
        <f>GDP!M34</f>
        <v>1.098231977856992</v>
      </c>
      <c r="I118" s="117"/>
    </row>
    <row r="119" spans="1:9" ht="12.75">
      <c r="A119" s="112">
        <v>40452</v>
      </c>
      <c r="B119" s="551">
        <f>'HDD-CDD'!AK42</f>
        <v>264.96333333333337</v>
      </c>
      <c r="C119" s="552">
        <f>'HDD-CDD'!AL42</f>
        <v>2.1333333333333333</v>
      </c>
      <c r="D119" s="114">
        <v>31</v>
      </c>
      <c r="E119" s="115">
        <v>1</v>
      </c>
      <c r="F119" s="115">
        <v>0</v>
      </c>
      <c r="G119" s="91">
        <v>320</v>
      </c>
      <c r="H119" s="116">
        <f>GDP!M35</f>
        <v>1.1006729382265128</v>
      </c>
      <c r="I119" s="117"/>
    </row>
    <row r="120" spans="1:9" ht="12.75">
      <c r="A120" s="112">
        <v>40483</v>
      </c>
      <c r="B120" s="551">
        <f>'HDD-CDD'!AK43</f>
        <v>426.27666666666664</v>
      </c>
      <c r="C120" s="552">
        <f>'HDD-CDD'!AL43</f>
        <v>0</v>
      </c>
      <c r="D120" s="114">
        <v>30</v>
      </c>
      <c r="E120" s="115">
        <v>1</v>
      </c>
      <c r="F120" s="115">
        <v>0</v>
      </c>
      <c r="G120" s="91">
        <v>336</v>
      </c>
      <c r="H120" s="116">
        <f>GDP!M36</f>
        <v>1.1031193239411752</v>
      </c>
      <c r="I120" s="117"/>
    </row>
    <row r="121" spans="1:9" ht="12.75">
      <c r="A121" s="112">
        <v>40513</v>
      </c>
      <c r="B121" s="551">
        <f>'HDD-CDD'!AK44</f>
        <v>620.89</v>
      </c>
      <c r="C121" s="552">
        <f>'HDD-CDD'!AL44</f>
        <v>0</v>
      </c>
      <c r="D121" s="114">
        <v>31</v>
      </c>
      <c r="E121" s="115">
        <v>0</v>
      </c>
      <c r="F121" s="115">
        <v>0</v>
      </c>
      <c r="G121" s="91">
        <v>368</v>
      </c>
      <c r="H121" s="116">
        <f>GDP!M37</f>
        <v>1.1055711470594995</v>
      </c>
      <c r="I121" s="117"/>
    </row>
    <row r="122" spans="1:9" ht="12.75">
      <c r="A122" s="112">
        <v>40544</v>
      </c>
      <c r="B122" s="551">
        <f>'HDD-CDD'!AK33</f>
        <v>726.4066666666666</v>
      </c>
      <c r="C122" s="552">
        <f>'HDD-CDD'!AL33</f>
        <v>0</v>
      </c>
      <c r="D122" s="114">
        <v>31</v>
      </c>
      <c r="E122" s="115">
        <v>0</v>
      </c>
      <c r="F122" s="115">
        <v>0</v>
      </c>
      <c r="G122" s="91">
        <f>20*16</f>
        <v>320</v>
      </c>
      <c r="H122" s="116">
        <f>GDP!N26</f>
        <v>1.1084769605658817</v>
      </c>
      <c r="I122" s="117"/>
    </row>
    <row r="123" spans="1:9" ht="12.75">
      <c r="A123" s="112">
        <v>40575</v>
      </c>
      <c r="B123" s="551">
        <f>'HDD-CDD'!AK34</f>
        <v>639.62</v>
      </c>
      <c r="C123" s="552">
        <f>'HDD-CDD'!AL34</f>
        <v>0</v>
      </c>
      <c r="D123" s="114">
        <v>28</v>
      </c>
      <c r="E123" s="115">
        <v>0</v>
      </c>
      <c r="F123" s="115">
        <v>0</v>
      </c>
      <c r="G123" s="91">
        <f>19*16</f>
        <v>304</v>
      </c>
      <c r="H123" s="116">
        <f>GDP!N27</f>
        <v>1.111390411529298</v>
      </c>
      <c r="I123" s="117"/>
    </row>
    <row r="124" spans="1:9" ht="12.75">
      <c r="A124" s="112">
        <v>40603</v>
      </c>
      <c r="B124" s="551">
        <f>'HDD-CDD'!AK35</f>
        <v>559.5466666666666</v>
      </c>
      <c r="C124" s="552">
        <f>'HDD-CDD'!AL35</f>
        <v>0</v>
      </c>
      <c r="D124" s="114">
        <v>31</v>
      </c>
      <c r="E124" s="115">
        <v>1</v>
      </c>
      <c r="F124" s="115">
        <v>0</v>
      </c>
      <c r="G124" s="91">
        <f>23*16</f>
        <v>368</v>
      </c>
      <c r="H124" s="116">
        <f>GDP!N28</f>
        <v>1.1143115200235592</v>
      </c>
      <c r="I124" s="117"/>
    </row>
    <row r="125" spans="1:9" ht="12.75">
      <c r="A125" s="112">
        <v>40634</v>
      </c>
      <c r="B125" s="551">
        <f>'HDD-CDD'!AK36</f>
        <v>331.78000000000003</v>
      </c>
      <c r="C125" s="552">
        <f>'HDD-CDD'!AL36</f>
        <v>1.3266666666666669</v>
      </c>
      <c r="D125" s="114">
        <v>30</v>
      </c>
      <c r="E125" s="115">
        <v>1</v>
      </c>
      <c r="F125" s="115">
        <v>0</v>
      </c>
      <c r="G125" s="91">
        <f>19*16</f>
        <v>304</v>
      </c>
      <c r="H125" s="116">
        <f>GDP!N29</f>
        <v>1.1172403061752363</v>
      </c>
      <c r="I125" s="117"/>
    </row>
    <row r="126" spans="1:9" ht="12.75">
      <c r="A126" s="112">
        <v>40664</v>
      </c>
      <c r="B126" s="551">
        <f>'HDD-CDD'!AK37</f>
        <v>165.23666666666665</v>
      </c>
      <c r="C126" s="552">
        <f>'HDD-CDD'!AL37</f>
        <v>11.956666666666663</v>
      </c>
      <c r="D126" s="114">
        <v>31</v>
      </c>
      <c r="E126" s="115">
        <v>1</v>
      </c>
      <c r="F126" s="115">
        <v>0</v>
      </c>
      <c r="G126" s="91">
        <f>21*16</f>
        <v>336</v>
      </c>
      <c r="H126" s="116">
        <f>GDP!N30</f>
        <v>1.1201767901638005</v>
      </c>
      <c r="I126" s="117"/>
    </row>
    <row r="127" spans="1:9" ht="12.75">
      <c r="A127" s="112">
        <v>40695</v>
      </c>
      <c r="B127" s="551">
        <f>'HDD-CDD'!AK38</f>
        <v>41.693333333333335</v>
      </c>
      <c r="C127" s="552">
        <f>'HDD-CDD'!AL38</f>
        <v>55.49</v>
      </c>
      <c r="D127" s="114">
        <v>30</v>
      </c>
      <c r="E127" s="115">
        <v>0</v>
      </c>
      <c r="F127" s="115">
        <v>0</v>
      </c>
      <c r="G127" s="91">
        <f>22*16</f>
        <v>352</v>
      </c>
      <c r="H127" s="116">
        <f>GDP!N31</f>
        <v>1.1231209922217607</v>
      </c>
      <c r="I127" s="117"/>
    </row>
    <row r="128" spans="1:9" ht="12.75">
      <c r="A128" s="112">
        <v>40725</v>
      </c>
      <c r="B128" s="551">
        <f>'HDD-CDD'!AK39</f>
        <v>5.52</v>
      </c>
      <c r="C128" s="552">
        <f>'HDD-CDD'!AL39</f>
        <v>109.36333333333334</v>
      </c>
      <c r="D128" s="114">
        <v>31</v>
      </c>
      <c r="E128" s="115">
        <v>0</v>
      </c>
      <c r="F128" s="115">
        <v>0</v>
      </c>
      <c r="G128" s="91">
        <f>20*16</f>
        <v>320</v>
      </c>
      <c r="H128" s="116">
        <f>GDP!N32</f>
        <v>1.126072932634804</v>
      </c>
      <c r="I128" s="117"/>
    </row>
    <row r="129" spans="1:9" ht="12.75">
      <c r="A129" s="112">
        <v>40756</v>
      </c>
      <c r="B129" s="551">
        <f>'HDD-CDD'!AK40</f>
        <v>11.943333333333335</v>
      </c>
      <c r="C129" s="552">
        <f>'HDD-CDD'!AL40</f>
        <v>89.85333333333331</v>
      </c>
      <c r="D129" s="114">
        <v>31</v>
      </c>
      <c r="E129" s="115">
        <v>0</v>
      </c>
      <c r="F129" s="115">
        <v>0</v>
      </c>
      <c r="G129" s="91">
        <f>22*16</f>
        <v>352</v>
      </c>
      <c r="H129" s="116">
        <f>GDP!N33</f>
        <v>1.1290326317419348</v>
      </c>
      <c r="I129" s="117"/>
    </row>
    <row r="130" spans="1:9" ht="12.75">
      <c r="A130" s="112">
        <v>40787</v>
      </c>
      <c r="B130" s="551">
        <f>'HDD-CDD'!AK41</f>
        <v>81.22666666666667</v>
      </c>
      <c r="C130" s="552">
        <f>'HDD-CDD'!AL41</f>
        <v>28.24333333333333</v>
      </c>
      <c r="D130" s="114">
        <v>30</v>
      </c>
      <c r="E130" s="115">
        <v>1</v>
      </c>
      <c r="F130" s="115">
        <v>0</v>
      </c>
      <c r="G130" s="91">
        <f>21*16</f>
        <v>336</v>
      </c>
      <c r="H130" s="116">
        <f>GDP!N34</f>
        <v>1.132000109935616</v>
      </c>
      <c r="I130" s="117"/>
    </row>
    <row r="131" spans="1:9" ht="12.75">
      <c r="A131" s="112">
        <v>40817</v>
      </c>
      <c r="B131" s="551">
        <f>'HDD-CDD'!AK42</f>
        <v>264.96333333333337</v>
      </c>
      <c r="C131" s="552">
        <f>'HDD-CDD'!AL42</f>
        <v>2.1333333333333333</v>
      </c>
      <c r="D131" s="114">
        <v>31</v>
      </c>
      <c r="E131" s="115">
        <v>1</v>
      </c>
      <c r="F131" s="115">
        <v>0</v>
      </c>
      <c r="G131" s="91">
        <f>21*16</f>
        <v>336</v>
      </c>
      <c r="H131" s="116">
        <f>GDP!N35</f>
        <v>1.1349753876619078</v>
      </c>
      <c r="I131" s="117"/>
    </row>
    <row r="132" spans="1:9" ht="12.75">
      <c r="A132" s="112">
        <v>40848</v>
      </c>
      <c r="B132" s="551">
        <f>'HDD-CDD'!AK43</f>
        <v>426.27666666666664</v>
      </c>
      <c r="C132" s="552">
        <f>'HDD-CDD'!AL43</f>
        <v>0</v>
      </c>
      <c r="D132" s="114">
        <v>30</v>
      </c>
      <c r="E132" s="115">
        <v>1</v>
      </c>
      <c r="F132" s="115">
        <v>0</v>
      </c>
      <c r="G132" s="91">
        <f>22*16</f>
        <v>352</v>
      </c>
      <c r="H132" s="116">
        <f>GDP!N36</f>
        <v>1.1379584854206104</v>
      </c>
      <c r="I132" s="117"/>
    </row>
    <row r="133" spans="1:9" ht="13.5" thickBot="1">
      <c r="A133" s="112">
        <v>40878</v>
      </c>
      <c r="B133" s="551">
        <f>'HDD-CDD'!AK44</f>
        <v>620.89</v>
      </c>
      <c r="C133" s="552">
        <f>'HDD-CDD'!AL44</f>
        <v>0</v>
      </c>
      <c r="D133" s="114">
        <v>31</v>
      </c>
      <c r="E133" s="115">
        <v>0</v>
      </c>
      <c r="F133" s="115">
        <v>0</v>
      </c>
      <c r="G133" s="91">
        <f>21*16</f>
        <v>336</v>
      </c>
      <c r="H133" s="116">
        <f>GDP!N37</f>
        <v>1.1409494237654036</v>
      </c>
      <c r="I133" s="117"/>
    </row>
    <row r="134" spans="1:8" ht="13.5" thickBot="1">
      <c r="A134" s="121"/>
      <c r="B134" s="707" t="s">
        <v>66</v>
      </c>
      <c r="C134" s="708"/>
      <c r="D134" s="114"/>
      <c r="H134" s="116"/>
    </row>
    <row r="135" ht="12.75">
      <c r="D135" s="114"/>
    </row>
    <row r="136" ht="12.75">
      <c r="D136" s="114"/>
    </row>
    <row r="137" ht="12.75">
      <c r="D137" s="114"/>
    </row>
    <row r="138" ht="12.75">
      <c r="D138" s="114"/>
    </row>
    <row r="139" ht="12.75">
      <c r="D139" s="114"/>
    </row>
    <row r="140" ht="12.75">
      <c r="D140" s="114"/>
    </row>
    <row r="141" ht="12.75">
      <c r="D141" s="114"/>
    </row>
    <row r="142" ht="12.75">
      <c r="D142" s="114"/>
    </row>
    <row r="143" ht="12.75">
      <c r="D143" s="114"/>
    </row>
    <row r="144" ht="12.75">
      <c r="D144" s="114"/>
    </row>
    <row r="145" ht="12.75">
      <c r="D145" s="114"/>
    </row>
    <row r="146" ht="12.75">
      <c r="D146" s="114"/>
    </row>
    <row r="147" ht="12.75">
      <c r="D147" s="114"/>
    </row>
    <row r="148" ht="12.75">
      <c r="D148" s="114"/>
    </row>
    <row r="149" ht="12.75">
      <c r="D149" s="114"/>
    </row>
    <row r="150" ht="12.75">
      <c r="D150" s="114"/>
    </row>
    <row r="151" ht="12.75">
      <c r="D151" s="114"/>
    </row>
    <row r="152" ht="12.75">
      <c r="D152" s="114"/>
    </row>
    <row r="153" ht="12.75">
      <c r="D153" s="114"/>
    </row>
    <row r="154" ht="12.75">
      <c r="D154" s="114"/>
    </row>
    <row r="155" ht="12.75">
      <c r="D155" s="114"/>
    </row>
    <row r="156" ht="12.75">
      <c r="D156" s="114"/>
    </row>
    <row r="157" ht="12.75">
      <c r="D157" s="114"/>
    </row>
  </sheetData>
  <sheetProtection/>
  <mergeCells count="1">
    <mergeCell ref="B134:C134"/>
  </mergeCells>
  <printOptions horizontalCentered="1"/>
  <pageMargins left="0.7" right="0.7" top="0.75" bottom="0.75" header="0.3" footer="0.3"/>
  <pageSetup horizontalDpi="600" verticalDpi="600" orientation="portrait" scale="70" r:id="rId1"/>
  <rowBreaks count="1" manualBreakCount="1">
    <brk id="7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N40"/>
  <sheetViews>
    <sheetView showGridLines="0" zoomScalePageLayoutView="0" workbookViewId="0" topLeftCell="C1">
      <selection activeCell="E30" sqref="E30"/>
    </sheetView>
  </sheetViews>
  <sheetFormatPr defaultColWidth="9.140625" defaultRowHeight="12.75"/>
  <cols>
    <col min="1" max="1" width="16.8515625" style="0" bestFit="1" customWidth="1"/>
    <col min="2" max="2" width="9.140625" style="0" bestFit="1" customWidth="1"/>
    <col min="3" max="3" width="21.00390625" style="71" bestFit="1" customWidth="1"/>
    <col min="4" max="4" width="9.140625" style="0" bestFit="1" customWidth="1"/>
    <col min="5" max="8" width="9.8515625" style="0" bestFit="1" customWidth="1"/>
    <col min="9" max="10" width="9.28125" style="0" customWidth="1"/>
    <col min="11" max="11" width="9.421875" style="0" bestFit="1" customWidth="1"/>
    <col min="12" max="12" width="20.57421875" style="0" bestFit="1" customWidth="1"/>
    <col min="13" max="13" width="9.8515625" style="0" bestFit="1" customWidth="1"/>
    <col min="14" max="14" width="9.421875" style="0" bestFit="1" customWidth="1"/>
    <col min="15" max="21" width="10.28125" style="0" customWidth="1"/>
    <col min="22" max="22" width="5.00390625" style="0" bestFit="1" customWidth="1"/>
    <col min="23" max="23" width="5.8515625" style="0" customWidth="1"/>
  </cols>
  <sheetData>
    <row r="1" ht="13.5" thickBot="1"/>
    <row r="2" spans="1:4" ht="12.75">
      <c r="A2" s="72"/>
      <c r="B2" s="73"/>
      <c r="C2" s="74" t="s">
        <v>52</v>
      </c>
      <c r="D2" s="75"/>
    </row>
    <row r="3" spans="1:4" ht="12.75">
      <c r="A3" s="76"/>
      <c r="B3" s="77"/>
      <c r="C3" s="78" t="s">
        <v>53</v>
      </c>
      <c r="D3" s="79" t="s">
        <v>54</v>
      </c>
    </row>
    <row r="4" spans="1:4" ht="12.75">
      <c r="A4" s="80" t="s">
        <v>55</v>
      </c>
      <c r="B4" s="81"/>
      <c r="C4" s="82">
        <v>0.027</v>
      </c>
      <c r="D4" s="83">
        <v>0.032</v>
      </c>
    </row>
    <row r="5" spans="1:4" ht="12.75">
      <c r="A5" s="80"/>
      <c r="B5" s="81"/>
      <c r="C5" s="82"/>
      <c r="D5" s="83"/>
    </row>
    <row r="6" spans="1:4" ht="13.5" thickBot="1">
      <c r="A6" s="80" t="s">
        <v>56</v>
      </c>
      <c r="B6" s="81"/>
      <c r="C6" s="82">
        <f>AVERAGE(C4)</f>
        <v>0.027</v>
      </c>
      <c r="D6" s="83">
        <f>AVERAGE(D4)</f>
        <v>0.032</v>
      </c>
    </row>
    <row r="7" spans="1:4" ht="13.5" thickBot="1">
      <c r="A7" s="84" t="s">
        <v>57</v>
      </c>
      <c r="B7" s="85"/>
      <c r="C7" s="86">
        <f>(1+C6)^(1/12)-1</f>
        <v>0.0022226272943570713</v>
      </c>
      <c r="D7" s="87">
        <f>(1+D6)^(1/12)-1</f>
        <v>0.002628336958784505</v>
      </c>
    </row>
    <row r="8" spans="1:5" ht="12.75">
      <c r="A8" s="88"/>
      <c r="B8" s="89"/>
      <c r="C8" s="90"/>
      <c r="D8" s="90"/>
      <c r="E8" s="90"/>
    </row>
    <row r="9" spans="1:14" s="91" customFormat="1" ht="13.5" thickBot="1">
      <c r="A9" s="749" t="s">
        <v>58</v>
      </c>
      <c r="B9" s="749"/>
      <c r="C9" s="749"/>
      <c r="D9" s="749"/>
      <c r="E9" s="749"/>
      <c r="F9" s="749"/>
      <c r="G9" s="749"/>
      <c r="H9" s="749"/>
      <c r="I9" s="749"/>
      <c r="J9" s="749"/>
      <c r="K9" s="749"/>
      <c r="L9" s="749"/>
      <c r="M9" s="749"/>
      <c r="N9" s="749"/>
    </row>
    <row r="10" spans="1:14" ht="13.5" thickBot="1">
      <c r="A10" s="40"/>
      <c r="B10" s="41">
        <v>1999</v>
      </c>
      <c r="C10" s="41">
        <v>2000</v>
      </c>
      <c r="D10" s="41">
        <v>2001</v>
      </c>
      <c r="E10" s="41">
        <v>2002</v>
      </c>
      <c r="F10" s="41">
        <v>2003</v>
      </c>
      <c r="G10" s="41">
        <v>2004</v>
      </c>
      <c r="H10" s="41">
        <v>2005</v>
      </c>
      <c r="I10" s="41">
        <v>2006</v>
      </c>
      <c r="J10" s="41">
        <v>2007</v>
      </c>
      <c r="K10" s="41">
        <v>2008</v>
      </c>
      <c r="L10" s="41">
        <v>2009</v>
      </c>
      <c r="M10" s="41">
        <v>2010</v>
      </c>
      <c r="N10" s="42">
        <v>2011</v>
      </c>
    </row>
    <row r="11" spans="1:14" ht="12.75">
      <c r="A11" s="48" t="s">
        <v>9</v>
      </c>
      <c r="B11" s="92">
        <v>412165</v>
      </c>
      <c r="C11" s="92">
        <v>443200</v>
      </c>
      <c r="D11" s="92">
        <v>456006</v>
      </c>
      <c r="E11" s="92">
        <v>468090</v>
      </c>
      <c r="F11" s="92">
        <v>481510</v>
      </c>
      <c r="G11" s="92">
        <v>481541</v>
      </c>
      <c r="H11" s="92">
        <v>500633</v>
      </c>
      <c r="I11" s="92">
        <v>516141</v>
      </c>
      <c r="J11" s="92">
        <v>527039</v>
      </c>
      <c r="K11" s="92">
        <v>530201</v>
      </c>
      <c r="L11" s="92">
        <v>518627</v>
      </c>
      <c r="M11" s="93">
        <f>L22*(1+C7)</f>
        <v>515746.77067355806</v>
      </c>
      <c r="N11" s="94">
        <f>M22*(1+D7)</f>
        <v>529886.349936269</v>
      </c>
    </row>
    <row r="12" spans="1:14" ht="12.75">
      <c r="A12" s="48" t="s">
        <v>10</v>
      </c>
      <c r="B12" s="92">
        <v>417063</v>
      </c>
      <c r="C12" s="92">
        <v>448468</v>
      </c>
      <c r="D12" s="92">
        <v>461426</v>
      </c>
      <c r="E12" s="92">
        <v>473654</v>
      </c>
      <c r="F12" s="92">
        <v>487233</v>
      </c>
      <c r="G12" s="92">
        <v>487264</v>
      </c>
      <c r="H12" s="92">
        <v>506583</v>
      </c>
      <c r="I12" s="92">
        <v>522275</v>
      </c>
      <c r="J12" s="92">
        <v>533303</v>
      </c>
      <c r="K12" s="92">
        <v>536503</v>
      </c>
      <c r="L12" s="92">
        <v>524791</v>
      </c>
      <c r="M12" s="95">
        <f>M11*(1+C7)</f>
        <v>516893.08352303365</v>
      </c>
      <c r="N12" s="96">
        <f>N11*(1+D7)</f>
        <v>531279.0698137619</v>
      </c>
    </row>
    <row r="13" spans="1:14" ht="12.75">
      <c r="A13" s="48" t="s">
        <v>11</v>
      </c>
      <c r="B13" s="92">
        <v>419882</v>
      </c>
      <c r="C13" s="92">
        <v>451498</v>
      </c>
      <c r="D13" s="92">
        <v>464544</v>
      </c>
      <c r="E13" s="92">
        <v>476854</v>
      </c>
      <c r="F13" s="92">
        <v>490526</v>
      </c>
      <c r="G13" s="92">
        <v>490557</v>
      </c>
      <c r="H13" s="92">
        <v>510007</v>
      </c>
      <c r="I13" s="92">
        <v>525805</v>
      </c>
      <c r="J13" s="92">
        <v>536906</v>
      </c>
      <c r="K13" s="92">
        <v>540128</v>
      </c>
      <c r="L13" s="92">
        <v>528337</v>
      </c>
      <c r="M13" s="95">
        <f>M12*(1+C7)</f>
        <v>518041.94419873634</v>
      </c>
      <c r="N13" s="96">
        <f>N12*(1+D7)</f>
        <v>532675.450228382</v>
      </c>
    </row>
    <row r="14" spans="1:14" ht="12.75">
      <c r="A14" s="48" t="s">
        <v>12</v>
      </c>
      <c r="B14" s="92">
        <v>427365</v>
      </c>
      <c r="C14" s="92">
        <v>455812</v>
      </c>
      <c r="D14" s="92">
        <v>465895</v>
      </c>
      <c r="E14" s="92">
        <v>476478</v>
      </c>
      <c r="F14" s="92">
        <v>486834</v>
      </c>
      <c r="G14" s="92">
        <v>495743</v>
      </c>
      <c r="H14" s="92">
        <v>510172</v>
      </c>
      <c r="I14" s="92">
        <v>525760</v>
      </c>
      <c r="J14" s="92">
        <v>538900</v>
      </c>
      <c r="K14" s="92">
        <v>538537</v>
      </c>
      <c r="L14" s="92">
        <v>521625</v>
      </c>
      <c r="M14" s="95">
        <f>M13*(1+C7)</f>
        <v>519193.35836353427</v>
      </c>
      <c r="N14" s="96">
        <f>N13*(1+D7)</f>
        <v>534075.5008012544</v>
      </c>
    </row>
    <row r="15" spans="1:14" ht="12.75">
      <c r="A15" s="48" t="s">
        <v>13</v>
      </c>
      <c r="B15" s="92">
        <v>426015</v>
      </c>
      <c r="C15" s="92">
        <v>454373</v>
      </c>
      <c r="D15" s="92">
        <v>464424</v>
      </c>
      <c r="E15" s="92">
        <v>474973</v>
      </c>
      <c r="F15" s="92">
        <v>485296</v>
      </c>
      <c r="G15" s="92">
        <v>494177</v>
      </c>
      <c r="H15" s="92">
        <v>508561</v>
      </c>
      <c r="I15" s="92">
        <v>524100</v>
      </c>
      <c r="J15" s="92">
        <v>537198</v>
      </c>
      <c r="K15" s="92">
        <v>536836</v>
      </c>
      <c r="L15" s="92">
        <v>519978</v>
      </c>
      <c r="M15" s="95">
        <f>M14*(1+C7)</f>
        <v>520347.33169288194</v>
      </c>
      <c r="N15" s="96">
        <f>N14*(1+D7)</f>
        <v>535479.2311787917</v>
      </c>
    </row>
    <row r="16" spans="1:14" ht="12.75">
      <c r="A16" s="48" t="s">
        <v>14</v>
      </c>
      <c r="B16" s="92">
        <v>423525</v>
      </c>
      <c r="C16" s="92">
        <v>451716</v>
      </c>
      <c r="D16" s="92">
        <v>461708</v>
      </c>
      <c r="E16" s="92">
        <v>472196</v>
      </c>
      <c r="F16" s="92">
        <v>482459</v>
      </c>
      <c r="G16" s="92">
        <v>491288</v>
      </c>
      <c r="H16" s="92">
        <v>505588</v>
      </c>
      <c r="I16" s="92">
        <v>521036</v>
      </c>
      <c r="J16" s="92">
        <v>534057</v>
      </c>
      <c r="K16" s="92">
        <v>533698</v>
      </c>
      <c r="L16" s="92">
        <v>516938</v>
      </c>
      <c r="M16" s="95">
        <f>M15*(1+C7)</f>
        <v>521503.8698748484</v>
      </c>
      <c r="N16" s="96">
        <f>N15*(1+D7)</f>
        <v>536886.6510327605</v>
      </c>
    </row>
    <row r="17" spans="1:14" ht="12.75">
      <c r="A17" s="48" t="s">
        <v>15</v>
      </c>
      <c r="B17" s="92">
        <v>427422</v>
      </c>
      <c r="C17" s="92">
        <v>452498</v>
      </c>
      <c r="D17" s="92">
        <v>455388</v>
      </c>
      <c r="E17" s="92">
        <v>473051</v>
      </c>
      <c r="F17" s="92">
        <v>473300</v>
      </c>
      <c r="G17" s="92">
        <v>493335</v>
      </c>
      <c r="H17" s="92">
        <v>503928</v>
      </c>
      <c r="I17" s="92">
        <v>515380</v>
      </c>
      <c r="J17" s="92">
        <v>529510</v>
      </c>
      <c r="K17" s="92">
        <v>528046</v>
      </c>
      <c r="L17" s="92">
        <v>511941</v>
      </c>
      <c r="M17" s="95">
        <f>M16*(1+C7)</f>
        <v>522662.9786101451</v>
      </c>
      <c r="N17" s="96">
        <f>N16*(1+D7)</f>
        <v>538297.770060348</v>
      </c>
    </row>
    <row r="18" spans="1:14" ht="12.75">
      <c r="A18" s="48" t="s">
        <v>16</v>
      </c>
      <c r="B18" s="92">
        <v>432909</v>
      </c>
      <c r="C18" s="92">
        <v>458307</v>
      </c>
      <c r="D18" s="92">
        <v>461234</v>
      </c>
      <c r="E18" s="92">
        <v>479124</v>
      </c>
      <c r="F18" s="92">
        <v>479376</v>
      </c>
      <c r="G18" s="92">
        <v>499669</v>
      </c>
      <c r="H18" s="92">
        <v>510397</v>
      </c>
      <c r="I18" s="92">
        <v>521997</v>
      </c>
      <c r="J18" s="92">
        <v>536307</v>
      </c>
      <c r="K18" s="92">
        <v>534825</v>
      </c>
      <c r="L18" s="92">
        <v>518513</v>
      </c>
      <c r="M18" s="95">
        <f>M17*(1+C7)</f>
        <v>523824.66361215396</v>
      </c>
      <c r="N18" s="96">
        <f>N17*(1+D7)</f>
        <v>539712.5979842289</v>
      </c>
    </row>
    <row r="19" spans="1:14" ht="12.75">
      <c r="A19" s="48" t="s">
        <v>17</v>
      </c>
      <c r="B19" s="92">
        <v>442134</v>
      </c>
      <c r="C19" s="92">
        <v>467073</v>
      </c>
      <c r="D19" s="92">
        <v>471063</v>
      </c>
      <c r="E19" s="92">
        <v>489334</v>
      </c>
      <c r="F19" s="92">
        <v>489592</v>
      </c>
      <c r="G19" s="92">
        <v>510317</v>
      </c>
      <c r="H19" s="92">
        <v>521274</v>
      </c>
      <c r="I19" s="92">
        <v>533120</v>
      </c>
      <c r="J19" s="92">
        <v>547736</v>
      </c>
      <c r="K19" s="92">
        <v>546222</v>
      </c>
      <c r="L19" s="92">
        <v>529563</v>
      </c>
      <c r="M19" s="95">
        <f>M18*(1+C7)</f>
        <v>524988.9306069558</v>
      </c>
      <c r="N19" s="96">
        <f>N18*(1+D7)</f>
        <v>541131.1445526325</v>
      </c>
    </row>
    <row r="20" spans="1:14" ht="12.75">
      <c r="A20" s="48" t="s">
        <v>51</v>
      </c>
      <c r="B20" s="92">
        <v>442752</v>
      </c>
      <c r="C20" s="92">
        <v>459749</v>
      </c>
      <c r="D20" s="92">
        <v>466328</v>
      </c>
      <c r="E20" s="92">
        <v>483270</v>
      </c>
      <c r="F20" s="92">
        <v>485457</v>
      </c>
      <c r="G20" s="92">
        <v>503677</v>
      </c>
      <c r="H20" s="92">
        <v>516934</v>
      </c>
      <c r="I20" s="92">
        <v>528030</v>
      </c>
      <c r="J20" s="92">
        <v>538526</v>
      </c>
      <c r="K20" s="92">
        <v>528775</v>
      </c>
      <c r="L20" s="92">
        <v>520243</v>
      </c>
      <c r="M20" s="95">
        <f>M19*(1+C7)</f>
        <v>526155.7853333581</v>
      </c>
      <c r="N20" s="96">
        <f>N19*(1+D7)</f>
        <v>542553.4195394095</v>
      </c>
    </row>
    <row r="21" spans="1:14" ht="12.75">
      <c r="A21" s="48" t="s">
        <v>19</v>
      </c>
      <c r="B21" s="92">
        <v>447180</v>
      </c>
      <c r="C21" s="92">
        <v>464348</v>
      </c>
      <c r="D21" s="92">
        <v>470993</v>
      </c>
      <c r="E21" s="92">
        <v>488104</v>
      </c>
      <c r="F21" s="92">
        <v>490313</v>
      </c>
      <c r="G21" s="92">
        <v>508715</v>
      </c>
      <c r="H21" s="92">
        <v>522105</v>
      </c>
      <c r="I21" s="92">
        <v>533312</v>
      </c>
      <c r="J21" s="92">
        <v>543913</v>
      </c>
      <c r="K21" s="92">
        <v>534064</v>
      </c>
      <c r="L21" s="92">
        <v>525446</v>
      </c>
      <c r="M21" s="95">
        <f>M20*(1+C7)</f>
        <v>527325.2335429239</v>
      </c>
      <c r="N21" s="96">
        <f>N20*(1+D7)</f>
        <v>543979.4327440998</v>
      </c>
    </row>
    <row r="22" spans="1:14" ht="13.5" thickBot="1">
      <c r="A22" s="63" t="s">
        <v>20</v>
      </c>
      <c r="B22" s="97">
        <v>437952</v>
      </c>
      <c r="C22" s="97">
        <v>454766</v>
      </c>
      <c r="D22" s="97">
        <v>461273</v>
      </c>
      <c r="E22" s="97">
        <v>478031</v>
      </c>
      <c r="F22" s="97">
        <v>480195</v>
      </c>
      <c r="G22" s="97">
        <v>498217</v>
      </c>
      <c r="H22" s="97">
        <v>511331</v>
      </c>
      <c r="I22" s="97">
        <v>522307</v>
      </c>
      <c r="J22" s="97">
        <v>532689</v>
      </c>
      <c r="K22" s="97">
        <v>523043</v>
      </c>
      <c r="L22" s="97">
        <v>514603</v>
      </c>
      <c r="M22" s="98">
        <f>M21*(1+C7)</f>
        <v>528497.2809999996</v>
      </c>
      <c r="N22" s="99">
        <f>N21*(1+D7)</f>
        <v>545409.1939919997</v>
      </c>
    </row>
    <row r="23" spans="1:14" ht="13.5" thickBot="1">
      <c r="A23" s="9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100"/>
      <c r="N23" s="100"/>
    </row>
    <row r="24" spans="1:14" s="91" customFormat="1" ht="13.5" thickBot="1">
      <c r="A24" s="704" t="s">
        <v>58</v>
      </c>
      <c r="B24" s="705"/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5"/>
      <c r="N24" s="706"/>
    </row>
    <row r="25" spans="1:14" ht="13.5" thickBot="1">
      <c r="A25" s="40"/>
      <c r="B25" s="38">
        <v>1999</v>
      </c>
      <c r="C25" s="38">
        <v>2000</v>
      </c>
      <c r="D25" s="38">
        <v>2001</v>
      </c>
      <c r="E25" s="38">
        <v>2002</v>
      </c>
      <c r="F25" s="38">
        <v>2003</v>
      </c>
      <c r="G25" s="38">
        <v>2004</v>
      </c>
      <c r="H25" s="38">
        <v>2005</v>
      </c>
      <c r="I25" s="38">
        <v>2006</v>
      </c>
      <c r="J25" s="38">
        <v>2007</v>
      </c>
      <c r="K25" s="38">
        <v>2008</v>
      </c>
      <c r="L25" s="38">
        <v>2009</v>
      </c>
      <c r="M25" s="38">
        <v>2010</v>
      </c>
      <c r="N25" s="39">
        <v>2011</v>
      </c>
    </row>
    <row r="26" spans="1:14" ht="12.75">
      <c r="A26" s="101" t="s">
        <v>9</v>
      </c>
      <c r="B26" s="102">
        <f>B11/$E$22</f>
        <v>0.8622139568354353</v>
      </c>
      <c r="C26" s="102">
        <f aca="true" t="shared" si="0" ref="C26:N26">C11/$E$22</f>
        <v>0.9271365246186962</v>
      </c>
      <c r="D26" s="102">
        <f t="shared" si="0"/>
        <v>0.9539255822321147</v>
      </c>
      <c r="E26" s="102">
        <f t="shared" si="0"/>
        <v>0.9792042775468537</v>
      </c>
      <c r="F26" s="102">
        <f t="shared" si="0"/>
        <v>1.0072777706885119</v>
      </c>
      <c r="G26" s="102">
        <f t="shared" si="0"/>
        <v>1.007342620039286</v>
      </c>
      <c r="H26" s="102">
        <f t="shared" si="0"/>
        <v>1.0472814524581042</v>
      </c>
      <c r="I26" s="102">
        <f t="shared" si="0"/>
        <v>1.079722863161594</v>
      </c>
      <c r="J26" s="102">
        <f t="shared" si="0"/>
        <v>1.10252054783058</v>
      </c>
      <c r="K26" s="102">
        <f t="shared" si="0"/>
        <v>1.109135181609561</v>
      </c>
      <c r="L26" s="102">
        <f t="shared" si="0"/>
        <v>1.0849233627107866</v>
      </c>
      <c r="M26" s="102">
        <f t="shared" si="0"/>
        <v>1.0788981691010793</v>
      </c>
      <c r="N26" s="103">
        <f t="shared" si="0"/>
        <v>1.1084769605658817</v>
      </c>
    </row>
    <row r="27" spans="1:14" ht="12.75">
      <c r="A27" s="101" t="s">
        <v>10</v>
      </c>
      <c r="B27" s="102">
        <f aca="true" t="shared" si="1" ref="B27:N37">B12/$E$22</f>
        <v>0.8724601542577782</v>
      </c>
      <c r="C27" s="102">
        <f t="shared" si="1"/>
        <v>0.9381567304212488</v>
      </c>
      <c r="D27" s="102">
        <f t="shared" si="1"/>
        <v>0.9652637590449155</v>
      </c>
      <c r="E27" s="102">
        <f t="shared" si="1"/>
        <v>0.990843690053574</v>
      </c>
      <c r="F27" s="102">
        <f t="shared" si="1"/>
        <v>1.019249797607268</v>
      </c>
      <c r="G27" s="102">
        <f t="shared" si="1"/>
        <v>1.0193146469580425</v>
      </c>
      <c r="H27" s="102">
        <f t="shared" si="1"/>
        <v>1.0597283439776919</v>
      </c>
      <c r="I27" s="102">
        <f t="shared" si="1"/>
        <v>1.0925546669567454</v>
      </c>
      <c r="J27" s="102">
        <f t="shared" si="1"/>
        <v>1.1156243005160753</v>
      </c>
      <c r="K27" s="102">
        <f t="shared" si="1"/>
        <v>1.1223184270476183</v>
      </c>
      <c r="L27" s="102">
        <f t="shared" si="1"/>
        <v>1.097817923942171</v>
      </c>
      <c r="M27" s="102">
        <f t="shared" si="1"/>
        <v>1.0812961576195552</v>
      </c>
      <c r="N27" s="103">
        <f t="shared" si="1"/>
        <v>1.111390411529298</v>
      </c>
    </row>
    <row r="28" spans="1:14" ht="12.75">
      <c r="A28" s="101" t="s">
        <v>11</v>
      </c>
      <c r="B28" s="102">
        <f t="shared" si="1"/>
        <v>0.8783572613491594</v>
      </c>
      <c r="C28" s="102">
        <f t="shared" si="1"/>
        <v>0.9444952314808035</v>
      </c>
      <c r="D28" s="102">
        <f t="shared" si="1"/>
        <v>0.9717863485840876</v>
      </c>
      <c r="E28" s="102">
        <f t="shared" si="1"/>
        <v>0.9975378165851169</v>
      </c>
      <c r="F28" s="102">
        <f t="shared" si="1"/>
        <v>1.026138472191134</v>
      </c>
      <c r="G28" s="102">
        <f t="shared" si="1"/>
        <v>1.0262033215419084</v>
      </c>
      <c r="H28" s="102">
        <f t="shared" si="1"/>
        <v>1.0668910593664427</v>
      </c>
      <c r="I28" s="102">
        <f t="shared" si="1"/>
        <v>1.0999391252868538</v>
      </c>
      <c r="J28" s="102">
        <f t="shared" si="1"/>
        <v>1.1231614686076845</v>
      </c>
      <c r="K28" s="102">
        <f t="shared" si="1"/>
        <v>1.1299016172591316</v>
      </c>
      <c r="L28" s="102">
        <f t="shared" si="1"/>
        <v>1.105235852904937</v>
      </c>
      <c r="M28" s="102">
        <f t="shared" si="1"/>
        <v>1.083699475972764</v>
      </c>
      <c r="N28" s="103">
        <f t="shared" si="1"/>
        <v>1.1143115200235592</v>
      </c>
    </row>
    <row r="29" spans="1:14" ht="12.75">
      <c r="A29" s="101" t="s">
        <v>12</v>
      </c>
      <c r="B29" s="102">
        <f t="shared" si="1"/>
        <v>0.8940110578602642</v>
      </c>
      <c r="C29" s="102">
        <f t="shared" si="1"/>
        <v>0.9535197508111398</v>
      </c>
      <c r="D29" s="102">
        <f t="shared" si="1"/>
        <v>0.9746125251291234</v>
      </c>
      <c r="E29" s="102">
        <f t="shared" si="1"/>
        <v>0.9967512567176605</v>
      </c>
      <c r="F29" s="102">
        <f t="shared" si="1"/>
        <v>1.0184151237053665</v>
      </c>
      <c r="G29" s="102">
        <f t="shared" si="1"/>
        <v>1.03705199035209</v>
      </c>
      <c r="H29" s="102">
        <f t="shared" si="1"/>
        <v>1.0672362252657255</v>
      </c>
      <c r="I29" s="102">
        <f t="shared" si="1"/>
        <v>1.099844989132504</v>
      </c>
      <c r="J29" s="102">
        <f t="shared" si="1"/>
        <v>1.1273327462026521</v>
      </c>
      <c r="K29" s="102">
        <f t="shared" si="1"/>
        <v>1.1265733812242302</v>
      </c>
      <c r="L29" s="102">
        <f t="shared" si="1"/>
        <v>1.091194922505026</v>
      </c>
      <c r="M29" s="102">
        <f t="shared" si="1"/>
        <v>1.0861081360069416</v>
      </c>
      <c r="N29" s="103">
        <f t="shared" si="1"/>
        <v>1.1172403061752363</v>
      </c>
    </row>
    <row r="30" spans="1:14" ht="12.75">
      <c r="A30" s="101" t="s">
        <v>13</v>
      </c>
      <c r="B30" s="102">
        <f t="shared" si="1"/>
        <v>0.8911869732297696</v>
      </c>
      <c r="C30" s="102">
        <f t="shared" si="1"/>
        <v>0.9505094857864866</v>
      </c>
      <c r="D30" s="102">
        <f t="shared" si="1"/>
        <v>0.9715353188391548</v>
      </c>
      <c r="E30" s="102">
        <f t="shared" si="1"/>
        <v>0.9936029253332943</v>
      </c>
      <c r="F30" s="102">
        <f t="shared" si="1"/>
        <v>1.0151977591411436</v>
      </c>
      <c r="G30" s="102">
        <f t="shared" si="1"/>
        <v>1.0337760521807162</v>
      </c>
      <c r="H30" s="102">
        <f t="shared" si="1"/>
        <v>1.0638661509400018</v>
      </c>
      <c r="I30" s="102">
        <f t="shared" si="1"/>
        <v>1.096372410994266</v>
      </c>
      <c r="J30" s="102">
        <f t="shared" si="1"/>
        <v>1.1237723076536876</v>
      </c>
      <c r="K30" s="102">
        <f t="shared" si="1"/>
        <v>1.123015034589807</v>
      </c>
      <c r="L30" s="102">
        <f t="shared" si="1"/>
        <v>1.0877495392558223</v>
      </c>
      <c r="M30" s="102">
        <f t="shared" si="1"/>
        <v>1.0885221495946538</v>
      </c>
      <c r="N30" s="103">
        <f t="shared" si="1"/>
        <v>1.1201767901638005</v>
      </c>
    </row>
    <row r="31" spans="1:14" ht="12.75">
      <c r="A31" s="101" t="s">
        <v>14</v>
      </c>
      <c r="B31" s="102">
        <f t="shared" si="1"/>
        <v>0.8859781060224128</v>
      </c>
      <c r="C31" s="102">
        <f t="shared" si="1"/>
        <v>0.9449512688507649</v>
      </c>
      <c r="D31" s="102">
        <f t="shared" si="1"/>
        <v>0.9658536789455077</v>
      </c>
      <c r="E31" s="102">
        <f t="shared" si="1"/>
        <v>0.9877936786526397</v>
      </c>
      <c r="F31" s="102">
        <f t="shared" si="1"/>
        <v>1.0092629975880225</v>
      </c>
      <c r="G31" s="102">
        <f t="shared" si="1"/>
        <v>1.0277325110714577</v>
      </c>
      <c r="H31" s="102">
        <f t="shared" si="1"/>
        <v>1.0576468890092903</v>
      </c>
      <c r="I31" s="102">
        <f t="shared" si="1"/>
        <v>1.0899627848403137</v>
      </c>
      <c r="J31" s="102">
        <f t="shared" si="1"/>
        <v>1.11720160408007</v>
      </c>
      <c r="K31" s="102">
        <f t="shared" si="1"/>
        <v>1.1164506067598126</v>
      </c>
      <c r="L31" s="102">
        <f t="shared" si="1"/>
        <v>1.0813901190508566</v>
      </c>
      <c r="M31" s="102">
        <f t="shared" si="1"/>
        <v>1.0909415286348552</v>
      </c>
      <c r="N31" s="103">
        <f t="shared" si="1"/>
        <v>1.1231209922217607</v>
      </c>
    </row>
    <row r="32" spans="1:14" ht="12.75">
      <c r="A32" s="101" t="s">
        <v>15</v>
      </c>
      <c r="B32" s="102">
        <f t="shared" si="1"/>
        <v>0.8941302969891074</v>
      </c>
      <c r="C32" s="102">
        <f t="shared" si="1"/>
        <v>0.9465871460219107</v>
      </c>
      <c r="D32" s="102">
        <f t="shared" si="1"/>
        <v>0.9526327790457104</v>
      </c>
      <c r="E32" s="102">
        <f t="shared" si="1"/>
        <v>0.9895822655852863</v>
      </c>
      <c r="F32" s="102">
        <f t="shared" si="1"/>
        <v>0.990103152306022</v>
      </c>
      <c r="G32" s="102">
        <f t="shared" si="1"/>
        <v>1.032014660137104</v>
      </c>
      <c r="H32" s="102">
        <f t="shared" si="1"/>
        <v>1.0541743108710524</v>
      </c>
      <c r="I32" s="102">
        <f t="shared" si="1"/>
        <v>1.0781309161958115</v>
      </c>
      <c r="J32" s="102">
        <f t="shared" si="1"/>
        <v>1.1076896686616557</v>
      </c>
      <c r="K32" s="102">
        <f t="shared" si="1"/>
        <v>1.104627105773475</v>
      </c>
      <c r="L32" s="102">
        <f t="shared" si="1"/>
        <v>1.070936822088944</v>
      </c>
      <c r="M32" s="102">
        <f t="shared" si="1"/>
        <v>1.0933662850529466</v>
      </c>
      <c r="N32" s="103">
        <f t="shared" si="1"/>
        <v>1.126072932634804</v>
      </c>
    </row>
    <row r="33" spans="1:14" ht="12.75">
      <c r="A33" s="101" t="s">
        <v>16</v>
      </c>
      <c r="B33" s="102">
        <f t="shared" si="1"/>
        <v>0.9056086320761624</v>
      </c>
      <c r="C33" s="102">
        <f t="shared" si="1"/>
        <v>0.9587390775912022</v>
      </c>
      <c r="D33" s="102">
        <f t="shared" si="1"/>
        <v>0.9648621114530229</v>
      </c>
      <c r="E33" s="102">
        <f t="shared" si="1"/>
        <v>1.0022864625934302</v>
      </c>
      <c r="F33" s="102">
        <f t="shared" si="1"/>
        <v>1.002813625057789</v>
      </c>
      <c r="G33" s="102">
        <f t="shared" si="1"/>
        <v>1.0452648468404768</v>
      </c>
      <c r="H33" s="102">
        <f t="shared" si="1"/>
        <v>1.0677069060374746</v>
      </c>
      <c r="I33" s="102">
        <f t="shared" si="1"/>
        <v>1.0919731147143177</v>
      </c>
      <c r="J33" s="102">
        <f t="shared" si="1"/>
        <v>1.1219084117975613</v>
      </c>
      <c r="K33" s="102">
        <f t="shared" si="1"/>
        <v>1.1188081944476405</v>
      </c>
      <c r="L33" s="102">
        <f t="shared" si="1"/>
        <v>1.0846848844531003</v>
      </c>
      <c r="M33" s="102">
        <f t="shared" si="1"/>
        <v>1.095796430800835</v>
      </c>
      <c r="N33" s="103">
        <f t="shared" si="1"/>
        <v>1.1290326317419348</v>
      </c>
    </row>
    <row r="34" spans="1:14" ht="12.75">
      <c r="A34" s="101" t="s">
        <v>17</v>
      </c>
      <c r="B34" s="102">
        <f t="shared" si="1"/>
        <v>0.9249065437178761</v>
      </c>
      <c r="C34" s="102">
        <f t="shared" si="1"/>
        <v>0.9770768004585477</v>
      </c>
      <c r="D34" s="102">
        <f t="shared" si="1"/>
        <v>0.9854235394775652</v>
      </c>
      <c r="E34" s="102">
        <f t="shared" si="1"/>
        <v>1.0236449100581344</v>
      </c>
      <c r="F34" s="102">
        <f t="shared" si="1"/>
        <v>1.0241846240097399</v>
      </c>
      <c r="G34" s="102">
        <f t="shared" si="1"/>
        <v>1.067539552874186</v>
      </c>
      <c r="H34" s="102">
        <f t="shared" si="1"/>
        <v>1.0904606605010971</v>
      </c>
      <c r="I34" s="102">
        <f t="shared" si="1"/>
        <v>1.1152414801550528</v>
      </c>
      <c r="J34" s="102">
        <f t="shared" si="1"/>
        <v>1.145816903087875</v>
      </c>
      <c r="K34" s="102">
        <f t="shared" si="1"/>
        <v>1.142649744472639</v>
      </c>
      <c r="L34" s="102">
        <f t="shared" si="1"/>
        <v>1.1078005401323345</v>
      </c>
      <c r="M34" s="102">
        <f t="shared" si="1"/>
        <v>1.098231977856992</v>
      </c>
      <c r="N34" s="103">
        <f t="shared" si="1"/>
        <v>1.132000109935616</v>
      </c>
    </row>
    <row r="35" spans="1:14" ht="12.75">
      <c r="A35" s="101" t="s">
        <v>51</v>
      </c>
      <c r="B35" s="102">
        <f t="shared" si="1"/>
        <v>0.9261993469042803</v>
      </c>
      <c r="C35" s="102">
        <f t="shared" si="1"/>
        <v>0.9617556183594788</v>
      </c>
      <c r="D35" s="102">
        <f t="shared" si="1"/>
        <v>0.9755183241254228</v>
      </c>
      <c r="E35" s="102">
        <f t="shared" si="1"/>
        <v>1.0109595402808604</v>
      </c>
      <c r="F35" s="102">
        <f t="shared" si="1"/>
        <v>1.0155345573822618</v>
      </c>
      <c r="G35" s="102">
        <f t="shared" si="1"/>
        <v>1.0536492403212343</v>
      </c>
      <c r="H35" s="102">
        <f t="shared" si="1"/>
        <v>1.0813817513926922</v>
      </c>
      <c r="I35" s="102">
        <f t="shared" si="1"/>
        <v>1.1045936351408172</v>
      </c>
      <c r="J35" s="102">
        <f t="shared" si="1"/>
        <v>1.126550370164278</v>
      </c>
      <c r="K35" s="102">
        <f t="shared" si="1"/>
        <v>1.106152111473942</v>
      </c>
      <c r="L35" s="102">
        <f t="shared" si="1"/>
        <v>1.0883038966092158</v>
      </c>
      <c r="M35" s="102">
        <f t="shared" si="1"/>
        <v>1.1006729382265128</v>
      </c>
      <c r="N35" s="103">
        <f t="shared" si="1"/>
        <v>1.1349753876619078</v>
      </c>
    </row>
    <row r="36" spans="1:14" ht="12.75">
      <c r="A36" s="101" t="s">
        <v>19</v>
      </c>
      <c r="B36" s="102">
        <f t="shared" si="1"/>
        <v>0.9354623444923028</v>
      </c>
      <c r="C36" s="102">
        <f t="shared" si="1"/>
        <v>0.9713763333340306</v>
      </c>
      <c r="D36" s="102">
        <f t="shared" si="1"/>
        <v>0.9852771054596877</v>
      </c>
      <c r="E36" s="102">
        <f t="shared" si="1"/>
        <v>1.0210718551725726</v>
      </c>
      <c r="F36" s="102">
        <f t="shared" si="1"/>
        <v>1.0256928943938781</v>
      </c>
      <c r="G36" s="102">
        <f t="shared" si="1"/>
        <v>1.0641883057793322</v>
      </c>
      <c r="H36" s="102">
        <f t="shared" si="1"/>
        <v>1.0921990414847573</v>
      </c>
      <c r="I36" s="102">
        <f t="shared" si="1"/>
        <v>1.1156431277469452</v>
      </c>
      <c r="J36" s="102">
        <f t="shared" si="1"/>
        <v>1.1378195137972225</v>
      </c>
      <c r="K36" s="102">
        <f t="shared" si="1"/>
        <v>1.1172162474818579</v>
      </c>
      <c r="L36" s="102">
        <f t="shared" si="1"/>
        <v>1.0991881279665963</v>
      </c>
      <c r="M36" s="102">
        <f t="shared" si="1"/>
        <v>1.1031193239411752</v>
      </c>
      <c r="N36" s="103">
        <f t="shared" si="1"/>
        <v>1.1379584854206104</v>
      </c>
    </row>
    <row r="37" spans="1:14" ht="13.5" thickBot="1">
      <c r="A37" s="104" t="s">
        <v>20</v>
      </c>
      <c r="B37" s="105">
        <f t="shared" si="1"/>
        <v>0.9161581571069659</v>
      </c>
      <c r="C37" s="105">
        <f t="shared" si="1"/>
        <v>0.9513316082011418</v>
      </c>
      <c r="D37" s="105">
        <f t="shared" si="1"/>
        <v>0.9649436961201261</v>
      </c>
      <c r="E37" s="105">
        <f t="shared" si="1"/>
        <v>1</v>
      </c>
      <c r="F37" s="105">
        <f t="shared" si="1"/>
        <v>1.004526903066956</v>
      </c>
      <c r="G37" s="105">
        <f t="shared" si="1"/>
        <v>1.0422273869267893</v>
      </c>
      <c r="H37" s="105">
        <f t="shared" si="1"/>
        <v>1.0696607542188687</v>
      </c>
      <c r="I37" s="105">
        <f t="shared" si="1"/>
        <v>1.092621608222061</v>
      </c>
      <c r="J37" s="105">
        <f t="shared" si="1"/>
        <v>1.1143398649878355</v>
      </c>
      <c r="K37" s="105">
        <f t="shared" si="1"/>
        <v>1.0941612573243158</v>
      </c>
      <c r="L37" s="105">
        <f t="shared" si="1"/>
        <v>1.0765054985973712</v>
      </c>
      <c r="M37" s="105">
        <f t="shared" si="1"/>
        <v>1.1055711470594995</v>
      </c>
      <c r="N37" s="106">
        <f t="shared" si="1"/>
        <v>1.1409494237654036</v>
      </c>
    </row>
    <row r="39" ht="12.75">
      <c r="L39" s="107"/>
    </row>
    <row r="40" ht="12.75">
      <c r="L40" s="107"/>
    </row>
  </sheetData>
  <sheetProtection/>
  <mergeCells count="2">
    <mergeCell ref="A9:N9"/>
    <mergeCell ref="A24:N24"/>
  </mergeCells>
  <printOptions horizontalCentered="1" verticalCentered="1"/>
  <pageMargins left="0.7" right="0.7" top="0.75" bottom="0.75" header="0.3" footer="0.3"/>
  <pageSetup horizontalDpi="600" verticalDpi="600" orientation="landscape" scale="70" r:id="rId1"/>
  <colBreaks count="1" manualBreakCount="1">
    <brk id="14" max="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3"/>
  <sheetViews>
    <sheetView showGridLines="0" zoomScalePageLayoutView="0" workbookViewId="0" topLeftCell="D1">
      <selection activeCell="L21" sqref="L21"/>
    </sheetView>
  </sheetViews>
  <sheetFormatPr defaultColWidth="9.140625" defaultRowHeight="12.75" outlineLevelCol="1"/>
  <cols>
    <col min="1" max="1" width="1.57421875" style="0" customWidth="1" outlineLevel="1"/>
    <col min="2" max="2" width="9.28125" style="0" customWidth="1" outlineLevel="1"/>
    <col min="3" max="3" width="10.8515625" style="0" customWidth="1" outlineLevel="1"/>
    <col min="4" max="4" width="15.00390625" style="0" customWidth="1" outlineLevel="1"/>
    <col min="5" max="5" width="13.28125" style="0" customWidth="1" outlineLevel="1"/>
    <col min="6" max="6" width="10.421875" style="0" customWidth="1" outlineLevel="1"/>
    <col min="7" max="7" width="11.28125" style="0" customWidth="1" outlineLevel="1"/>
    <col min="8" max="8" width="15.8515625" style="0" customWidth="1" outlineLevel="1"/>
    <col min="9" max="9" width="1.7109375" style="0" customWidth="1" outlineLevel="1"/>
    <col min="10" max="10" width="1.57421875" style="0" customWidth="1" outlineLevel="1"/>
    <col min="11" max="11" width="11.00390625" style="0" customWidth="1" outlineLevel="1"/>
    <col min="12" max="14" width="8.140625" style="0" customWidth="1" outlineLevel="1"/>
    <col min="15" max="27" width="7.57421875" style="0" customWidth="1" outlineLevel="1"/>
    <col min="28" max="28" width="5.00390625" style="0" customWidth="1" outlineLevel="1"/>
    <col min="29" max="29" width="5.00390625" style="0" bestFit="1" customWidth="1"/>
    <col min="30" max="30" width="9.28125" style="0" customWidth="1"/>
  </cols>
  <sheetData>
    <row r="1" spans="1:30" ht="13.5" thickBo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5"/>
      <c r="AC1" s="750" t="s">
        <v>42</v>
      </c>
      <c r="AD1" s="5"/>
    </row>
    <row r="2" spans="1:29" ht="13.5" thickBot="1">
      <c r="A2" s="36"/>
      <c r="B2" s="37" t="s">
        <v>43</v>
      </c>
      <c r="C2" s="38" t="s">
        <v>44</v>
      </c>
      <c r="D2" s="38" t="s">
        <v>45</v>
      </c>
      <c r="E2" s="38" t="s">
        <v>46</v>
      </c>
      <c r="F2" s="38" t="s">
        <v>47</v>
      </c>
      <c r="G2" s="38" t="s">
        <v>48</v>
      </c>
      <c r="H2" s="38" t="s">
        <v>49</v>
      </c>
      <c r="I2" s="39"/>
      <c r="J2" s="30"/>
      <c r="K2" s="40"/>
      <c r="L2" s="41">
        <v>1996</v>
      </c>
      <c r="M2" s="41">
        <v>1997</v>
      </c>
      <c r="N2" s="41">
        <v>1998</v>
      </c>
      <c r="O2" s="41">
        <v>1999</v>
      </c>
      <c r="P2" s="41">
        <v>2000</v>
      </c>
      <c r="Q2" s="41">
        <v>2001</v>
      </c>
      <c r="R2" s="41">
        <v>2002</v>
      </c>
      <c r="S2" s="41">
        <v>2003</v>
      </c>
      <c r="T2" s="41">
        <v>2004</v>
      </c>
      <c r="U2" s="41">
        <v>2005</v>
      </c>
      <c r="V2" s="41">
        <v>2006</v>
      </c>
      <c r="W2" s="41">
        <v>2007</v>
      </c>
      <c r="X2" s="41">
        <v>2008</v>
      </c>
      <c r="Y2" s="41">
        <v>2009</v>
      </c>
      <c r="Z2" s="41">
        <v>2010</v>
      </c>
      <c r="AA2" s="42">
        <v>2011</v>
      </c>
      <c r="AB2" s="43"/>
      <c r="AC2" s="751"/>
    </row>
    <row r="3" spans="1:29" ht="12.75">
      <c r="A3" s="36"/>
      <c r="B3" s="44">
        <v>35429</v>
      </c>
      <c r="C3" s="45">
        <v>280000</v>
      </c>
      <c r="D3" s="46" t="s">
        <v>50</v>
      </c>
      <c r="E3" s="47"/>
      <c r="F3" s="47"/>
      <c r="G3" s="47"/>
      <c r="H3" s="47"/>
      <c r="I3" s="43"/>
      <c r="J3" s="30"/>
      <c r="K3" s="48" t="s">
        <v>9</v>
      </c>
      <c r="L3" s="49"/>
      <c r="M3" s="50">
        <f>L14+H4</f>
        <v>281000</v>
      </c>
      <c r="N3" s="50">
        <f>M14+$H$4</f>
        <v>293000</v>
      </c>
      <c r="O3" s="50">
        <f>N14+$H$4</f>
        <v>305000</v>
      </c>
      <c r="P3" s="50">
        <f>O14+$H$4</f>
        <v>317000</v>
      </c>
      <c r="Q3" s="50">
        <f>P14+$H$4</f>
        <v>329000</v>
      </c>
      <c r="R3" s="50">
        <f>Q14+$H$5</f>
        <v>341333.3333333333</v>
      </c>
      <c r="S3" s="50">
        <f>R14+$H$6</f>
        <v>357333.3333333331</v>
      </c>
      <c r="T3" s="50">
        <f>S14+$H$7</f>
        <v>373416.6666666662</v>
      </c>
      <c r="U3" s="50">
        <f>T14+$H$8</f>
        <v>390999.99999999977</v>
      </c>
      <c r="V3" s="50">
        <f>U14+$H$9</f>
        <v>414666.66666666645</v>
      </c>
      <c r="W3" s="50">
        <f>V14+$H$10</f>
        <v>434416.6666666667</v>
      </c>
      <c r="X3" s="50">
        <f>W14+$H$11</f>
        <v>451250.00000000023</v>
      </c>
      <c r="Y3" s="50">
        <f>X14+$H$12</f>
        <v>466250.00000000023</v>
      </c>
      <c r="Z3" s="50">
        <f>Y14+$H$13</f>
        <v>481333.33333333355</v>
      </c>
      <c r="AA3" s="51">
        <f>Z14+$H$14</f>
        <v>497250</v>
      </c>
      <c r="AB3" s="43"/>
      <c r="AC3" s="751"/>
    </row>
    <row r="4" spans="1:29" ht="12.75">
      <c r="A4" s="36"/>
      <c r="B4" s="44">
        <v>37255</v>
      </c>
      <c r="C4" s="45">
        <v>340000</v>
      </c>
      <c r="D4" s="46" t="s">
        <v>50</v>
      </c>
      <c r="E4" s="52">
        <f aca="true" t="shared" si="0" ref="E4:E14">C4-C3</f>
        <v>60000</v>
      </c>
      <c r="F4" s="30">
        <v>5</v>
      </c>
      <c r="G4" s="30">
        <f>F4*12</f>
        <v>60</v>
      </c>
      <c r="H4" s="53">
        <f aca="true" t="shared" si="1" ref="H4:H14">E4/G4</f>
        <v>1000</v>
      </c>
      <c r="I4" s="43"/>
      <c r="J4" s="30"/>
      <c r="K4" s="48" t="s">
        <v>10</v>
      </c>
      <c r="L4" s="49"/>
      <c r="M4" s="50">
        <f aca="true" t="shared" si="2" ref="M4:Q14">M3+$H$4</f>
        <v>282000</v>
      </c>
      <c r="N4" s="50">
        <f t="shared" si="2"/>
        <v>294000</v>
      </c>
      <c r="O4" s="50">
        <f t="shared" si="2"/>
        <v>306000</v>
      </c>
      <c r="P4" s="50">
        <f t="shared" si="2"/>
        <v>318000</v>
      </c>
      <c r="Q4" s="50">
        <f t="shared" si="2"/>
        <v>330000</v>
      </c>
      <c r="R4" s="50">
        <f>R3+$H$5</f>
        <v>342666.6666666666</v>
      </c>
      <c r="S4" s="50">
        <f>S3+$H$6</f>
        <v>358666.6666666664</v>
      </c>
      <c r="T4" s="50">
        <f aca="true" t="shared" si="3" ref="T4:T14">T3+$H$7</f>
        <v>374833.3333333329</v>
      </c>
      <c r="U4" s="50">
        <f aca="true" t="shared" si="4" ref="U4:U14">U3+$H$8</f>
        <v>392999.99999999977</v>
      </c>
      <c r="V4" s="50">
        <f aca="true" t="shared" si="5" ref="V4:V14">V3+$H$9</f>
        <v>416333.33333333314</v>
      </c>
      <c r="W4" s="50">
        <f aca="true" t="shared" si="6" ref="W4:W14">W3+$H$10</f>
        <v>435833.3333333334</v>
      </c>
      <c r="X4" s="50">
        <f aca="true" t="shared" si="7" ref="X4:X14">X3+$H$11</f>
        <v>452500.00000000023</v>
      </c>
      <c r="Y4" s="50">
        <f>Y3+$H$12</f>
        <v>467500.00000000023</v>
      </c>
      <c r="Z4" s="50">
        <f>Z3+$H$13</f>
        <v>482666.66666666686</v>
      </c>
      <c r="AA4" s="51">
        <f aca="true" t="shared" si="8" ref="AA4:AA14">AA3+$H$14</f>
        <v>498500</v>
      </c>
      <c r="AB4" s="43"/>
      <c r="AC4" s="751"/>
    </row>
    <row r="5" spans="1:29" ht="12.75">
      <c r="A5" s="36"/>
      <c r="B5" s="44">
        <v>37621</v>
      </c>
      <c r="C5" s="45">
        <v>356000</v>
      </c>
      <c r="D5" s="46" t="s">
        <v>50</v>
      </c>
      <c r="E5" s="54">
        <f t="shared" si="0"/>
        <v>16000</v>
      </c>
      <c r="F5">
        <v>1</v>
      </c>
      <c r="G5">
        <f>+F5*12</f>
        <v>12</v>
      </c>
      <c r="H5" s="53">
        <f t="shared" si="1"/>
        <v>1333.3333333333333</v>
      </c>
      <c r="I5" s="43"/>
      <c r="J5" s="30"/>
      <c r="K5" s="48" t="s">
        <v>11</v>
      </c>
      <c r="L5" s="49"/>
      <c r="M5" s="50">
        <f t="shared" si="2"/>
        <v>283000</v>
      </c>
      <c r="N5" s="50">
        <f t="shared" si="2"/>
        <v>295000</v>
      </c>
      <c r="O5" s="50">
        <f t="shared" si="2"/>
        <v>307000</v>
      </c>
      <c r="P5" s="50">
        <f t="shared" si="2"/>
        <v>319000</v>
      </c>
      <c r="Q5" s="50">
        <f t="shared" si="2"/>
        <v>331000</v>
      </c>
      <c r="R5" s="50">
        <f aca="true" t="shared" si="9" ref="R5:R14">R4+$H$5</f>
        <v>343999.99999999994</v>
      </c>
      <c r="S5" s="50">
        <f aca="true" t="shared" si="10" ref="S5:S14">S4+$H$6</f>
        <v>359999.9999999997</v>
      </c>
      <c r="T5" s="50">
        <f t="shared" si="3"/>
        <v>376249.9999999996</v>
      </c>
      <c r="U5" s="50">
        <f t="shared" si="4"/>
        <v>394999.99999999977</v>
      </c>
      <c r="V5" s="50">
        <f t="shared" si="5"/>
        <v>417999.9999999998</v>
      </c>
      <c r="W5" s="50">
        <f t="shared" si="6"/>
        <v>437250.00000000006</v>
      </c>
      <c r="X5" s="50">
        <f t="shared" si="7"/>
        <v>453750.00000000023</v>
      </c>
      <c r="Y5" s="50">
        <f aca="true" t="shared" si="11" ref="Y5:Y14">Y4+$H$12</f>
        <v>468750.00000000023</v>
      </c>
      <c r="Z5" s="50">
        <f aca="true" t="shared" si="12" ref="Z5:Z14">Z4+$H$13</f>
        <v>484000.0000000002</v>
      </c>
      <c r="AA5" s="51">
        <f t="shared" si="8"/>
        <v>499750</v>
      </c>
      <c r="AB5" s="43"/>
      <c r="AC5" s="751"/>
    </row>
    <row r="6" spans="1:29" ht="12.75">
      <c r="A6" s="36"/>
      <c r="B6" s="44">
        <v>37986</v>
      </c>
      <c r="C6" s="45">
        <v>372000</v>
      </c>
      <c r="D6" s="46" t="s">
        <v>50</v>
      </c>
      <c r="E6" s="54">
        <f t="shared" si="0"/>
        <v>16000</v>
      </c>
      <c r="F6">
        <v>1</v>
      </c>
      <c r="G6">
        <f aca="true" t="shared" si="13" ref="G6:G14">+F6*12</f>
        <v>12</v>
      </c>
      <c r="H6" s="53">
        <f t="shared" si="1"/>
        <v>1333.3333333333333</v>
      </c>
      <c r="I6" s="43"/>
      <c r="J6" s="30"/>
      <c r="K6" s="48" t="s">
        <v>12</v>
      </c>
      <c r="L6" s="49"/>
      <c r="M6" s="50">
        <f t="shared" si="2"/>
        <v>284000</v>
      </c>
      <c r="N6" s="50">
        <f t="shared" si="2"/>
        <v>296000</v>
      </c>
      <c r="O6" s="50">
        <f t="shared" si="2"/>
        <v>308000</v>
      </c>
      <c r="P6" s="50">
        <f t="shared" si="2"/>
        <v>320000</v>
      </c>
      <c r="Q6" s="50">
        <f t="shared" si="2"/>
        <v>332000</v>
      </c>
      <c r="R6" s="50">
        <f t="shared" si="9"/>
        <v>345333.33333333326</v>
      </c>
      <c r="S6" s="50">
        <f t="shared" si="10"/>
        <v>361333.333333333</v>
      </c>
      <c r="T6" s="50">
        <f t="shared" si="3"/>
        <v>377666.6666666663</v>
      </c>
      <c r="U6" s="50">
        <f t="shared" si="4"/>
        <v>396999.99999999977</v>
      </c>
      <c r="V6" s="50">
        <f t="shared" si="5"/>
        <v>419666.6666666665</v>
      </c>
      <c r="W6" s="50">
        <f t="shared" si="6"/>
        <v>438666.66666666674</v>
      </c>
      <c r="X6" s="50">
        <f t="shared" si="7"/>
        <v>455000.00000000023</v>
      </c>
      <c r="Y6" s="50">
        <f t="shared" si="11"/>
        <v>470000.00000000023</v>
      </c>
      <c r="Z6" s="50">
        <f t="shared" si="12"/>
        <v>485333.3333333335</v>
      </c>
      <c r="AA6" s="51">
        <f t="shared" si="8"/>
        <v>501000</v>
      </c>
      <c r="AB6" s="43"/>
      <c r="AC6" s="751"/>
    </row>
    <row r="7" spans="1:29" ht="12.75">
      <c r="A7" s="36"/>
      <c r="B7" s="44">
        <v>38322</v>
      </c>
      <c r="C7" s="45">
        <v>389000</v>
      </c>
      <c r="D7" s="46" t="s">
        <v>50</v>
      </c>
      <c r="E7" s="54">
        <f t="shared" si="0"/>
        <v>17000</v>
      </c>
      <c r="F7" s="30">
        <v>1</v>
      </c>
      <c r="G7">
        <f t="shared" si="13"/>
        <v>12</v>
      </c>
      <c r="H7" s="53">
        <f t="shared" si="1"/>
        <v>1416.6666666666667</v>
      </c>
      <c r="I7" s="43"/>
      <c r="J7" s="30"/>
      <c r="K7" s="48" t="s">
        <v>13</v>
      </c>
      <c r="L7" s="49"/>
      <c r="M7" s="50">
        <f t="shared" si="2"/>
        <v>285000</v>
      </c>
      <c r="N7" s="50">
        <f t="shared" si="2"/>
        <v>297000</v>
      </c>
      <c r="O7" s="50">
        <f t="shared" si="2"/>
        <v>309000</v>
      </c>
      <c r="P7" s="50">
        <f t="shared" si="2"/>
        <v>321000</v>
      </c>
      <c r="Q7" s="50">
        <f t="shared" si="2"/>
        <v>333000</v>
      </c>
      <c r="R7" s="50">
        <f t="shared" si="9"/>
        <v>346666.66666666657</v>
      </c>
      <c r="S7" s="50">
        <f t="shared" si="10"/>
        <v>362666.66666666634</v>
      </c>
      <c r="T7" s="50">
        <f t="shared" si="3"/>
        <v>379083.33333333296</v>
      </c>
      <c r="U7" s="50">
        <f t="shared" si="4"/>
        <v>398999.99999999977</v>
      </c>
      <c r="V7" s="50">
        <f t="shared" si="5"/>
        <v>421333.3333333332</v>
      </c>
      <c r="W7" s="50">
        <f t="shared" si="6"/>
        <v>440083.33333333343</v>
      </c>
      <c r="X7" s="50">
        <f t="shared" si="7"/>
        <v>456250.00000000023</v>
      </c>
      <c r="Y7" s="50">
        <f t="shared" si="11"/>
        <v>471250.00000000023</v>
      </c>
      <c r="Z7" s="50">
        <f t="shared" si="12"/>
        <v>486666.6666666668</v>
      </c>
      <c r="AA7" s="51">
        <f t="shared" si="8"/>
        <v>502250</v>
      </c>
      <c r="AB7" s="43"/>
      <c r="AC7" s="751"/>
    </row>
    <row r="8" spans="1:29" ht="12.75">
      <c r="A8" s="36"/>
      <c r="B8" s="44">
        <v>38687</v>
      </c>
      <c r="C8" s="45">
        <v>413000</v>
      </c>
      <c r="D8" s="46" t="s">
        <v>50</v>
      </c>
      <c r="E8" s="54">
        <f t="shared" si="0"/>
        <v>24000</v>
      </c>
      <c r="F8" s="30">
        <v>1</v>
      </c>
      <c r="G8">
        <f t="shared" si="13"/>
        <v>12</v>
      </c>
      <c r="H8" s="53">
        <f t="shared" si="1"/>
        <v>2000</v>
      </c>
      <c r="I8" s="43"/>
      <c r="J8" s="30"/>
      <c r="K8" s="48" t="s">
        <v>14</v>
      </c>
      <c r="L8" s="49"/>
      <c r="M8" s="50">
        <f t="shared" si="2"/>
        <v>286000</v>
      </c>
      <c r="N8" s="50">
        <f t="shared" si="2"/>
        <v>298000</v>
      </c>
      <c r="O8" s="50">
        <f t="shared" si="2"/>
        <v>310000</v>
      </c>
      <c r="P8" s="50">
        <f t="shared" si="2"/>
        <v>322000</v>
      </c>
      <c r="Q8" s="50">
        <f t="shared" si="2"/>
        <v>334000</v>
      </c>
      <c r="R8" s="50">
        <f t="shared" si="9"/>
        <v>347999.9999999999</v>
      </c>
      <c r="S8" s="50">
        <f t="shared" si="10"/>
        <v>363999.99999999965</v>
      </c>
      <c r="T8" s="50">
        <f t="shared" si="3"/>
        <v>380499.99999999965</v>
      </c>
      <c r="U8" s="50">
        <f t="shared" si="4"/>
        <v>400999.99999999977</v>
      </c>
      <c r="V8" s="50">
        <f t="shared" si="5"/>
        <v>422999.9999999999</v>
      </c>
      <c r="W8" s="50">
        <f t="shared" si="6"/>
        <v>441500.0000000001</v>
      </c>
      <c r="X8" s="50">
        <f t="shared" si="7"/>
        <v>457500.00000000023</v>
      </c>
      <c r="Y8" s="50">
        <f t="shared" si="11"/>
        <v>472500.00000000023</v>
      </c>
      <c r="Z8" s="50">
        <f t="shared" si="12"/>
        <v>488000.0000000001</v>
      </c>
      <c r="AA8" s="51">
        <f t="shared" si="8"/>
        <v>503500</v>
      </c>
      <c r="AB8" s="43"/>
      <c r="AC8" s="751"/>
    </row>
    <row r="9" spans="1:29" ht="12.75">
      <c r="A9" s="36"/>
      <c r="B9" s="44">
        <v>39052</v>
      </c>
      <c r="C9" s="45">
        <v>433000</v>
      </c>
      <c r="D9" s="46" t="s">
        <v>50</v>
      </c>
      <c r="E9" s="54">
        <f t="shared" si="0"/>
        <v>20000</v>
      </c>
      <c r="F9" s="30">
        <v>1</v>
      </c>
      <c r="G9">
        <f t="shared" si="13"/>
        <v>12</v>
      </c>
      <c r="H9" s="53">
        <f t="shared" si="1"/>
        <v>1666.6666666666667</v>
      </c>
      <c r="I9" s="43"/>
      <c r="J9" s="30"/>
      <c r="K9" s="48" t="s">
        <v>15</v>
      </c>
      <c r="L9" s="49"/>
      <c r="M9" s="50">
        <f t="shared" si="2"/>
        <v>287000</v>
      </c>
      <c r="N9" s="50">
        <f t="shared" si="2"/>
        <v>299000</v>
      </c>
      <c r="O9" s="50">
        <f t="shared" si="2"/>
        <v>311000</v>
      </c>
      <c r="P9" s="50">
        <f t="shared" si="2"/>
        <v>323000</v>
      </c>
      <c r="Q9" s="50">
        <f t="shared" si="2"/>
        <v>335000</v>
      </c>
      <c r="R9" s="50">
        <f t="shared" si="9"/>
        <v>349333.3333333332</v>
      </c>
      <c r="S9" s="50">
        <f t="shared" si="10"/>
        <v>365333.33333333296</v>
      </c>
      <c r="T9" s="50">
        <f t="shared" si="3"/>
        <v>381916.66666666634</v>
      </c>
      <c r="U9" s="50">
        <f t="shared" si="4"/>
        <v>402999.99999999977</v>
      </c>
      <c r="V9" s="50">
        <f t="shared" si="5"/>
        <v>424666.66666666657</v>
      </c>
      <c r="W9" s="50">
        <f t="shared" si="6"/>
        <v>442916.6666666668</v>
      </c>
      <c r="X9" s="50">
        <f t="shared" si="7"/>
        <v>458750.00000000023</v>
      </c>
      <c r="Y9" s="50">
        <f t="shared" si="11"/>
        <v>473750.00000000023</v>
      </c>
      <c r="Z9" s="50">
        <f t="shared" si="12"/>
        <v>489333.33333333343</v>
      </c>
      <c r="AA9" s="51">
        <f t="shared" si="8"/>
        <v>504750</v>
      </c>
      <c r="AB9" s="43"/>
      <c r="AC9" s="751"/>
    </row>
    <row r="10" spans="1:29" ht="12.75">
      <c r="A10" s="36"/>
      <c r="B10" s="44">
        <v>39417</v>
      </c>
      <c r="C10" s="45">
        <v>450000</v>
      </c>
      <c r="D10" s="46" t="s">
        <v>50</v>
      </c>
      <c r="E10" s="54">
        <f t="shared" si="0"/>
        <v>17000</v>
      </c>
      <c r="F10" s="30">
        <v>1</v>
      </c>
      <c r="G10">
        <f t="shared" si="13"/>
        <v>12</v>
      </c>
      <c r="H10" s="53">
        <f t="shared" si="1"/>
        <v>1416.6666666666667</v>
      </c>
      <c r="I10" s="43"/>
      <c r="J10" s="30"/>
      <c r="K10" s="48" t="s">
        <v>16</v>
      </c>
      <c r="L10" s="49"/>
      <c r="M10" s="50">
        <f t="shared" si="2"/>
        <v>288000</v>
      </c>
      <c r="N10" s="50">
        <f t="shared" si="2"/>
        <v>300000</v>
      </c>
      <c r="O10" s="50">
        <f t="shared" si="2"/>
        <v>312000</v>
      </c>
      <c r="P10" s="50">
        <f t="shared" si="2"/>
        <v>324000</v>
      </c>
      <c r="Q10" s="50">
        <f t="shared" si="2"/>
        <v>336000</v>
      </c>
      <c r="R10" s="50">
        <f t="shared" si="9"/>
        <v>350666.6666666665</v>
      </c>
      <c r="S10" s="50">
        <f t="shared" si="10"/>
        <v>366666.6666666663</v>
      </c>
      <c r="T10" s="50">
        <f t="shared" si="3"/>
        <v>383333.333333333</v>
      </c>
      <c r="U10" s="50">
        <f t="shared" si="4"/>
        <v>404999.99999999977</v>
      </c>
      <c r="V10" s="50">
        <f t="shared" si="5"/>
        <v>426333.33333333326</v>
      </c>
      <c r="W10" s="50">
        <f t="shared" si="6"/>
        <v>444333.3333333335</v>
      </c>
      <c r="X10" s="50">
        <f t="shared" si="7"/>
        <v>460000.00000000023</v>
      </c>
      <c r="Y10" s="50">
        <f t="shared" si="11"/>
        <v>475000.00000000023</v>
      </c>
      <c r="Z10" s="50">
        <f t="shared" si="12"/>
        <v>490666.66666666674</v>
      </c>
      <c r="AA10" s="51">
        <f t="shared" si="8"/>
        <v>506000</v>
      </c>
      <c r="AB10" s="43"/>
      <c r="AC10" s="751"/>
    </row>
    <row r="11" spans="1:29" ht="12.75">
      <c r="A11" s="36"/>
      <c r="B11" s="44">
        <v>39783</v>
      </c>
      <c r="C11" s="45">
        <v>465000</v>
      </c>
      <c r="D11" s="46" t="s">
        <v>50</v>
      </c>
      <c r="E11" s="54">
        <f t="shared" si="0"/>
        <v>15000</v>
      </c>
      <c r="F11" s="30">
        <v>1</v>
      </c>
      <c r="G11">
        <f t="shared" si="13"/>
        <v>12</v>
      </c>
      <c r="H11" s="53">
        <f t="shared" si="1"/>
        <v>1250</v>
      </c>
      <c r="I11" s="43"/>
      <c r="J11" s="30"/>
      <c r="K11" s="48" t="s">
        <v>17</v>
      </c>
      <c r="L11" s="49"/>
      <c r="M11" s="50">
        <f t="shared" si="2"/>
        <v>289000</v>
      </c>
      <c r="N11" s="50">
        <f t="shared" si="2"/>
        <v>301000</v>
      </c>
      <c r="O11" s="50">
        <f t="shared" si="2"/>
        <v>313000</v>
      </c>
      <c r="P11" s="50">
        <f t="shared" si="2"/>
        <v>325000</v>
      </c>
      <c r="Q11" s="50">
        <f t="shared" si="2"/>
        <v>337000</v>
      </c>
      <c r="R11" s="50">
        <f t="shared" si="9"/>
        <v>351999.9999999998</v>
      </c>
      <c r="S11" s="50">
        <f t="shared" si="10"/>
        <v>367999.9999999996</v>
      </c>
      <c r="T11" s="50">
        <f t="shared" si="3"/>
        <v>384749.9999999997</v>
      </c>
      <c r="U11" s="50">
        <f t="shared" si="4"/>
        <v>406999.99999999977</v>
      </c>
      <c r="V11" s="50">
        <f t="shared" si="5"/>
        <v>427999.99999999994</v>
      </c>
      <c r="W11" s="50">
        <f t="shared" si="6"/>
        <v>445750.0000000002</v>
      </c>
      <c r="X11" s="50">
        <f t="shared" si="7"/>
        <v>461250.00000000023</v>
      </c>
      <c r="Y11" s="50">
        <f t="shared" si="11"/>
        <v>476250.00000000023</v>
      </c>
      <c r="Z11" s="50">
        <f t="shared" si="12"/>
        <v>492000.00000000006</v>
      </c>
      <c r="AA11" s="51">
        <f t="shared" si="8"/>
        <v>507250</v>
      </c>
      <c r="AB11" s="43"/>
      <c r="AC11" s="751"/>
    </row>
    <row r="12" spans="1:29" ht="12.75">
      <c r="A12" s="36"/>
      <c r="B12" s="44">
        <v>40148</v>
      </c>
      <c r="C12" s="45">
        <v>480000</v>
      </c>
      <c r="D12" s="46" t="s">
        <v>50</v>
      </c>
      <c r="E12" s="54">
        <f t="shared" si="0"/>
        <v>15000</v>
      </c>
      <c r="F12" s="30">
        <v>1</v>
      </c>
      <c r="G12">
        <f t="shared" si="13"/>
        <v>12</v>
      </c>
      <c r="H12" s="53">
        <f t="shared" si="1"/>
        <v>1250</v>
      </c>
      <c r="I12" s="43"/>
      <c r="J12" s="30"/>
      <c r="K12" s="48" t="s">
        <v>51</v>
      </c>
      <c r="L12" s="49"/>
      <c r="M12" s="50">
        <f t="shared" si="2"/>
        <v>290000</v>
      </c>
      <c r="N12" s="50">
        <f t="shared" si="2"/>
        <v>302000</v>
      </c>
      <c r="O12" s="50">
        <f t="shared" si="2"/>
        <v>314000</v>
      </c>
      <c r="P12" s="50">
        <f t="shared" si="2"/>
        <v>326000</v>
      </c>
      <c r="Q12" s="50">
        <f t="shared" si="2"/>
        <v>338000</v>
      </c>
      <c r="R12" s="50">
        <f t="shared" si="9"/>
        <v>353333.33333333314</v>
      </c>
      <c r="S12" s="50">
        <f t="shared" si="10"/>
        <v>369333.3333333329</v>
      </c>
      <c r="T12" s="50">
        <f t="shared" si="3"/>
        <v>386166.6666666664</v>
      </c>
      <c r="U12" s="50">
        <f t="shared" si="4"/>
        <v>408999.99999999977</v>
      </c>
      <c r="V12" s="50">
        <f t="shared" si="5"/>
        <v>429666.6666666666</v>
      </c>
      <c r="W12" s="50">
        <f t="shared" si="6"/>
        <v>447166.66666666686</v>
      </c>
      <c r="X12" s="50">
        <f t="shared" si="7"/>
        <v>462500.00000000023</v>
      </c>
      <c r="Y12" s="50">
        <f t="shared" si="11"/>
        <v>477500.00000000023</v>
      </c>
      <c r="Z12" s="50">
        <f t="shared" si="12"/>
        <v>493333.3333333334</v>
      </c>
      <c r="AA12" s="51">
        <f t="shared" si="8"/>
        <v>508500</v>
      </c>
      <c r="AB12" s="43"/>
      <c r="AC12" s="751"/>
    </row>
    <row r="13" spans="1:29" ht="12.75">
      <c r="A13" s="36"/>
      <c r="B13" s="44">
        <v>40513</v>
      </c>
      <c r="C13" s="45">
        <v>496000</v>
      </c>
      <c r="D13" s="46" t="s">
        <v>50</v>
      </c>
      <c r="E13" s="54">
        <f t="shared" si="0"/>
        <v>16000</v>
      </c>
      <c r="F13" s="30">
        <v>1</v>
      </c>
      <c r="G13">
        <f t="shared" si="13"/>
        <v>12</v>
      </c>
      <c r="H13" s="53">
        <f t="shared" si="1"/>
        <v>1333.3333333333333</v>
      </c>
      <c r="I13" s="43"/>
      <c r="J13" s="30"/>
      <c r="K13" s="48" t="s">
        <v>19</v>
      </c>
      <c r="L13" s="55">
        <f>$C$3</f>
        <v>280000</v>
      </c>
      <c r="M13" s="50">
        <f t="shared" si="2"/>
        <v>291000</v>
      </c>
      <c r="N13" s="50">
        <f t="shared" si="2"/>
        <v>303000</v>
      </c>
      <c r="O13" s="50">
        <f t="shared" si="2"/>
        <v>315000</v>
      </c>
      <c r="P13" s="50">
        <f t="shared" si="2"/>
        <v>327000</v>
      </c>
      <c r="Q13" s="50">
        <f t="shared" si="2"/>
        <v>339000</v>
      </c>
      <c r="R13" s="50">
        <f t="shared" si="9"/>
        <v>354666.66666666645</v>
      </c>
      <c r="S13" s="50">
        <f t="shared" si="10"/>
        <v>370666.6666666662</v>
      </c>
      <c r="T13" s="50">
        <f t="shared" si="3"/>
        <v>387583.3333333331</v>
      </c>
      <c r="U13" s="50">
        <f t="shared" si="4"/>
        <v>410999.99999999977</v>
      </c>
      <c r="V13" s="50">
        <f t="shared" si="5"/>
        <v>431333.3333333333</v>
      </c>
      <c r="W13" s="50">
        <f t="shared" si="6"/>
        <v>448583.33333333355</v>
      </c>
      <c r="X13" s="50">
        <f t="shared" si="7"/>
        <v>463750.00000000023</v>
      </c>
      <c r="Y13" s="50">
        <f t="shared" si="11"/>
        <v>478750.00000000023</v>
      </c>
      <c r="Z13" s="50">
        <f t="shared" si="12"/>
        <v>494666.6666666667</v>
      </c>
      <c r="AA13" s="51">
        <f t="shared" si="8"/>
        <v>509750</v>
      </c>
      <c r="AB13" s="43"/>
      <c r="AC13" s="751"/>
    </row>
    <row r="14" spans="1:29" ht="13.5" thickBot="1">
      <c r="A14" s="36"/>
      <c r="B14" s="56">
        <v>40878</v>
      </c>
      <c r="C14" s="57">
        <v>511000</v>
      </c>
      <c r="D14" s="58" t="s">
        <v>50</v>
      </c>
      <c r="E14" s="59">
        <f t="shared" si="0"/>
        <v>15000</v>
      </c>
      <c r="F14" s="60">
        <v>1</v>
      </c>
      <c r="G14" s="60">
        <f t="shared" si="13"/>
        <v>12</v>
      </c>
      <c r="H14" s="61">
        <f t="shared" si="1"/>
        <v>1250</v>
      </c>
      <c r="I14" s="62"/>
      <c r="J14" s="30"/>
      <c r="K14" s="63" t="s">
        <v>20</v>
      </c>
      <c r="L14" s="64">
        <f>$C$3</f>
        <v>280000</v>
      </c>
      <c r="M14" s="65">
        <f>M13+$H$4</f>
        <v>292000</v>
      </c>
      <c r="N14" s="65">
        <f>N13+$H$4</f>
        <v>304000</v>
      </c>
      <c r="O14" s="65">
        <f>O13+$H$4</f>
        <v>316000</v>
      </c>
      <c r="P14" s="65">
        <f>P13+$H$4</f>
        <v>328000</v>
      </c>
      <c r="Q14" s="65">
        <f t="shared" si="2"/>
        <v>340000</v>
      </c>
      <c r="R14" s="65">
        <f t="shared" si="9"/>
        <v>355999.99999999977</v>
      </c>
      <c r="S14" s="65">
        <f t="shared" si="10"/>
        <v>371999.99999999953</v>
      </c>
      <c r="T14" s="65">
        <f t="shared" si="3"/>
        <v>388999.99999999977</v>
      </c>
      <c r="U14" s="65">
        <f t="shared" si="4"/>
        <v>412999.99999999977</v>
      </c>
      <c r="V14" s="65">
        <f t="shared" si="5"/>
        <v>433000</v>
      </c>
      <c r="W14" s="65">
        <f t="shared" si="6"/>
        <v>450000.00000000023</v>
      </c>
      <c r="X14" s="65">
        <f t="shared" si="7"/>
        <v>465000.00000000023</v>
      </c>
      <c r="Y14" s="65">
        <f t="shared" si="11"/>
        <v>480000.00000000023</v>
      </c>
      <c r="Z14" s="65">
        <f t="shared" si="12"/>
        <v>496000</v>
      </c>
      <c r="AA14" s="66">
        <f t="shared" si="8"/>
        <v>511000</v>
      </c>
      <c r="AB14" s="43"/>
      <c r="AC14" s="751"/>
    </row>
    <row r="15" spans="1:29" ht="12.75">
      <c r="A15" s="36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43"/>
      <c r="AC15" s="751"/>
    </row>
    <row r="16" spans="1:29" ht="12.75">
      <c r="A16" s="3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43"/>
      <c r="AC16" s="751"/>
    </row>
    <row r="17" spans="1:29" ht="12.75">
      <c r="A17" s="36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67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43"/>
      <c r="AC17" s="751"/>
    </row>
    <row r="18" spans="1:29" ht="12.75">
      <c r="A18" s="36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43"/>
      <c r="AC18" s="751"/>
    </row>
    <row r="19" spans="1:29" ht="12.75">
      <c r="A19" s="3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52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43"/>
      <c r="AC19" s="68"/>
    </row>
    <row r="20" spans="1:29" ht="12.75">
      <c r="A20" s="36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43"/>
      <c r="AC20" s="68"/>
    </row>
    <row r="21" spans="1:29" ht="12.75">
      <c r="A21" s="36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43"/>
      <c r="AC21" s="68"/>
    </row>
    <row r="22" spans="1:29" ht="12.75">
      <c r="A22" s="36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43"/>
      <c r="AC22" s="68"/>
    </row>
    <row r="23" spans="1:29" ht="13.5" thickBot="1">
      <c r="A23" s="6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1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2"/>
      <c r="AC23" s="70"/>
    </row>
  </sheetData>
  <sheetProtection/>
  <mergeCells count="1">
    <mergeCell ref="AC1:AC18"/>
  </mergeCells>
  <printOptions horizontalCentered="1" verticalCentered="1"/>
  <pageMargins left="0.7" right="0.7" top="0.75" bottom="0.75" header="0.3" footer="0.3"/>
  <pageSetup horizontalDpi="600" verticalDpi="600" orientation="landscape" paperSize="5" scale="64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L44"/>
  <sheetViews>
    <sheetView showGridLines="0" zoomScalePageLayoutView="0" workbookViewId="0" topLeftCell="A1">
      <selection activeCell="AJ27" sqref="AJ27"/>
    </sheetView>
  </sheetViews>
  <sheetFormatPr defaultColWidth="9.140625" defaultRowHeight="12.75"/>
  <cols>
    <col min="1" max="1" width="10.7109375" style="28" bestFit="1" customWidth="1"/>
    <col min="32" max="32" width="10.00390625" style="0" bestFit="1" customWidth="1"/>
    <col min="37" max="38" width="9.57421875" style="0" bestFit="1" customWidth="1"/>
  </cols>
  <sheetData>
    <row r="1" spans="1:34" s="32" customFormat="1" ht="13.5" thickBot="1">
      <c r="A1" s="758">
        <v>1980</v>
      </c>
      <c r="B1" s="759"/>
      <c r="C1" s="760"/>
      <c r="D1" s="758">
        <v>1981</v>
      </c>
      <c r="E1" s="759"/>
      <c r="F1" s="760"/>
      <c r="G1" s="758">
        <v>1982</v>
      </c>
      <c r="H1" s="759"/>
      <c r="I1" s="760"/>
      <c r="J1" s="758">
        <v>1983</v>
      </c>
      <c r="K1" s="759"/>
      <c r="L1" s="760"/>
      <c r="M1" s="761">
        <v>1984</v>
      </c>
      <c r="N1" s="759"/>
      <c r="O1" s="760"/>
      <c r="P1" s="758" t="s">
        <v>0</v>
      </c>
      <c r="Q1" s="759"/>
      <c r="R1" s="760"/>
      <c r="S1" s="758" t="s">
        <v>1</v>
      </c>
      <c r="T1" s="759"/>
      <c r="U1" s="760"/>
      <c r="V1" s="758" t="s">
        <v>2</v>
      </c>
      <c r="W1" s="759"/>
      <c r="X1" s="760"/>
      <c r="Y1" s="758" t="s">
        <v>3</v>
      </c>
      <c r="Z1" s="759"/>
      <c r="AA1" s="760"/>
      <c r="AB1" s="758" t="s">
        <v>4</v>
      </c>
      <c r="AC1" s="759"/>
      <c r="AD1" s="760"/>
      <c r="AF1" s="758" t="s">
        <v>5</v>
      </c>
      <c r="AG1" s="759"/>
      <c r="AH1" s="760"/>
    </row>
    <row r="2" spans="1:38" s="5" customFormat="1" ht="13.5" thickBot="1">
      <c r="A2" s="2" t="s">
        <v>6</v>
      </c>
      <c r="B2" s="3" t="s">
        <v>7</v>
      </c>
      <c r="C2" s="4" t="s">
        <v>8</v>
      </c>
      <c r="D2" s="2" t="s">
        <v>6</v>
      </c>
      <c r="E2" s="3" t="s">
        <v>7</v>
      </c>
      <c r="F2" s="4" t="s">
        <v>8</v>
      </c>
      <c r="G2" s="2" t="s">
        <v>6</v>
      </c>
      <c r="H2" s="3" t="s">
        <v>7</v>
      </c>
      <c r="I2" s="4" t="s">
        <v>8</v>
      </c>
      <c r="J2" s="2" t="s">
        <v>6</v>
      </c>
      <c r="K2" s="3" t="s">
        <v>7</v>
      </c>
      <c r="L2" s="4" t="s">
        <v>8</v>
      </c>
      <c r="M2" s="2" t="s">
        <v>6</v>
      </c>
      <c r="N2" s="3" t="s">
        <v>7</v>
      </c>
      <c r="O2" s="4" t="s">
        <v>8</v>
      </c>
      <c r="P2" s="2" t="s">
        <v>6</v>
      </c>
      <c r="Q2" s="3" t="s">
        <v>7</v>
      </c>
      <c r="R2" s="4" t="s">
        <v>8</v>
      </c>
      <c r="S2" s="2" t="s">
        <v>6</v>
      </c>
      <c r="T2" s="3" t="s">
        <v>7</v>
      </c>
      <c r="U2" s="4" t="s">
        <v>8</v>
      </c>
      <c r="V2" s="2" t="s">
        <v>6</v>
      </c>
      <c r="W2" s="3" t="s">
        <v>7</v>
      </c>
      <c r="X2" s="4" t="s">
        <v>8</v>
      </c>
      <c r="Y2" s="2" t="s">
        <v>6</v>
      </c>
      <c r="Z2" s="3" t="s">
        <v>7</v>
      </c>
      <c r="AA2" s="4" t="s">
        <v>8</v>
      </c>
      <c r="AB2" s="2" t="s">
        <v>6</v>
      </c>
      <c r="AC2" s="3" t="s">
        <v>7</v>
      </c>
      <c r="AD2" s="4" t="s">
        <v>8</v>
      </c>
      <c r="AF2" s="6" t="s">
        <v>6</v>
      </c>
      <c r="AG2" s="7" t="s">
        <v>7</v>
      </c>
      <c r="AH2" s="8" t="s">
        <v>8</v>
      </c>
      <c r="AJ2" s="9"/>
      <c r="AK2" s="9"/>
      <c r="AL2" s="9"/>
    </row>
    <row r="3" spans="1:38" ht="12.75">
      <c r="A3" s="10">
        <v>29221</v>
      </c>
      <c r="B3" s="11">
        <v>715.4</v>
      </c>
      <c r="C3" s="12">
        <v>0</v>
      </c>
      <c r="D3" s="13">
        <v>29587</v>
      </c>
      <c r="E3" s="11">
        <v>873.8</v>
      </c>
      <c r="F3" s="12">
        <v>0</v>
      </c>
      <c r="G3" s="13">
        <v>29952</v>
      </c>
      <c r="H3" s="11">
        <v>870.8</v>
      </c>
      <c r="I3" s="12">
        <v>0</v>
      </c>
      <c r="J3" s="10">
        <v>30317</v>
      </c>
      <c r="K3" s="11">
        <v>684.5</v>
      </c>
      <c r="L3" s="12">
        <v>0</v>
      </c>
      <c r="M3" s="10">
        <v>30682</v>
      </c>
      <c r="N3" s="11">
        <v>858.9</v>
      </c>
      <c r="O3" s="12">
        <v>0</v>
      </c>
      <c r="P3" s="13">
        <v>31048</v>
      </c>
      <c r="Q3" s="11">
        <v>819.3</v>
      </c>
      <c r="R3" s="12">
        <v>0</v>
      </c>
      <c r="S3" s="13">
        <v>31413</v>
      </c>
      <c r="T3" s="11">
        <v>730.7</v>
      </c>
      <c r="U3" s="12">
        <v>0</v>
      </c>
      <c r="V3" s="13">
        <v>31778</v>
      </c>
      <c r="W3" s="11">
        <v>701.2</v>
      </c>
      <c r="X3" s="12">
        <v>0</v>
      </c>
      <c r="Y3" s="13">
        <v>32143</v>
      </c>
      <c r="Z3" s="11">
        <v>698.8</v>
      </c>
      <c r="AA3" s="12">
        <v>0</v>
      </c>
      <c r="AB3" s="13">
        <v>32509</v>
      </c>
      <c r="AC3" s="11">
        <v>625.3</v>
      </c>
      <c r="AD3" s="12">
        <v>0</v>
      </c>
      <c r="AF3" s="13" t="s">
        <v>9</v>
      </c>
      <c r="AG3" s="14">
        <f>AVERAGE(AC3,Z3,W3,T3,Q3,N3,K3,H3,E3,B3)</f>
        <v>757.87</v>
      </c>
      <c r="AH3" s="15">
        <f>AVERAGE(AD3,AA3,X3,U3,R3,O3,L3,I3,F3,C3)</f>
        <v>0</v>
      </c>
      <c r="AJ3" s="16"/>
      <c r="AK3" s="17"/>
      <c r="AL3" s="17"/>
    </row>
    <row r="4" spans="1:38" ht="12.75">
      <c r="A4" s="18">
        <v>29252</v>
      </c>
      <c r="B4" s="19">
        <v>749</v>
      </c>
      <c r="C4" s="20">
        <v>0</v>
      </c>
      <c r="D4" s="18">
        <v>29618</v>
      </c>
      <c r="E4" s="19">
        <v>561.8</v>
      </c>
      <c r="F4" s="20">
        <v>0</v>
      </c>
      <c r="G4" s="18">
        <v>29983</v>
      </c>
      <c r="H4" s="19">
        <v>715.7</v>
      </c>
      <c r="I4" s="20">
        <v>0</v>
      </c>
      <c r="J4" s="21">
        <v>30348</v>
      </c>
      <c r="K4" s="19">
        <v>589.8</v>
      </c>
      <c r="L4" s="20">
        <v>0</v>
      </c>
      <c r="M4" s="21">
        <v>30713</v>
      </c>
      <c r="N4" s="19">
        <v>565.2</v>
      </c>
      <c r="O4" s="20">
        <v>0</v>
      </c>
      <c r="P4" s="18">
        <v>31079</v>
      </c>
      <c r="Q4" s="19">
        <v>665.6</v>
      </c>
      <c r="R4" s="20">
        <v>0</v>
      </c>
      <c r="S4" s="18">
        <v>31444</v>
      </c>
      <c r="T4" s="19">
        <v>675.2</v>
      </c>
      <c r="U4" s="20">
        <v>0</v>
      </c>
      <c r="V4" s="21">
        <v>31809</v>
      </c>
      <c r="W4" s="19">
        <v>665.8</v>
      </c>
      <c r="X4" s="20">
        <v>0</v>
      </c>
      <c r="Y4" s="18">
        <v>32174</v>
      </c>
      <c r="Z4" s="19">
        <v>718.2</v>
      </c>
      <c r="AA4" s="20">
        <v>0</v>
      </c>
      <c r="AB4" s="18">
        <v>32540</v>
      </c>
      <c r="AC4" s="19">
        <v>684.2</v>
      </c>
      <c r="AD4" s="20">
        <v>0</v>
      </c>
      <c r="AF4" s="18" t="s">
        <v>10</v>
      </c>
      <c r="AG4" s="17">
        <f aca="true" t="shared" si="0" ref="AG4:AH14">AVERAGE(AC4,Z4,W4,T4,Q4,N4,K4,H4,E4,B4)</f>
        <v>659.05</v>
      </c>
      <c r="AH4" s="22">
        <f t="shared" si="0"/>
        <v>0</v>
      </c>
      <c r="AJ4" s="16"/>
      <c r="AK4" s="17"/>
      <c r="AL4" s="17"/>
    </row>
    <row r="5" spans="1:38" ht="12.75">
      <c r="A5" s="18">
        <v>29281</v>
      </c>
      <c r="B5" s="19">
        <v>619.3</v>
      </c>
      <c r="C5" s="20">
        <v>0</v>
      </c>
      <c r="D5" s="18">
        <v>29646</v>
      </c>
      <c r="E5" s="19">
        <v>557.8</v>
      </c>
      <c r="F5" s="20">
        <v>0</v>
      </c>
      <c r="G5" s="21">
        <v>30011</v>
      </c>
      <c r="H5" s="19">
        <v>620.2</v>
      </c>
      <c r="I5" s="20">
        <v>0</v>
      </c>
      <c r="J5" s="18">
        <v>30376</v>
      </c>
      <c r="K5" s="19">
        <v>541.5</v>
      </c>
      <c r="L5" s="20">
        <v>0</v>
      </c>
      <c r="M5" s="18">
        <v>30742</v>
      </c>
      <c r="N5" s="19">
        <v>700.8</v>
      </c>
      <c r="O5" s="20">
        <v>0</v>
      </c>
      <c r="P5" s="18">
        <v>31107</v>
      </c>
      <c r="Q5" s="19">
        <v>549</v>
      </c>
      <c r="R5" s="20">
        <v>0</v>
      </c>
      <c r="S5" s="18">
        <v>31472</v>
      </c>
      <c r="T5" s="19">
        <v>539.7</v>
      </c>
      <c r="U5" s="20">
        <v>0</v>
      </c>
      <c r="V5" s="21">
        <v>31837</v>
      </c>
      <c r="W5" s="19">
        <v>502</v>
      </c>
      <c r="X5" s="20">
        <v>0</v>
      </c>
      <c r="Y5" s="18">
        <v>32203</v>
      </c>
      <c r="Z5" s="19">
        <v>580.5</v>
      </c>
      <c r="AA5" s="20">
        <v>0</v>
      </c>
      <c r="AB5" s="18">
        <v>32568</v>
      </c>
      <c r="AC5" s="19">
        <v>622.5</v>
      </c>
      <c r="AD5" s="20">
        <v>0</v>
      </c>
      <c r="AF5" s="18" t="s">
        <v>11</v>
      </c>
      <c r="AG5" s="17">
        <f t="shared" si="0"/>
        <v>583.33</v>
      </c>
      <c r="AH5" s="22">
        <f t="shared" si="0"/>
        <v>0</v>
      </c>
      <c r="AJ5" s="16"/>
      <c r="AK5" s="17"/>
      <c r="AL5" s="17"/>
    </row>
    <row r="6" spans="1:38" ht="12.75">
      <c r="A6" s="21">
        <v>29312</v>
      </c>
      <c r="B6" s="19">
        <v>355.1</v>
      </c>
      <c r="C6" s="20">
        <v>0</v>
      </c>
      <c r="D6" s="18">
        <v>29677</v>
      </c>
      <c r="E6" s="19">
        <v>313.3</v>
      </c>
      <c r="F6" s="20">
        <v>0</v>
      </c>
      <c r="G6" s="18">
        <v>30042</v>
      </c>
      <c r="H6" s="19">
        <v>400.2</v>
      </c>
      <c r="I6" s="20">
        <v>0</v>
      </c>
      <c r="J6" s="18">
        <v>30407</v>
      </c>
      <c r="K6" s="19">
        <v>374.2</v>
      </c>
      <c r="L6" s="20">
        <v>0</v>
      </c>
      <c r="M6" s="18">
        <v>30773</v>
      </c>
      <c r="N6" s="19">
        <v>323.7</v>
      </c>
      <c r="O6" s="20">
        <v>0</v>
      </c>
      <c r="P6" s="18">
        <v>31138</v>
      </c>
      <c r="Q6" s="19">
        <v>326.1</v>
      </c>
      <c r="R6" s="20">
        <v>4</v>
      </c>
      <c r="S6" s="18">
        <v>31503</v>
      </c>
      <c r="T6" s="19">
        <v>312.9</v>
      </c>
      <c r="U6" s="20">
        <v>0</v>
      </c>
      <c r="V6" s="21">
        <v>31868</v>
      </c>
      <c r="W6" s="19">
        <v>277</v>
      </c>
      <c r="X6" s="20">
        <v>0.3</v>
      </c>
      <c r="Y6" s="18">
        <v>32234</v>
      </c>
      <c r="Z6" s="19">
        <v>362.7</v>
      </c>
      <c r="AA6" s="20">
        <v>0</v>
      </c>
      <c r="AB6" s="18">
        <v>32599</v>
      </c>
      <c r="AC6" s="19">
        <v>387.5</v>
      </c>
      <c r="AD6" s="20">
        <v>0</v>
      </c>
      <c r="AF6" s="18" t="s">
        <v>12</v>
      </c>
      <c r="AG6" s="17">
        <f t="shared" si="0"/>
        <v>343.27</v>
      </c>
      <c r="AH6" s="22">
        <f t="shared" si="0"/>
        <v>0.43</v>
      </c>
      <c r="AJ6" s="16"/>
      <c r="AK6" s="17"/>
      <c r="AL6" s="17"/>
    </row>
    <row r="7" spans="1:38" ht="12.75">
      <c r="A7" s="18">
        <v>29342</v>
      </c>
      <c r="B7" s="19">
        <v>143</v>
      </c>
      <c r="C7" s="20">
        <v>14.3</v>
      </c>
      <c r="D7" s="18">
        <v>29707</v>
      </c>
      <c r="E7" s="19">
        <v>199.9</v>
      </c>
      <c r="F7" s="20">
        <v>5.9</v>
      </c>
      <c r="G7" s="21">
        <v>30072</v>
      </c>
      <c r="H7" s="19">
        <v>119.2</v>
      </c>
      <c r="I7" s="20">
        <v>3.8</v>
      </c>
      <c r="J7" s="18">
        <v>30437</v>
      </c>
      <c r="K7" s="19">
        <v>245.5</v>
      </c>
      <c r="L7" s="20">
        <v>0</v>
      </c>
      <c r="M7" s="18">
        <v>30803</v>
      </c>
      <c r="N7" s="19">
        <v>240.5</v>
      </c>
      <c r="O7" s="20">
        <v>2.8</v>
      </c>
      <c r="P7" s="18">
        <v>31168</v>
      </c>
      <c r="Q7" s="19">
        <v>159.7</v>
      </c>
      <c r="R7" s="20">
        <v>8.1</v>
      </c>
      <c r="S7" s="18">
        <v>31533</v>
      </c>
      <c r="T7" s="19">
        <v>132.6</v>
      </c>
      <c r="U7" s="20">
        <v>18.3</v>
      </c>
      <c r="V7" s="21">
        <v>31898</v>
      </c>
      <c r="W7" s="19">
        <v>142.3</v>
      </c>
      <c r="X7" s="20">
        <v>39.7</v>
      </c>
      <c r="Y7" s="18">
        <v>32264</v>
      </c>
      <c r="Z7" s="19">
        <v>145</v>
      </c>
      <c r="AA7" s="20">
        <v>19</v>
      </c>
      <c r="AB7" s="18">
        <v>32629</v>
      </c>
      <c r="AC7" s="19">
        <v>161.6</v>
      </c>
      <c r="AD7" s="20">
        <v>4.8</v>
      </c>
      <c r="AF7" s="18" t="s">
        <v>13</v>
      </c>
      <c r="AG7" s="17">
        <f t="shared" si="0"/>
        <v>168.93</v>
      </c>
      <c r="AH7" s="22">
        <f t="shared" si="0"/>
        <v>11.669999999999998</v>
      </c>
      <c r="AJ7" s="16"/>
      <c r="AK7" s="17"/>
      <c r="AL7" s="17"/>
    </row>
    <row r="8" spans="1:38" ht="12.75">
      <c r="A8" s="18">
        <v>29373</v>
      </c>
      <c r="B8" s="19">
        <v>106.2</v>
      </c>
      <c r="C8" s="20">
        <v>21.4</v>
      </c>
      <c r="D8" s="18">
        <v>29738</v>
      </c>
      <c r="E8" s="19">
        <v>45.7</v>
      </c>
      <c r="F8" s="20">
        <v>25.5</v>
      </c>
      <c r="G8" s="21">
        <v>30103</v>
      </c>
      <c r="H8" s="19">
        <v>86.5</v>
      </c>
      <c r="I8" s="20">
        <v>2.7</v>
      </c>
      <c r="J8" s="18">
        <v>30468</v>
      </c>
      <c r="K8" s="19">
        <v>50.7</v>
      </c>
      <c r="L8" s="20">
        <v>59.8</v>
      </c>
      <c r="M8" s="18">
        <v>30834</v>
      </c>
      <c r="N8" s="19">
        <v>40.1</v>
      </c>
      <c r="O8" s="20">
        <v>44.3</v>
      </c>
      <c r="P8" s="18">
        <v>31199</v>
      </c>
      <c r="Q8" s="19">
        <v>79.9</v>
      </c>
      <c r="R8" s="20">
        <v>9.1</v>
      </c>
      <c r="S8" s="18">
        <v>31564</v>
      </c>
      <c r="T8" s="19">
        <v>66.6</v>
      </c>
      <c r="U8" s="20">
        <v>17.9</v>
      </c>
      <c r="V8" s="18">
        <v>31929</v>
      </c>
      <c r="W8" s="19">
        <v>28.9</v>
      </c>
      <c r="X8" s="20">
        <v>76.8</v>
      </c>
      <c r="Y8" s="18">
        <v>32295</v>
      </c>
      <c r="Z8" s="19">
        <v>69.5</v>
      </c>
      <c r="AA8" s="20">
        <v>60.2</v>
      </c>
      <c r="AB8" s="18">
        <v>32660</v>
      </c>
      <c r="AC8" s="19">
        <v>31.8</v>
      </c>
      <c r="AD8" s="20">
        <v>44.5</v>
      </c>
      <c r="AF8" s="18" t="s">
        <v>14</v>
      </c>
      <c r="AG8" s="17">
        <f t="shared" si="0"/>
        <v>60.589999999999996</v>
      </c>
      <c r="AH8" s="22">
        <f t="shared" si="0"/>
        <v>36.22</v>
      </c>
      <c r="AJ8" s="16"/>
      <c r="AK8" s="17"/>
      <c r="AL8" s="17"/>
    </row>
    <row r="9" spans="1:38" ht="12.75">
      <c r="A9" s="18">
        <v>29403</v>
      </c>
      <c r="B9" s="19">
        <v>4.6</v>
      </c>
      <c r="C9" s="20">
        <v>79.8</v>
      </c>
      <c r="D9" s="18">
        <v>29768</v>
      </c>
      <c r="E9" s="19">
        <v>9.6</v>
      </c>
      <c r="F9" s="20">
        <v>90.6</v>
      </c>
      <c r="G9" s="18">
        <v>30133</v>
      </c>
      <c r="H9" s="19">
        <v>5.8</v>
      </c>
      <c r="I9" s="20">
        <v>96.7</v>
      </c>
      <c r="J9" s="18">
        <v>30498</v>
      </c>
      <c r="K9" s="19">
        <v>7.8</v>
      </c>
      <c r="L9" s="20">
        <v>142.4</v>
      </c>
      <c r="M9" s="18">
        <v>30864</v>
      </c>
      <c r="N9" s="19">
        <v>13.5</v>
      </c>
      <c r="O9" s="20">
        <v>69</v>
      </c>
      <c r="P9" s="18">
        <v>31229</v>
      </c>
      <c r="Q9" s="19">
        <v>9.6</v>
      </c>
      <c r="R9" s="20">
        <v>59</v>
      </c>
      <c r="S9" s="18">
        <v>31594</v>
      </c>
      <c r="T9" s="19">
        <v>10.2</v>
      </c>
      <c r="U9" s="20">
        <v>104.5</v>
      </c>
      <c r="V9" s="18">
        <v>31959</v>
      </c>
      <c r="W9" s="19">
        <v>4.4</v>
      </c>
      <c r="X9" s="20">
        <v>146</v>
      </c>
      <c r="Y9" s="18">
        <v>32325</v>
      </c>
      <c r="Z9" s="19">
        <v>2.8</v>
      </c>
      <c r="AA9" s="20">
        <v>154.3</v>
      </c>
      <c r="AB9" s="18">
        <v>32690</v>
      </c>
      <c r="AC9" s="19">
        <v>1.9</v>
      </c>
      <c r="AD9" s="20">
        <v>108.8</v>
      </c>
      <c r="AF9" s="18" t="s">
        <v>15</v>
      </c>
      <c r="AG9" s="17">
        <f t="shared" si="0"/>
        <v>7.019999999999999</v>
      </c>
      <c r="AH9" s="22">
        <f t="shared" si="0"/>
        <v>105.11000000000001</v>
      </c>
      <c r="AJ9" s="16"/>
      <c r="AK9" s="17"/>
      <c r="AL9" s="17"/>
    </row>
    <row r="10" spans="1:38" ht="12.75">
      <c r="A10" s="18">
        <v>29434</v>
      </c>
      <c r="B10" s="19">
        <v>0.8</v>
      </c>
      <c r="C10" s="20">
        <v>102.3</v>
      </c>
      <c r="D10" s="18">
        <v>29799</v>
      </c>
      <c r="E10" s="19">
        <v>11.4</v>
      </c>
      <c r="F10" s="20">
        <v>54.5</v>
      </c>
      <c r="G10" s="18">
        <v>30164</v>
      </c>
      <c r="H10" s="19">
        <v>46.3</v>
      </c>
      <c r="I10" s="20">
        <v>25.4</v>
      </c>
      <c r="J10" s="18">
        <v>30529</v>
      </c>
      <c r="K10" s="19">
        <v>7.5</v>
      </c>
      <c r="L10" s="20">
        <v>102</v>
      </c>
      <c r="M10" s="18">
        <v>30895</v>
      </c>
      <c r="N10" s="19">
        <v>9.9</v>
      </c>
      <c r="O10" s="20">
        <v>105.1</v>
      </c>
      <c r="P10" s="18">
        <v>31260</v>
      </c>
      <c r="Q10" s="19">
        <v>14.9</v>
      </c>
      <c r="R10" s="20">
        <v>58.5</v>
      </c>
      <c r="S10" s="18">
        <v>31625</v>
      </c>
      <c r="T10" s="19">
        <v>37.4</v>
      </c>
      <c r="U10" s="20">
        <v>51.1</v>
      </c>
      <c r="V10" s="18">
        <v>31990</v>
      </c>
      <c r="W10" s="19">
        <v>18.3</v>
      </c>
      <c r="X10" s="20">
        <v>68</v>
      </c>
      <c r="Y10" s="18">
        <v>32356</v>
      </c>
      <c r="Z10" s="19">
        <v>20.6</v>
      </c>
      <c r="AA10" s="20">
        <v>125.9</v>
      </c>
      <c r="AB10" s="18">
        <v>32721</v>
      </c>
      <c r="AC10" s="19">
        <v>21.2</v>
      </c>
      <c r="AD10" s="20">
        <v>72.3</v>
      </c>
      <c r="AF10" s="18" t="s">
        <v>16</v>
      </c>
      <c r="AG10" s="17">
        <f t="shared" si="0"/>
        <v>18.830000000000005</v>
      </c>
      <c r="AH10" s="22">
        <f t="shared" si="0"/>
        <v>76.50999999999999</v>
      </c>
      <c r="AJ10" s="16"/>
      <c r="AK10" s="17"/>
      <c r="AL10" s="17"/>
    </row>
    <row r="11" spans="1:38" ht="12.75">
      <c r="A11" s="18">
        <v>29465</v>
      </c>
      <c r="B11" s="19">
        <v>109.4</v>
      </c>
      <c r="C11" s="20">
        <v>19.9</v>
      </c>
      <c r="D11" s="18">
        <v>29830</v>
      </c>
      <c r="E11" s="19">
        <v>128.8</v>
      </c>
      <c r="F11" s="20">
        <v>18.9</v>
      </c>
      <c r="G11" s="18">
        <v>30195</v>
      </c>
      <c r="H11" s="19">
        <v>104.6</v>
      </c>
      <c r="I11" s="20">
        <v>9.5</v>
      </c>
      <c r="J11" s="18">
        <v>30560</v>
      </c>
      <c r="K11" s="19">
        <v>82.4</v>
      </c>
      <c r="L11" s="20">
        <v>43.7</v>
      </c>
      <c r="M11" s="18">
        <v>30926</v>
      </c>
      <c r="N11" s="19">
        <v>132.3</v>
      </c>
      <c r="O11" s="20">
        <v>8.6</v>
      </c>
      <c r="P11" s="18">
        <v>31291</v>
      </c>
      <c r="Q11" s="19">
        <v>79.9</v>
      </c>
      <c r="R11" s="20">
        <v>50.6</v>
      </c>
      <c r="S11" s="18">
        <v>31656</v>
      </c>
      <c r="T11" s="19">
        <v>107</v>
      </c>
      <c r="U11" s="20">
        <v>8.6</v>
      </c>
      <c r="V11" s="18">
        <v>32021</v>
      </c>
      <c r="W11" s="19">
        <v>82.2</v>
      </c>
      <c r="X11" s="20">
        <v>7.1</v>
      </c>
      <c r="Y11" s="18">
        <v>32387</v>
      </c>
      <c r="Z11" s="19">
        <v>88.3</v>
      </c>
      <c r="AA11" s="20">
        <v>13.4</v>
      </c>
      <c r="AB11" s="18">
        <v>32752</v>
      </c>
      <c r="AC11" s="19">
        <v>100</v>
      </c>
      <c r="AD11" s="20">
        <v>30.6</v>
      </c>
      <c r="AF11" s="18" t="s">
        <v>17</v>
      </c>
      <c r="AG11" s="17">
        <f t="shared" si="0"/>
        <v>101.49</v>
      </c>
      <c r="AH11" s="22">
        <f t="shared" si="0"/>
        <v>21.090000000000003</v>
      </c>
      <c r="AJ11" s="16"/>
      <c r="AK11" s="17"/>
      <c r="AL11" s="17"/>
    </row>
    <row r="12" spans="1:38" ht="12.75">
      <c r="A12" s="18">
        <v>29495</v>
      </c>
      <c r="B12" s="19">
        <v>340.5</v>
      </c>
      <c r="C12" s="20">
        <v>0.4</v>
      </c>
      <c r="D12" s="18">
        <v>29860</v>
      </c>
      <c r="E12" s="19">
        <v>357.5</v>
      </c>
      <c r="F12" s="20">
        <v>0</v>
      </c>
      <c r="G12" s="21">
        <v>30225</v>
      </c>
      <c r="H12" s="19">
        <v>258.4</v>
      </c>
      <c r="I12" s="20">
        <v>0</v>
      </c>
      <c r="J12" s="18">
        <v>30590</v>
      </c>
      <c r="K12" s="19">
        <v>285.1</v>
      </c>
      <c r="L12" s="20">
        <v>2.8</v>
      </c>
      <c r="M12" s="18">
        <v>30956</v>
      </c>
      <c r="N12" s="19">
        <v>237.8</v>
      </c>
      <c r="O12" s="20">
        <v>0</v>
      </c>
      <c r="P12" s="18">
        <v>31321</v>
      </c>
      <c r="Q12" s="19">
        <v>265.4</v>
      </c>
      <c r="R12" s="20">
        <v>0</v>
      </c>
      <c r="S12" s="18">
        <v>31686</v>
      </c>
      <c r="T12" s="19">
        <v>287.9</v>
      </c>
      <c r="U12" s="20">
        <v>0</v>
      </c>
      <c r="V12" s="18">
        <v>32051</v>
      </c>
      <c r="W12" s="19">
        <v>339.9</v>
      </c>
      <c r="X12" s="20">
        <v>0</v>
      </c>
      <c r="Y12" s="18">
        <v>32417</v>
      </c>
      <c r="Z12" s="19">
        <v>339.5</v>
      </c>
      <c r="AA12" s="20">
        <v>3.9</v>
      </c>
      <c r="AB12" s="18">
        <v>32782</v>
      </c>
      <c r="AC12" s="19">
        <v>253.9</v>
      </c>
      <c r="AD12" s="20">
        <v>0</v>
      </c>
      <c r="AF12" s="18" t="s">
        <v>18</v>
      </c>
      <c r="AG12" s="17">
        <f t="shared" si="0"/>
        <v>296.59000000000003</v>
      </c>
      <c r="AH12" s="22">
        <f t="shared" si="0"/>
        <v>0.71</v>
      </c>
      <c r="AJ12" s="16"/>
      <c r="AK12" s="17"/>
      <c r="AL12" s="17"/>
    </row>
    <row r="13" spans="1:38" ht="12.75">
      <c r="A13" s="18">
        <v>29526</v>
      </c>
      <c r="B13" s="19">
        <v>477.5</v>
      </c>
      <c r="C13" s="20">
        <v>0</v>
      </c>
      <c r="D13" s="18">
        <v>29891</v>
      </c>
      <c r="E13" s="19">
        <v>437</v>
      </c>
      <c r="F13" s="20">
        <v>0</v>
      </c>
      <c r="G13" s="21">
        <v>30256</v>
      </c>
      <c r="H13" s="19">
        <v>423.9</v>
      </c>
      <c r="I13" s="20">
        <v>0</v>
      </c>
      <c r="J13" s="18">
        <v>30621</v>
      </c>
      <c r="K13" s="19">
        <v>440.7</v>
      </c>
      <c r="L13" s="20">
        <v>0</v>
      </c>
      <c r="M13" s="18">
        <v>30987</v>
      </c>
      <c r="N13" s="19">
        <v>458.3</v>
      </c>
      <c r="O13" s="20">
        <v>0</v>
      </c>
      <c r="P13" s="18">
        <v>31352</v>
      </c>
      <c r="Q13" s="19">
        <v>437.9</v>
      </c>
      <c r="R13" s="20">
        <v>0</v>
      </c>
      <c r="S13" s="18">
        <v>31717</v>
      </c>
      <c r="T13" s="19">
        <v>492.4</v>
      </c>
      <c r="U13" s="20">
        <v>0</v>
      </c>
      <c r="V13" s="18">
        <v>32082</v>
      </c>
      <c r="W13" s="19">
        <v>437.8</v>
      </c>
      <c r="X13" s="20">
        <v>0</v>
      </c>
      <c r="Y13" s="18">
        <v>32448</v>
      </c>
      <c r="Z13" s="19">
        <v>403.9</v>
      </c>
      <c r="AA13" s="20">
        <v>0</v>
      </c>
      <c r="AB13" s="18">
        <v>32813</v>
      </c>
      <c r="AC13" s="19">
        <v>484.5</v>
      </c>
      <c r="AD13" s="20">
        <v>0</v>
      </c>
      <c r="AF13" s="18" t="s">
        <v>19</v>
      </c>
      <c r="AG13" s="17">
        <f t="shared" si="0"/>
        <v>449.39</v>
      </c>
      <c r="AH13" s="22">
        <f t="shared" si="0"/>
        <v>0</v>
      </c>
      <c r="AJ13" s="16"/>
      <c r="AK13" s="17"/>
      <c r="AL13" s="17"/>
    </row>
    <row r="14" spans="1:38" ht="13.5" thickBot="1">
      <c r="A14" s="23">
        <v>29556</v>
      </c>
      <c r="B14" s="24">
        <v>761.5</v>
      </c>
      <c r="C14" s="25">
        <v>0</v>
      </c>
      <c r="D14" s="23">
        <v>29921</v>
      </c>
      <c r="E14" s="24">
        <v>648</v>
      </c>
      <c r="F14" s="25">
        <v>0</v>
      </c>
      <c r="G14" s="23">
        <v>30286</v>
      </c>
      <c r="H14" s="24">
        <v>535.6</v>
      </c>
      <c r="I14" s="25">
        <v>0</v>
      </c>
      <c r="J14" s="23">
        <v>30651</v>
      </c>
      <c r="K14" s="24">
        <v>756.1</v>
      </c>
      <c r="L14" s="25">
        <v>0</v>
      </c>
      <c r="M14" s="23">
        <v>31017</v>
      </c>
      <c r="N14" s="24">
        <v>562.9</v>
      </c>
      <c r="O14" s="25">
        <v>0</v>
      </c>
      <c r="P14" s="23">
        <v>31382</v>
      </c>
      <c r="Q14" s="24">
        <v>701.7</v>
      </c>
      <c r="R14" s="25">
        <v>0</v>
      </c>
      <c r="S14" s="23">
        <v>31747</v>
      </c>
      <c r="T14" s="24">
        <v>594.3</v>
      </c>
      <c r="U14" s="25">
        <v>0</v>
      </c>
      <c r="V14" s="23">
        <v>32112</v>
      </c>
      <c r="W14" s="24">
        <v>565.5</v>
      </c>
      <c r="X14" s="25">
        <v>0</v>
      </c>
      <c r="Y14" s="23">
        <v>32478</v>
      </c>
      <c r="Z14" s="24">
        <v>645.8</v>
      </c>
      <c r="AA14" s="25">
        <v>0</v>
      </c>
      <c r="AB14" s="23">
        <v>32843</v>
      </c>
      <c r="AC14" s="24">
        <v>871.1</v>
      </c>
      <c r="AD14" s="25">
        <v>0</v>
      </c>
      <c r="AF14" s="23" t="s">
        <v>20</v>
      </c>
      <c r="AG14" s="26">
        <f t="shared" si="0"/>
        <v>664.25</v>
      </c>
      <c r="AH14" s="27">
        <f t="shared" si="0"/>
        <v>0</v>
      </c>
      <c r="AJ14" s="16"/>
      <c r="AK14" s="17"/>
      <c r="AL14" s="17"/>
    </row>
    <row r="15" spans="2:38" ht="13.5" thickBot="1">
      <c r="B15" s="29"/>
      <c r="D15" s="28"/>
      <c r="G15" s="28"/>
      <c r="J15" s="28"/>
      <c r="M15" s="28"/>
      <c r="P15" s="28"/>
      <c r="Q15" s="29"/>
      <c r="R15" s="29"/>
      <c r="S15" s="28"/>
      <c r="T15" s="29"/>
      <c r="U15" s="29"/>
      <c r="V15" s="28"/>
      <c r="W15" s="29"/>
      <c r="X15" s="29"/>
      <c r="Y15" s="28"/>
      <c r="Z15" s="29"/>
      <c r="AA15" s="29"/>
      <c r="AB15" s="28"/>
      <c r="AC15" s="29"/>
      <c r="AD15" s="29"/>
      <c r="AJ15" s="30"/>
      <c r="AK15" s="30"/>
      <c r="AL15" s="30"/>
    </row>
    <row r="16" spans="1:34" s="32" customFormat="1" ht="13.5" thickBot="1">
      <c r="A16" s="758" t="s">
        <v>21</v>
      </c>
      <c r="B16" s="759"/>
      <c r="C16" s="760"/>
      <c r="D16" s="758" t="s">
        <v>22</v>
      </c>
      <c r="E16" s="759"/>
      <c r="F16" s="760"/>
      <c r="G16" s="758" t="s">
        <v>23</v>
      </c>
      <c r="H16" s="759"/>
      <c r="I16" s="760"/>
      <c r="J16" s="758" t="s">
        <v>24</v>
      </c>
      <c r="K16" s="759"/>
      <c r="L16" s="760"/>
      <c r="M16" s="758" t="s">
        <v>25</v>
      </c>
      <c r="N16" s="759"/>
      <c r="O16" s="760"/>
      <c r="P16" s="758" t="s">
        <v>26</v>
      </c>
      <c r="Q16" s="759"/>
      <c r="R16" s="760"/>
      <c r="S16" s="758" t="s">
        <v>27</v>
      </c>
      <c r="T16" s="759"/>
      <c r="U16" s="760"/>
      <c r="V16" s="758" t="s">
        <v>28</v>
      </c>
      <c r="W16" s="759"/>
      <c r="X16" s="760"/>
      <c r="Y16" s="758" t="s">
        <v>29</v>
      </c>
      <c r="Z16" s="759"/>
      <c r="AA16" s="760"/>
      <c r="AB16" s="758" t="s">
        <v>30</v>
      </c>
      <c r="AC16" s="759"/>
      <c r="AD16" s="760"/>
      <c r="AF16" s="758" t="s">
        <v>5</v>
      </c>
      <c r="AG16" s="759"/>
      <c r="AH16" s="760"/>
    </row>
    <row r="17" spans="1:38" s="5" customFormat="1" ht="13.5" thickBot="1">
      <c r="A17" s="2" t="s">
        <v>6</v>
      </c>
      <c r="B17" s="3" t="s">
        <v>7</v>
      </c>
      <c r="C17" s="4" t="s">
        <v>8</v>
      </c>
      <c r="D17" s="2" t="s">
        <v>6</v>
      </c>
      <c r="E17" s="3" t="s">
        <v>7</v>
      </c>
      <c r="F17" s="4" t="s">
        <v>8</v>
      </c>
      <c r="G17" s="2" t="s">
        <v>6</v>
      </c>
      <c r="H17" s="3" t="s">
        <v>7</v>
      </c>
      <c r="I17" s="4" t="s">
        <v>8</v>
      </c>
      <c r="J17" s="2" t="s">
        <v>6</v>
      </c>
      <c r="K17" s="3" t="s">
        <v>7</v>
      </c>
      <c r="L17" s="4" t="s">
        <v>8</v>
      </c>
      <c r="M17" s="2" t="s">
        <v>6</v>
      </c>
      <c r="N17" s="3" t="s">
        <v>7</v>
      </c>
      <c r="O17" s="4" t="s">
        <v>8</v>
      </c>
      <c r="P17" s="2" t="s">
        <v>6</v>
      </c>
      <c r="Q17" s="3" t="s">
        <v>7</v>
      </c>
      <c r="R17" s="4" t="s">
        <v>8</v>
      </c>
      <c r="S17" s="2" t="s">
        <v>6</v>
      </c>
      <c r="T17" s="3" t="s">
        <v>7</v>
      </c>
      <c r="U17" s="4" t="s">
        <v>8</v>
      </c>
      <c r="V17" s="2" t="s">
        <v>6</v>
      </c>
      <c r="W17" s="3" t="s">
        <v>7</v>
      </c>
      <c r="X17" s="4" t="s">
        <v>8</v>
      </c>
      <c r="Y17" s="2" t="s">
        <v>6</v>
      </c>
      <c r="Z17" s="3" t="s">
        <v>7</v>
      </c>
      <c r="AA17" s="4" t="s">
        <v>8</v>
      </c>
      <c r="AB17" s="2" t="s">
        <v>6</v>
      </c>
      <c r="AC17" s="3" t="s">
        <v>7</v>
      </c>
      <c r="AD17" s="4" t="s">
        <v>8</v>
      </c>
      <c r="AF17" s="6" t="s">
        <v>6</v>
      </c>
      <c r="AG17" s="7" t="s">
        <v>7</v>
      </c>
      <c r="AH17" s="8" t="s">
        <v>8</v>
      </c>
      <c r="AJ17" s="9"/>
      <c r="AK17" s="9"/>
      <c r="AL17" s="9"/>
    </row>
    <row r="18" spans="1:38" ht="12.75">
      <c r="A18" s="10">
        <v>32874</v>
      </c>
      <c r="B18" s="11">
        <v>582.8</v>
      </c>
      <c r="C18" s="12">
        <v>0</v>
      </c>
      <c r="D18" s="13">
        <v>33239</v>
      </c>
      <c r="E18" s="11">
        <v>734.5</v>
      </c>
      <c r="F18" s="12">
        <v>0</v>
      </c>
      <c r="G18" s="13">
        <v>33604</v>
      </c>
      <c r="H18" s="11">
        <v>687.9</v>
      </c>
      <c r="I18" s="12">
        <v>0</v>
      </c>
      <c r="J18" s="10">
        <v>33970</v>
      </c>
      <c r="K18" s="11">
        <v>635.1</v>
      </c>
      <c r="L18" s="12">
        <v>0</v>
      </c>
      <c r="M18" s="10">
        <v>34335</v>
      </c>
      <c r="N18" s="11">
        <v>941.4</v>
      </c>
      <c r="O18" s="12">
        <v>0</v>
      </c>
      <c r="P18" s="13">
        <v>34700</v>
      </c>
      <c r="Q18" s="11">
        <v>653.2</v>
      </c>
      <c r="R18" s="12">
        <v>0</v>
      </c>
      <c r="S18" s="13">
        <v>35065</v>
      </c>
      <c r="T18" s="11">
        <v>765.2</v>
      </c>
      <c r="U18" s="12">
        <v>0</v>
      </c>
      <c r="V18" s="13">
        <v>35431</v>
      </c>
      <c r="W18" s="11">
        <v>756.6</v>
      </c>
      <c r="X18" s="12">
        <v>0</v>
      </c>
      <c r="Y18" s="13">
        <v>35796</v>
      </c>
      <c r="Z18" s="11">
        <v>624.8</v>
      </c>
      <c r="AA18" s="12">
        <v>0</v>
      </c>
      <c r="AB18" s="13">
        <v>36161</v>
      </c>
      <c r="AC18" s="11">
        <v>749.8</v>
      </c>
      <c r="AD18" s="12">
        <v>0</v>
      </c>
      <c r="AF18" s="13" t="s">
        <v>9</v>
      </c>
      <c r="AG18" s="14">
        <f>AVERAGE(AC18,Z18,W18,T18,Q18,N18,K18,H18,E18,B18)</f>
        <v>713.1299999999999</v>
      </c>
      <c r="AH18" s="15">
        <f>AVERAGE(AD18,AA18,X18,U18,R18,O18,L18,I18,F18,C18)</f>
        <v>0</v>
      </c>
      <c r="AJ18" s="16"/>
      <c r="AK18" s="17"/>
      <c r="AL18" s="17"/>
    </row>
    <row r="19" spans="1:38" ht="12.75">
      <c r="A19" s="18">
        <v>32905</v>
      </c>
      <c r="B19" s="19">
        <v>603.1</v>
      </c>
      <c r="C19" s="20">
        <v>0</v>
      </c>
      <c r="D19" s="18">
        <v>33270</v>
      </c>
      <c r="E19" s="19">
        <v>571.8</v>
      </c>
      <c r="F19" s="20">
        <v>0</v>
      </c>
      <c r="G19" s="18">
        <v>33635</v>
      </c>
      <c r="H19" s="19">
        <v>635.7</v>
      </c>
      <c r="I19" s="20">
        <v>0</v>
      </c>
      <c r="J19" s="21">
        <v>34001</v>
      </c>
      <c r="K19" s="19">
        <v>686.8</v>
      </c>
      <c r="L19" s="20">
        <v>0</v>
      </c>
      <c r="M19" s="21">
        <v>34366</v>
      </c>
      <c r="N19" s="19">
        <v>737.5</v>
      </c>
      <c r="O19" s="20">
        <v>0</v>
      </c>
      <c r="P19" s="18">
        <v>34731</v>
      </c>
      <c r="Q19" s="19">
        <v>707</v>
      </c>
      <c r="R19" s="20">
        <v>0</v>
      </c>
      <c r="S19" s="18">
        <v>35096</v>
      </c>
      <c r="T19" s="19">
        <v>689.8</v>
      </c>
      <c r="U19" s="20">
        <v>0</v>
      </c>
      <c r="V19" s="21">
        <v>35462</v>
      </c>
      <c r="W19" s="19">
        <v>593</v>
      </c>
      <c r="X19" s="20">
        <v>0</v>
      </c>
      <c r="Y19" s="18">
        <v>35827</v>
      </c>
      <c r="Z19" s="19">
        <v>512.2</v>
      </c>
      <c r="AA19" s="20">
        <v>0</v>
      </c>
      <c r="AB19" s="18">
        <v>36192</v>
      </c>
      <c r="AC19" s="19">
        <v>548.1</v>
      </c>
      <c r="AD19" s="20">
        <v>0</v>
      </c>
      <c r="AF19" s="18" t="s">
        <v>10</v>
      </c>
      <c r="AG19" s="17">
        <f aca="true" t="shared" si="1" ref="AG19:AH29">AVERAGE(AC19,Z19,W19,T19,Q19,N19,K19,H19,E19,B19)</f>
        <v>628.5000000000001</v>
      </c>
      <c r="AH19" s="22">
        <f t="shared" si="1"/>
        <v>0</v>
      </c>
      <c r="AJ19" s="16"/>
      <c r="AK19" s="17"/>
      <c r="AL19" s="17"/>
    </row>
    <row r="20" spans="1:38" ht="12.75">
      <c r="A20" s="18">
        <v>32933</v>
      </c>
      <c r="B20" s="19">
        <v>539.3</v>
      </c>
      <c r="C20" s="20">
        <v>0</v>
      </c>
      <c r="D20" s="18">
        <v>33298</v>
      </c>
      <c r="E20" s="19">
        <v>507.5</v>
      </c>
      <c r="F20" s="20">
        <v>0</v>
      </c>
      <c r="G20" s="21">
        <v>33664</v>
      </c>
      <c r="H20" s="19">
        <v>593</v>
      </c>
      <c r="I20" s="20">
        <v>0</v>
      </c>
      <c r="J20" s="18">
        <v>34029</v>
      </c>
      <c r="K20" s="19">
        <v>530.1</v>
      </c>
      <c r="L20" s="20">
        <v>0</v>
      </c>
      <c r="M20" s="18">
        <v>34394</v>
      </c>
      <c r="N20" s="19">
        <v>581.5</v>
      </c>
      <c r="O20" s="20">
        <v>0</v>
      </c>
      <c r="P20" s="18">
        <v>34759</v>
      </c>
      <c r="Q20" s="19">
        <v>498.1</v>
      </c>
      <c r="R20" s="20">
        <v>0</v>
      </c>
      <c r="S20" s="18">
        <v>35125</v>
      </c>
      <c r="T20" s="19">
        <v>645.6</v>
      </c>
      <c r="U20" s="20">
        <v>0</v>
      </c>
      <c r="V20" s="21">
        <v>35490</v>
      </c>
      <c r="W20" s="19">
        <v>600</v>
      </c>
      <c r="X20" s="20">
        <v>0</v>
      </c>
      <c r="Y20" s="18">
        <v>35855</v>
      </c>
      <c r="Z20" s="19">
        <v>492.3</v>
      </c>
      <c r="AA20" s="20">
        <v>0</v>
      </c>
      <c r="AB20" s="18">
        <v>36220</v>
      </c>
      <c r="AC20" s="19">
        <v>550.6</v>
      </c>
      <c r="AD20" s="20">
        <v>0</v>
      </c>
      <c r="AF20" s="18" t="s">
        <v>11</v>
      </c>
      <c r="AG20" s="17">
        <f t="shared" si="1"/>
        <v>553.8</v>
      </c>
      <c r="AH20" s="22">
        <f t="shared" si="1"/>
        <v>0</v>
      </c>
      <c r="AJ20" s="28"/>
      <c r="AK20" s="31"/>
      <c r="AL20" s="31"/>
    </row>
    <row r="21" spans="1:38" ht="12.75">
      <c r="A21" s="21">
        <v>32964</v>
      </c>
      <c r="B21" s="19">
        <v>310</v>
      </c>
      <c r="C21" s="20">
        <v>17.8</v>
      </c>
      <c r="D21" s="18">
        <v>33329</v>
      </c>
      <c r="E21" s="19">
        <v>283.4</v>
      </c>
      <c r="F21" s="20">
        <v>3.9</v>
      </c>
      <c r="G21" s="18">
        <v>33695</v>
      </c>
      <c r="H21" s="19">
        <v>372.8</v>
      </c>
      <c r="I21" s="20">
        <v>0</v>
      </c>
      <c r="J21" s="18">
        <v>34060</v>
      </c>
      <c r="K21" s="19">
        <v>280.3</v>
      </c>
      <c r="L21" s="20">
        <v>0</v>
      </c>
      <c r="M21" s="18">
        <v>34425</v>
      </c>
      <c r="N21" s="19">
        <v>320.2</v>
      </c>
      <c r="O21" s="20">
        <v>0.5</v>
      </c>
      <c r="P21" s="18">
        <v>34790</v>
      </c>
      <c r="Q21" s="19">
        <v>417.6</v>
      </c>
      <c r="R21" s="20">
        <v>0</v>
      </c>
      <c r="S21" s="18">
        <v>35156</v>
      </c>
      <c r="T21" s="19">
        <v>408.2</v>
      </c>
      <c r="U21" s="20">
        <v>0</v>
      </c>
      <c r="V21" s="21">
        <v>35521</v>
      </c>
      <c r="W21" s="19">
        <v>366.8</v>
      </c>
      <c r="X21" s="20">
        <v>0</v>
      </c>
      <c r="Y21" s="18">
        <v>35886</v>
      </c>
      <c r="Z21" s="19">
        <v>282</v>
      </c>
      <c r="AA21" s="20">
        <v>0</v>
      </c>
      <c r="AB21" s="18">
        <v>36251</v>
      </c>
      <c r="AC21" s="19">
        <v>296.7</v>
      </c>
      <c r="AD21" s="20">
        <v>0</v>
      </c>
      <c r="AF21" s="18" t="s">
        <v>12</v>
      </c>
      <c r="AG21" s="17">
        <f t="shared" si="1"/>
        <v>333.80000000000007</v>
      </c>
      <c r="AH21" s="22">
        <f t="shared" si="1"/>
        <v>2.22</v>
      </c>
      <c r="AJ21" s="28"/>
      <c r="AK21" s="31"/>
      <c r="AL21" s="31"/>
    </row>
    <row r="22" spans="1:38" ht="12.75">
      <c r="A22" s="18">
        <v>32994</v>
      </c>
      <c r="B22" s="19">
        <v>198.9</v>
      </c>
      <c r="C22" s="20">
        <v>1.2</v>
      </c>
      <c r="D22" s="18">
        <v>33359</v>
      </c>
      <c r="E22" s="19">
        <v>105.5</v>
      </c>
      <c r="F22" s="20">
        <v>54</v>
      </c>
      <c r="G22" s="21">
        <v>33725</v>
      </c>
      <c r="H22" s="19">
        <v>179.2</v>
      </c>
      <c r="I22" s="20">
        <v>3.3</v>
      </c>
      <c r="J22" s="18">
        <v>34090</v>
      </c>
      <c r="K22" s="19">
        <v>182</v>
      </c>
      <c r="L22" s="20">
        <v>4.3</v>
      </c>
      <c r="M22" s="18">
        <v>34455</v>
      </c>
      <c r="N22" s="19">
        <v>199.7</v>
      </c>
      <c r="O22" s="20">
        <v>8.2</v>
      </c>
      <c r="P22" s="18">
        <v>34820</v>
      </c>
      <c r="Q22" s="19">
        <v>149.2</v>
      </c>
      <c r="R22" s="20">
        <v>3.5</v>
      </c>
      <c r="S22" s="18">
        <v>35186</v>
      </c>
      <c r="T22" s="19">
        <v>205.9</v>
      </c>
      <c r="U22" s="20">
        <v>8.6</v>
      </c>
      <c r="V22" s="21">
        <v>35551</v>
      </c>
      <c r="W22" s="19">
        <v>260.8</v>
      </c>
      <c r="X22" s="20">
        <v>0</v>
      </c>
      <c r="Y22" s="18">
        <v>35916</v>
      </c>
      <c r="Z22" s="19">
        <v>59.1</v>
      </c>
      <c r="AA22" s="20">
        <v>28.6</v>
      </c>
      <c r="AB22" s="18">
        <v>36281</v>
      </c>
      <c r="AC22" s="19">
        <v>97.1</v>
      </c>
      <c r="AD22" s="20">
        <v>19.4</v>
      </c>
      <c r="AF22" s="18" t="s">
        <v>13</v>
      </c>
      <c r="AG22" s="17">
        <f t="shared" si="1"/>
        <v>163.74</v>
      </c>
      <c r="AH22" s="22">
        <f t="shared" si="1"/>
        <v>13.109999999999996</v>
      </c>
      <c r="AJ22" s="28"/>
      <c r="AK22" s="31"/>
      <c r="AL22" s="31"/>
    </row>
    <row r="23" spans="1:38" ht="12.75">
      <c r="A23" s="18">
        <v>33025</v>
      </c>
      <c r="B23" s="19">
        <v>31.7</v>
      </c>
      <c r="C23" s="20">
        <v>52</v>
      </c>
      <c r="D23" s="18">
        <v>33390</v>
      </c>
      <c r="E23" s="19">
        <v>17.8</v>
      </c>
      <c r="F23" s="20">
        <v>78.5</v>
      </c>
      <c r="G23" s="21">
        <v>33756</v>
      </c>
      <c r="H23" s="19">
        <v>67.1</v>
      </c>
      <c r="I23" s="20">
        <v>18.5</v>
      </c>
      <c r="J23" s="18">
        <v>34121</v>
      </c>
      <c r="K23" s="19">
        <v>46.5</v>
      </c>
      <c r="L23" s="20">
        <v>17.9</v>
      </c>
      <c r="M23" s="18">
        <v>34486</v>
      </c>
      <c r="N23" s="19">
        <v>35.6</v>
      </c>
      <c r="O23" s="20">
        <v>67.7</v>
      </c>
      <c r="P23" s="18">
        <v>34851</v>
      </c>
      <c r="Q23" s="19">
        <v>20</v>
      </c>
      <c r="R23" s="20">
        <v>77.9</v>
      </c>
      <c r="S23" s="18">
        <v>35217</v>
      </c>
      <c r="T23" s="19">
        <v>20.9</v>
      </c>
      <c r="U23" s="20">
        <v>38.3</v>
      </c>
      <c r="V23" s="18">
        <v>35582</v>
      </c>
      <c r="W23" s="19">
        <v>20.6</v>
      </c>
      <c r="X23" s="20">
        <v>73.2</v>
      </c>
      <c r="Y23" s="18">
        <v>35947</v>
      </c>
      <c r="Z23" s="19">
        <v>54.7</v>
      </c>
      <c r="AA23" s="20">
        <v>82.4</v>
      </c>
      <c r="AB23" s="18">
        <v>36312</v>
      </c>
      <c r="AC23" s="19">
        <v>25</v>
      </c>
      <c r="AD23" s="20">
        <v>96</v>
      </c>
      <c r="AF23" s="18" t="s">
        <v>14</v>
      </c>
      <c r="AG23" s="17">
        <f t="shared" si="1"/>
        <v>33.989999999999995</v>
      </c>
      <c r="AH23" s="22">
        <f t="shared" si="1"/>
        <v>60.24000000000001</v>
      </c>
      <c r="AJ23" s="28"/>
      <c r="AK23" s="31"/>
      <c r="AL23" s="31"/>
    </row>
    <row r="24" spans="1:38" ht="12.75">
      <c r="A24" s="18">
        <v>33055</v>
      </c>
      <c r="B24" s="19">
        <v>3.8</v>
      </c>
      <c r="C24" s="20">
        <v>93.3</v>
      </c>
      <c r="D24" s="18">
        <v>33420</v>
      </c>
      <c r="E24" s="19">
        <v>0.8</v>
      </c>
      <c r="F24" s="20">
        <v>115.1</v>
      </c>
      <c r="G24" s="18">
        <v>33786</v>
      </c>
      <c r="H24" s="19">
        <v>23.7</v>
      </c>
      <c r="I24" s="20">
        <v>24.5</v>
      </c>
      <c r="J24" s="18">
        <v>34151</v>
      </c>
      <c r="K24" s="19">
        <v>0.6</v>
      </c>
      <c r="L24" s="20">
        <v>107.8</v>
      </c>
      <c r="M24" s="18">
        <v>34516</v>
      </c>
      <c r="N24" s="19">
        <v>2.4</v>
      </c>
      <c r="O24" s="20">
        <v>111.2</v>
      </c>
      <c r="P24" s="18">
        <v>34881</v>
      </c>
      <c r="Q24" s="19">
        <v>10.3</v>
      </c>
      <c r="R24" s="20">
        <v>130.9</v>
      </c>
      <c r="S24" s="18">
        <v>35247</v>
      </c>
      <c r="T24" s="19">
        <v>10.3</v>
      </c>
      <c r="U24" s="20">
        <v>59.6</v>
      </c>
      <c r="V24" s="18">
        <v>35612</v>
      </c>
      <c r="W24" s="19">
        <v>12.4</v>
      </c>
      <c r="X24" s="20">
        <v>103</v>
      </c>
      <c r="Y24" s="18">
        <v>35977</v>
      </c>
      <c r="Z24" s="19">
        <v>1</v>
      </c>
      <c r="AA24" s="20">
        <v>101.3</v>
      </c>
      <c r="AB24" s="18">
        <v>36342</v>
      </c>
      <c r="AC24" s="19">
        <v>0</v>
      </c>
      <c r="AD24" s="20">
        <v>196.5</v>
      </c>
      <c r="AF24" s="18" t="s">
        <v>15</v>
      </c>
      <c r="AG24" s="17">
        <f t="shared" si="1"/>
        <v>6.529999999999999</v>
      </c>
      <c r="AH24" s="22">
        <f t="shared" si="1"/>
        <v>104.32000000000001</v>
      </c>
      <c r="AJ24" s="28"/>
      <c r="AK24" s="31"/>
      <c r="AL24" s="31"/>
    </row>
    <row r="25" spans="1:38" ht="12.75">
      <c r="A25" s="18">
        <v>32721</v>
      </c>
      <c r="B25" s="19">
        <v>3.5</v>
      </c>
      <c r="C25" s="20">
        <v>74.9</v>
      </c>
      <c r="D25" s="18">
        <v>33451</v>
      </c>
      <c r="E25" s="19">
        <v>2.5</v>
      </c>
      <c r="F25" s="20">
        <v>98.5</v>
      </c>
      <c r="G25" s="18">
        <v>33817</v>
      </c>
      <c r="H25" s="19">
        <v>35.3</v>
      </c>
      <c r="I25" s="20">
        <v>32.5</v>
      </c>
      <c r="J25" s="18">
        <v>34182</v>
      </c>
      <c r="K25" s="19">
        <v>9.7</v>
      </c>
      <c r="L25" s="20">
        <v>103.5</v>
      </c>
      <c r="M25" s="18">
        <v>34547</v>
      </c>
      <c r="N25" s="19">
        <v>24.5</v>
      </c>
      <c r="O25" s="20">
        <v>46.4</v>
      </c>
      <c r="P25" s="18">
        <v>34912</v>
      </c>
      <c r="Q25" s="19">
        <v>4.6</v>
      </c>
      <c r="R25" s="20">
        <v>122.9</v>
      </c>
      <c r="S25" s="18">
        <v>35278</v>
      </c>
      <c r="T25" s="19">
        <v>2.5</v>
      </c>
      <c r="U25" s="20">
        <v>87.1</v>
      </c>
      <c r="V25" s="18">
        <v>35643</v>
      </c>
      <c r="W25" s="19">
        <v>17</v>
      </c>
      <c r="X25" s="20">
        <v>46.8</v>
      </c>
      <c r="Y25" s="18">
        <v>36008</v>
      </c>
      <c r="Z25" s="19">
        <v>3.4</v>
      </c>
      <c r="AA25" s="20">
        <v>117.7</v>
      </c>
      <c r="AB25" s="18">
        <v>36373</v>
      </c>
      <c r="AC25" s="19">
        <v>8.4</v>
      </c>
      <c r="AD25" s="20">
        <v>79.1</v>
      </c>
      <c r="AF25" s="18" t="s">
        <v>16</v>
      </c>
      <c r="AG25" s="17">
        <f t="shared" si="1"/>
        <v>11.139999999999999</v>
      </c>
      <c r="AH25" s="22">
        <f t="shared" si="1"/>
        <v>80.94</v>
      </c>
      <c r="AJ25" s="28"/>
      <c r="AK25" s="31"/>
      <c r="AL25" s="31"/>
    </row>
    <row r="26" spans="1:38" ht="12.75">
      <c r="A26" s="18">
        <v>33117</v>
      </c>
      <c r="B26" s="19">
        <v>102.6</v>
      </c>
      <c r="C26" s="20">
        <v>21.7</v>
      </c>
      <c r="D26" s="18">
        <v>33482</v>
      </c>
      <c r="E26" s="19">
        <v>126.6</v>
      </c>
      <c r="F26" s="20">
        <v>32.8</v>
      </c>
      <c r="G26" s="18">
        <v>33848</v>
      </c>
      <c r="H26" s="19">
        <v>123.5</v>
      </c>
      <c r="I26" s="20">
        <v>23.3</v>
      </c>
      <c r="J26" s="18">
        <v>34213</v>
      </c>
      <c r="K26" s="19">
        <v>77.2</v>
      </c>
      <c r="L26" s="20">
        <v>15.7</v>
      </c>
      <c r="M26" s="18">
        <v>34578</v>
      </c>
      <c r="N26" s="19">
        <v>76.2</v>
      </c>
      <c r="O26" s="20">
        <v>13.7</v>
      </c>
      <c r="P26" s="18">
        <v>34943</v>
      </c>
      <c r="Q26" s="19">
        <v>133.7</v>
      </c>
      <c r="R26" s="20">
        <v>12.7</v>
      </c>
      <c r="S26" s="18">
        <v>35309</v>
      </c>
      <c r="T26" s="19">
        <v>71.6</v>
      </c>
      <c r="U26" s="20">
        <v>27.1</v>
      </c>
      <c r="V26" s="18">
        <v>35674</v>
      </c>
      <c r="W26" s="19">
        <v>87.1</v>
      </c>
      <c r="X26" s="20">
        <v>11.7</v>
      </c>
      <c r="Y26" s="18">
        <v>36039</v>
      </c>
      <c r="Z26" s="19">
        <v>39.7</v>
      </c>
      <c r="AA26" s="20">
        <v>45</v>
      </c>
      <c r="AB26" s="18">
        <v>36404</v>
      </c>
      <c r="AC26" s="19">
        <v>49.3</v>
      </c>
      <c r="AD26" s="20">
        <v>48.9</v>
      </c>
      <c r="AF26" s="18" t="s">
        <v>17</v>
      </c>
      <c r="AG26" s="17">
        <f t="shared" si="1"/>
        <v>88.75</v>
      </c>
      <c r="AH26" s="22">
        <f t="shared" si="1"/>
        <v>25.259999999999998</v>
      </c>
      <c r="AJ26" s="28"/>
      <c r="AK26" s="31"/>
      <c r="AL26" s="31"/>
    </row>
    <row r="27" spans="1:38" ht="12.75">
      <c r="A27" s="18">
        <v>33147</v>
      </c>
      <c r="B27" s="19">
        <v>269.4</v>
      </c>
      <c r="C27" s="20">
        <v>3.9</v>
      </c>
      <c r="D27" s="18">
        <v>33512</v>
      </c>
      <c r="E27" s="19">
        <v>237.3</v>
      </c>
      <c r="F27" s="20">
        <v>1.3</v>
      </c>
      <c r="G27" s="21">
        <v>33878</v>
      </c>
      <c r="H27" s="19">
        <v>328.5</v>
      </c>
      <c r="I27" s="20">
        <v>0</v>
      </c>
      <c r="J27" s="18">
        <v>34243</v>
      </c>
      <c r="K27" s="19">
        <v>200.8</v>
      </c>
      <c r="L27" s="20">
        <v>2.5</v>
      </c>
      <c r="M27" s="18">
        <v>34608</v>
      </c>
      <c r="N27" s="19">
        <v>249.3</v>
      </c>
      <c r="O27" s="20">
        <v>0</v>
      </c>
      <c r="P27" s="18">
        <v>34708</v>
      </c>
      <c r="Q27" s="19">
        <v>219.4</v>
      </c>
      <c r="R27" s="20">
        <v>3.2</v>
      </c>
      <c r="S27" s="18">
        <v>35339</v>
      </c>
      <c r="T27" s="19">
        <v>273.1</v>
      </c>
      <c r="U27" s="20">
        <v>0</v>
      </c>
      <c r="V27" s="18">
        <v>35704</v>
      </c>
      <c r="W27" s="19">
        <v>266.9</v>
      </c>
      <c r="X27" s="20">
        <v>2.8</v>
      </c>
      <c r="Y27" s="18">
        <v>36069</v>
      </c>
      <c r="Z27" s="19">
        <v>223.4</v>
      </c>
      <c r="AA27" s="20">
        <v>0</v>
      </c>
      <c r="AB27" s="18">
        <v>36434</v>
      </c>
      <c r="AC27" s="19">
        <v>262.6</v>
      </c>
      <c r="AD27" s="20">
        <v>0</v>
      </c>
      <c r="AF27" s="18" t="s">
        <v>18</v>
      </c>
      <c r="AG27" s="17">
        <f t="shared" si="1"/>
        <v>253.07000000000002</v>
      </c>
      <c r="AH27" s="22">
        <f t="shared" si="1"/>
        <v>1.37</v>
      </c>
      <c r="AJ27" s="28"/>
      <c r="AK27" s="31"/>
      <c r="AL27" s="31"/>
    </row>
    <row r="28" spans="1:38" ht="12.75">
      <c r="A28" s="18">
        <v>33178</v>
      </c>
      <c r="B28" s="19">
        <v>403.2</v>
      </c>
      <c r="C28" s="20">
        <v>0</v>
      </c>
      <c r="D28" s="18">
        <v>33543</v>
      </c>
      <c r="E28" s="19">
        <v>467.1</v>
      </c>
      <c r="F28" s="20">
        <v>0</v>
      </c>
      <c r="G28" s="21">
        <v>33909</v>
      </c>
      <c r="H28" s="19">
        <v>456.2</v>
      </c>
      <c r="I28" s="20">
        <v>0</v>
      </c>
      <c r="J28" s="18">
        <v>34274</v>
      </c>
      <c r="K28" s="19">
        <v>312.5</v>
      </c>
      <c r="L28" s="20">
        <v>0</v>
      </c>
      <c r="M28" s="18">
        <v>34639</v>
      </c>
      <c r="N28" s="19">
        <v>379</v>
      </c>
      <c r="O28" s="20">
        <v>0</v>
      </c>
      <c r="P28" s="18">
        <v>35004</v>
      </c>
      <c r="Q28" s="19">
        <v>511.4</v>
      </c>
      <c r="R28" s="20">
        <v>0</v>
      </c>
      <c r="S28" s="18">
        <v>35370</v>
      </c>
      <c r="T28" s="19">
        <v>512.1</v>
      </c>
      <c r="U28" s="20">
        <v>0</v>
      </c>
      <c r="V28" s="18">
        <v>35735</v>
      </c>
      <c r="W28" s="19">
        <v>466.5</v>
      </c>
      <c r="X28" s="20">
        <v>0</v>
      </c>
      <c r="Y28" s="18">
        <v>36100</v>
      </c>
      <c r="Z28" s="19">
        <v>392.6</v>
      </c>
      <c r="AA28" s="20">
        <v>0</v>
      </c>
      <c r="AB28" s="18">
        <v>36465</v>
      </c>
      <c r="AC28" s="19">
        <v>367.5</v>
      </c>
      <c r="AD28" s="20">
        <v>0</v>
      </c>
      <c r="AF28" s="18" t="s">
        <v>19</v>
      </c>
      <c r="AG28" s="17">
        <f t="shared" si="1"/>
        <v>426.80999999999995</v>
      </c>
      <c r="AH28" s="22">
        <f t="shared" si="1"/>
        <v>0</v>
      </c>
      <c r="AJ28" s="28"/>
      <c r="AK28" s="31"/>
      <c r="AL28" s="31"/>
    </row>
    <row r="29" spans="1:38" ht="13.5" thickBot="1">
      <c r="A29" s="23">
        <v>33208</v>
      </c>
      <c r="B29" s="24">
        <v>587.4</v>
      </c>
      <c r="C29" s="25">
        <v>0</v>
      </c>
      <c r="D29" s="23">
        <v>33573</v>
      </c>
      <c r="E29" s="24">
        <v>631</v>
      </c>
      <c r="F29" s="25">
        <v>0</v>
      </c>
      <c r="G29" s="23">
        <v>33939</v>
      </c>
      <c r="H29" s="24">
        <v>518.1</v>
      </c>
      <c r="I29" s="25">
        <v>0</v>
      </c>
      <c r="J29" s="23">
        <v>34304</v>
      </c>
      <c r="K29" s="24">
        <v>503.5</v>
      </c>
      <c r="L29" s="25">
        <v>0</v>
      </c>
      <c r="M29" s="23">
        <v>34669</v>
      </c>
      <c r="N29" s="24">
        <v>562.5</v>
      </c>
      <c r="O29" s="25">
        <v>0</v>
      </c>
      <c r="P29" s="23">
        <v>35034</v>
      </c>
      <c r="Q29" s="24">
        <v>717.5</v>
      </c>
      <c r="R29" s="25">
        <v>0</v>
      </c>
      <c r="S29" s="23">
        <v>35400</v>
      </c>
      <c r="T29" s="24">
        <v>571.6</v>
      </c>
      <c r="U29" s="25">
        <v>0</v>
      </c>
      <c r="V29" s="23">
        <v>35765</v>
      </c>
      <c r="W29" s="24">
        <v>586.2</v>
      </c>
      <c r="X29" s="25">
        <v>0</v>
      </c>
      <c r="Y29" s="23">
        <v>36130</v>
      </c>
      <c r="Z29" s="24">
        <v>535.1</v>
      </c>
      <c r="AA29" s="25">
        <v>0</v>
      </c>
      <c r="AB29" s="23">
        <v>36495</v>
      </c>
      <c r="AC29" s="24">
        <v>579.3</v>
      </c>
      <c r="AD29" s="25">
        <v>0</v>
      </c>
      <c r="AF29" s="23" t="s">
        <v>20</v>
      </c>
      <c r="AG29" s="26">
        <f t="shared" si="1"/>
        <v>579.22</v>
      </c>
      <c r="AH29" s="27">
        <f t="shared" si="1"/>
        <v>0</v>
      </c>
      <c r="AJ29" s="28"/>
      <c r="AK29" s="31"/>
      <c r="AL29" s="31"/>
    </row>
    <row r="30" ht="13.5" thickBot="1"/>
    <row r="31" spans="1:38" s="1" customFormat="1" ht="13.5" thickBot="1">
      <c r="A31" s="752" t="s">
        <v>31</v>
      </c>
      <c r="B31" s="753"/>
      <c r="C31" s="754"/>
      <c r="D31" s="752" t="s">
        <v>32</v>
      </c>
      <c r="E31" s="753"/>
      <c r="F31" s="754"/>
      <c r="G31" s="752" t="s">
        <v>33</v>
      </c>
      <c r="H31" s="753"/>
      <c r="I31" s="754"/>
      <c r="J31" s="752" t="s">
        <v>34</v>
      </c>
      <c r="K31" s="753"/>
      <c r="L31" s="754"/>
      <c r="M31" s="752" t="s">
        <v>35</v>
      </c>
      <c r="N31" s="753"/>
      <c r="O31" s="754"/>
      <c r="P31" s="752" t="s">
        <v>36</v>
      </c>
      <c r="Q31" s="753"/>
      <c r="R31" s="754"/>
      <c r="S31" s="752" t="s">
        <v>37</v>
      </c>
      <c r="T31" s="753"/>
      <c r="U31" s="754"/>
      <c r="V31" s="752" t="s">
        <v>38</v>
      </c>
      <c r="W31" s="753"/>
      <c r="X31" s="754"/>
      <c r="Y31" s="752" t="s">
        <v>39</v>
      </c>
      <c r="Z31" s="753"/>
      <c r="AA31" s="754"/>
      <c r="AB31" s="752" t="s">
        <v>40</v>
      </c>
      <c r="AC31" s="753"/>
      <c r="AD31" s="754"/>
      <c r="AF31" s="752" t="s">
        <v>5</v>
      </c>
      <c r="AG31" s="753"/>
      <c r="AH31" s="754"/>
      <c r="AJ31" s="755" t="s">
        <v>41</v>
      </c>
      <c r="AK31" s="756"/>
      <c r="AL31" s="757"/>
    </row>
    <row r="32" spans="1:38" s="5" customFormat="1" ht="13.5" thickBot="1">
      <c r="A32" s="2" t="s">
        <v>6</v>
      </c>
      <c r="B32" s="3" t="s">
        <v>7</v>
      </c>
      <c r="C32" s="4" t="s">
        <v>8</v>
      </c>
      <c r="D32" s="2" t="s">
        <v>6</v>
      </c>
      <c r="E32" s="3" t="s">
        <v>7</v>
      </c>
      <c r="F32" s="4" t="s">
        <v>8</v>
      </c>
      <c r="G32" s="2" t="s">
        <v>6</v>
      </c>
      <c r="H32" s="3" t="s">
        <v>7</v>
      </c>
      <c r="I32" s="4" t="s">
        <v>8</v>
      </c>
      <c r="J32" s="2" t="s">
        <v>6</v>
      </c>
      <c r="K32" s="3" t="s">
        <v>7</v>
      </c>
      <c r="L32" s="4" t="s">
        <v>8</v>
      </c>
      <c r="M32" s="2" t="s">
        <v>6</v>
      </c>
      <c r="N32" s="3" t="s">
        <v>7</v>
      </c>
      <c r="O32" s="4" t="s">
        <v>8</v>
      </c>
      <c r="P32" s="2" t="s">
        <v>6</v>
      </c>
      <c r="Q32" s="3" t="s">
        <v>7</v>
      </c>
      <c r="R32" s="4" t="s">
        <v>8</v>
      </c>
      <c r="S32" s="2" t="s">
        <v>6</v>
      </c>
      <c r="T32" s="3" t="s">
        <v>7</v>
      </c>
      <c r="U32" s="4" t="s">
        <v>8</v>
      </c>
      <c r="V32" s="2" t="s">
        <v>6</v>
      </c>
      <c r="W32" s="3" t="s">
        <v>7</v>
      </c>
      <c r="X32" s="4" t="s">
        <v>8</v>
      </c>
      <c r="Y32" s="2" t="s">
        <v>6</v>
      </c>
      <c r="Z32" s="3" t="s">
        <v>7</v>
      </c>
      <c r="AA32" s="4" t="s">
        <v>8</v>
      </c>
      <c r="AB32" s="2" t="s">
        <v>6</v>
      </c>
      <c r="AC32" s="3" t="s">
        <v>7</v>
      </c>
      <c r="AD32" s="4" t="s">
        <v>8</v>
      </c>
      <c r="AF32" s="6" t="s">
        <v>6</v>
      </c>
      <c r="AG32" s="7" t="s">
        <v>7</v>
      </c>
      <c r="AH32" s="8" t="s">
        <v>8</v>
      </c>
      <c r="AJ32" s="6" t="s">
        <v>6</v>
      </c>
      <c r="AK32" s="7" t="s">
        <v>7</v>
      </c>
      <c r="AL32" s="8" t="s">
        <v>8</v>
      </c>
    </row>
    <row r="33" spans="1:38" ht="12.75">
      <c r="A33" s="10">
        <v>36526</v>
      </c>
      <c r="B33" s="11">
        <v>738.9</v>
      </c>
      <c r="C33" s="12">
        <v>0</v>
      </c>
      <c r="D33" s="13">
        <v>36892</v>
      </c>
      <c r="E33" s="11">
        <v>684.9</v>
      </c>
      <c r="F33" s="12">
        <v>0</v>
      </c>
      <c r="G33" s="13">
        <v>37257</v>
      </c>
      <c r="H33" s="11">
        <v>572.2</v>
      </c>
      <c r="I33" s="12">
        <v>0</v>
      </c>
      <c r="J33" s="10">
        <v>37622</v>
      </c>
      <c r="K33" s="11">
        <v>814.5</v>
      </c>
      <c r="L33" s="12">
        <v>0</v>
      </c>
      <c r="M33" s="10">
        <v>37987</v>
      </c>
      <c r="N33" s="11">
        <v>849.1</v>
      </c>
      <c r="O33" s="12">
        <v>0</v>
      </c>
      <c r="P33" s="13">
        <v>38353</v>
      </c>
      <c r="Q33" s="11">
        <v>770</v>
      </c>
      <c r="R33" s="12">
        <v>0</v>
      </c>
      <c r="S33" s="13">
        <v>38718</v>
      </c>
      <c r="T33" s="11">
        <v>551.8</v>
      </c>
      <c r="U33" s="12">
        <v>0</v>
      </c>
      <c r="V33" s="13">
        <v>39083</v>
      </c>
      <c r="W33" s="11">
        <v>647.1</v>
      </c>
      <c r="X33" s="12">
        <v>0</v>
      </c>
      <c r="Y33" s="13">
        <v>39448</v>
      </c>
      <c r="Z33" s="11">
        <v>623.5</v>
      </c>
      <c r="AA33" s="12">
        <v>0</v>
      </c>
      <c r="AB33" s="13">
        <v>39814</v>
      </c>
      <c r="AC33" s="11">
        <v>830.2</v>
      </c>
      <c r="AD33" s="12">
        <v>0</v>
      </c>
      <c r="AF33" s="13" t="s">
        <v>9</v>
      </c>
      <c r="AG33" s="14">
        <f>AVERAGE(AC33,Z33,W33,T33,Q33,N33,K33,H33,E33,B33)</f>
        <v>708.22</v>
      </c>
      <c r="AH33" s="15">
        <f>AVERAGE(AD33,AA33,X33,U33,R33,O33,L33,I33,F33,C33)</f>
        <v>0</v>
      </c>
      <c r="AJ33" s="13" t="s">
        <v>9</v>
      </c>
      <c r="AK33" s="14">
        <f>AVERAGE(AG33,AG18,AG3)</f>
        <v>726.4066666666666</v>
      </c>
      <c r="AL33" s="15">
        <f>AVERAGE(AH33,AH18,AH3)</f>
        <v>0</v>
      </c>
    </row>
    <row r="34" spans="1:38" ht="12.75">
      <c r="A34" s="18">
        <v>36557</v>
      </c>
      <c r="B34" s="19">
        <v>612.7</v>
      </c>
      <c r="C34" s="20">
        <v>0</v>
      </c>
      <c r="D34" s="18">
        <v>36923</v>
      </c>
      <c r="E34" s="19">
        <v>587.6</v>
      </c>
      <c r="F34" s="20">
        <v>0</v>
      </c>
      <c r="G34" s="18">
        <v>37288</v>
      </c>
      <c r="H34" s="19">
        <v>540.2</v>
      </c>
      <c r="I34" s="20">
        <v>0</v>
      </c>
      <c r="J34" s="21">
        <v>37653</v>
      </c>
      <c r="K34" s="19">
        <v>699</v>
      </c>
      <c r="L34" s="20">
        <v>0</v>
      </c>
      <c r="M34" s="21">
        <v>38018</v>
      </c>
      <c r="N34" s="19">
        <v>631.7</v>
      </c>
      <c r="O34" s="20">
        <v>0</v>
      </c>
      <c r="P34" s="18">
        <v>38384</v>
      </c>
      <c r="Q34" s="19">
        <v>616.4</v>
      </c>
      <c r="R34" s="20">
        <v>0</v>
      </c>
      <c r="S34" s="18">
        <v>38749</v>
      </c>
      <c r="T34" s="19">
        <v>604.3</v>
      </c>
      <c r="U34" s="20">
        <v>0</v>
      </c>
      <c r="V34" s="21">
        <v>39114</v>
      </c>
      <c r="W34" s="19">
        <v>740.1</v>
      </c>
      <c r="X34" s="20">
        <v>0</v>
      </c>
      <c r="Y34" s="18">
        <v>39479</v>
      </c>
      <c r="Z34" s="19">
        <v>674.7</v>
      </c>
      <c r="AA34" s="20">
        <v>0</v>
      </c>
      <c r="AB34" s="18">
        <v>39845</v>
      </c>
      <c r="AC34" s="19">
        <v>606.4</v>
      </c>
      <c r="AD34" s="20">
        <v>0</v>
      </c>
      <c r="AF34" s="18" t="s">
        <v>10</v>
      </c>
      <c r="AG34" s="17">
        <f aca="true" t="shared" si="2" ref="AG34:AH44">AVERAGE(AC34,Z34,W34,T34,Q34,N34,K34,H34,E34,B34)</f>
        <v>631.3100000000001</v>
      </c>
      <c r="AH34" s="22">
        <f t="shared" si="2"/>
        <v>0</v>
      </c>
      <c r="AJ34" s="18" t="s">
        <v>10</v>
      </c>
      <c r="AK34" s="17">
        <f aca="true" t="shared" si="3" ref="AK34:AL44">AVERAGE(AG34,AG19,AG4)</f>
        <v>639.62</v>
      </c>
      <c r="AL34" s="22">
        <f t="shared" si="3"/>
        <v>0</v>
      </c>
    </row>
    <row r="35" spans="1:38" ht="12.75">
      <c r="A35" s="18">
        <v>36586</v>
      </c>
      <c r="B35" s="19">
        <v>418.6</v>
      </c>
      <c r="C35" s="20">
        <v>0</v>
      </c>
      <c r="D35" s="18">
        <v>36951</v>
      </c>
      <c r="E35" s="19">
        <v>566.6</v>
      </c>
      <c r="F35" s="20">
        <v>0</v>
      </c>
      <c r="G35" s="21">
        <v>37316</v>
      </c>
      <c r="H35" s="19">
        <v>545.6</v>
      </c>
      <c r="I35" s="20">
        <v>0</v>
      </c>
      <c r="J35" s="18">
        <v>37681</v>
      </c>
      <c r="K35" s="19">
        <v>581.1</v>
      </c>
      <c r="L35" s="20">
        <v>0</v>
      </c>
      <c r="M35" s="18">
        <v>38047</v>
      </c>
      <c r="N35" s="19">
        <v>487.3</v>
      </c>
      <c r="O35" s="20">
        <v>0</v>
      </c>
      <c r="P35" s="18">
        <v>38412</v>
      </c>
      <c r="Q35" s="19">
        <v>608.6</v>
      </c>
      <c r="R35" s="20">
        <v>0</v>
      </c>
      <c r="S35" s="18">
        <v>38777</v>
      </c>
      <c r="T35" s="19">
        <v>516.6</v>
      </c>
      <c r="U35" s="20">
        <v>0</v>
      </c>
      <c r="V35" s="21">
        <v>39142</v>
      </c>
      <c r="W35" s="19">
        <v>546.7</v>
      </c>
      <c r="X35" s="20">
        <v>0</v>
      </c>
      <c r="Y35" s="18">
        <v>39508</v>
      </c>
      <c r="Z35" s="19">
        <v>610.2</v>
      </c>
      <c r="AA35" s="20">
        <v>0</v>
      </c>
      <c r="AB35" s="18">
        <v>39873</v>
      </c>
      <c r="AC35" s="19">
        <v>533.8</v>
      </c>
      <c r="AD35" s="20">
        <v>0</v>
      </c>
      <c r="AF35" s="18" t="s">
        <v>11</v>
      </c>
      <c r="AG35" s="17">
        <f t="shared" si="2"/>
        <v>541.5100000000001</v>
      </c>
      <c r="AH35" s="22">
        <f t="shared" si="2"/>
        <v>0</v>
      </c>
      <c r="AJ35" s="18" t="s">
        <v>11</v>
      </c>
      <c r="AK35" s="17">
        <f t="shared" si="3"/>
        <v>559.5466666666666</v>
      </c>
      <c r="AL35" s="22">
        <f t="shared" si="3"/>
        <v>0</v>
      </c>
    </row>
    <row r="36" spans="1:38" ht="12.75">
      <c r="A36" s="21">
        <v>36617</v>
      </c>
      <c r="B36" s="19">
        <v>339.2</v>
      </c>
      <c r="C36" s="20">
        <v>0</v>
      </c>
      <c r="D36" s="18">
        <v>36982</v>
      </c>
      <c r="E36" s="19">
        <v>293.8</v>
      </c>
      <c r="F36" s="20">
        <v>1.4</v>
      </c>
      <c r="G36" s="18">
        <v>37347</v>
      </c>
      <c r="H36" s="19">
        <v>329.5</v>
      </c>
      <c r="I36" s="20">
        <v>8.3</v>
      </c>
      <c r="J36" s="18">
        <v>37712</v>
      </c>
      <c r="K36" s="19">
        <v>372.5</v>
      </c>
      <c r="L36" s="20">
        <v>2.4</v>
      </c>
      <c r="M36" s="18">
        <v>38078</v>
      </c>
      <c r="N36" s="19">
        <v>331.5</v>
      </c>
      <c r="O36" s="20">
        <v>0</v>
      </c>
      <c r="P36" s="18">
        <v>38443</v>
      </c>
      <c r="Q36" s="19">
        <v>306.8</v>
      </c>
      <c r="R36" s="20">
        <v>0</v>
      </c>
      <c r="S36" s="18">
        <v>38808</v>
      </c>
      <c r="T36" s="19">
        <v>293.3</v>
      </c>
      <c r="U36" s="20">
        <v>0</v>
      </c>
      <c r="V36" s="21">
        <v>39173</v>
      </c>
      <c r="W36" s="19">
        <v>356.4</v>
      </c>
      <c r="X36" s="20">
        <v>0</v>
      </c>
      <c r="Y36" s="18">
        <v>39539</v>
      </c>
      <c r="Z36" s="19">
        <v>253.9</v>
      </c>
      <c r="AA36" s="20">
        <v>0</v>
      </c>
      <c r="AB36" s="18">
        <v>39904</v>
      </c>
      <c r="AC36" s="19">
        <v>305.8</v>
      </c>
      <c r="AD36" s="20">
        <v>1.2</v>
      </c>
      <c r="AF36" s="18" t="s">
        <v>12</v>
      </c>
      <c r="AG36" s="17">
        <f t="shared" si="2"/>
        <v>318.27</v>
      </c>
      <c r="AH36" s="22">
        <f t="shared" si="2"/>
        <v>1.33</v>
      </c>
      <c r="AJ36" s="18" t="s">
        <v>12</v>
      </c>
      <c r="AK36" s="17">
        <f t="shared" si="3"/>
        <v>331.78000000000003</v>
      </c>
      <c r="AL36" s="22">
        <f t="shared" si="3"/>
        <v>1.3266666666666669</v>
      </c>
    </row>
    <row r="37" spans="1:38" ht="12.75">
      <c r="A37" s="18">
        <v>36647</v>
      </c>
      <c r="B37" s="19">
        <v>139.6</v>
      </c>
      <c r="C37" s="20">
        <v>23.7</v>
      </c>
      <c r="D37" s="18">
        <v>37012</v>
      </c>
      <c r="E37" s="19">
        <v>111.5</v>
      </c>
      <c r="F37" s="20">
        <v>12.2</v>
      </c>
      <c r="G37" s="21">
        <v>37377</v>
      </c>
      <c r="H37" s="19">
        <v>227.5</v>
      </c>
      <c r="I37" s="20">
        <v>7.8</v>
      </c>
      <c r="J37" s="18">
        <v>37742</v>
      </c>
      <c r="K37" s="19">
        <v>177.9</v>
      </c>
      <c r="L37" s="20">
        <v>0</v>
      </c>
      <c r="M37" s="18">
        <v>38108</v>
      </c>
      <c r="N37" s="19">
        <v>158.9</v>
      </c>
      <c r="O37" s="20">
        <v>8.6</v>
      </c>
      <c r="P37" s="18">
        <v>38473</v>
      </c>
      <c r="Q37" s="19">
        <v>189.4</v>
      </c>
      <c r="R37" s="20">
        <v>0.8</v>
      </c>
      <c r="S37" s="18">
        <v>38838</v>
      </c>
      <c r="T37" s="19">
        <v>136.9</v>
      </c>
      <c r="U37" s="20">
        <v>26</v>
      </c>
      <c r="V37" s="21">
        <v>39203</v>
      </c>
      <c r="W37" s="19">
        <v>136.4</v>
      </c>
      <c r="X37" s="20">
        <v>22.4</v>
      </c>
      <c r="Y37" s="18">
        <v>39569</v>
      </c>
      <c r="Z37" s="19">
        <v>193.5</v>
      </c>
      <c r="AA37" s="20">
        <v>2.5</v>
      </c>
      <c r="AB37" s="18">
        <v>39934</v>
      </c>
      <c r="AC37" s="19">
        <v>158.8</v>
      </c>
      <c r="AD37" s="20">
        <v>6.9</v>
      </c>
      <c r="AF37" s="18" t="s">
        <v>13</v>
      </c>
      <c r="AG37" s="17">
        <f t="shared" si="2"/>
        <v>163.04</v>
      </c>
      <c r="AH37" s="22">
        <f t="shared" si="2"/>
        <v>11.09</v>
      </c>
      <c r="AJ37" s="18" t="s">
        <v>13</v>
      </c>
      <c r="AK37" s="17">
        <f t="shared" si="3"/>
        <v>165.23666666666665</v>
      </c>
      <c r="AL37" s="22">
        <f t="shared" si="3"/>
        <v>11.956666666666663</v>
      </c>
    </row>
    <row r="38" spans="1:38" ht="12.75">
      <c r="A38" s="18">
        <v>36678</v>
      </c>
      <c r="B38" s="19">
        <v>34.5</v>
      </c>
      <c r="C38" s="20">
        <v>41.1</v>
      </c>
      <c r="D38" s="18">
        <v>37043</v>
      </c>
      <c r="E38" s="19">
        <v>29.8</v>
      </c>
      <c r="F38" s="20">
        <v>79.7</v>
      </c>
      <c r="G38" s="21">
        <v>37408</v>
      </c>
      <c r="H38" s="19">
        <v>36.2</v>
      </c>
      <c r="I38" s="20">
        <v>70</v>
      </c>
      <c r="J38" s="18">
        <v>37773</v>
      </c>
      <c r="K38" s="19">
        <v>43.4</v>
      </c>
      <c r="L38" s="20">
        <v>52.9</v>
      </c>
      <c r="M38" s="18">
        <v>38139</v>
      </c>
      <c r="N38" s="19">
        <v>44.2</v>
      </c>
      <c r="O38" s="20">
        <v>31.6</v>
      </c>
      <c r="P38" s="18">
        <v>38504</v>
      </c>
      <c r="Q38" s="19">
        <v>8.9</v>
      </c>
      <c r="R38" s="20">
        <v>146.3</v>
      </c>
      <c r="S38" s="18">
        <v>38869</v>
      </c>
      <c r="T38" s="19">
        <v>19.5</v>
      </c>
      <c r="U38" s="20">
        <v>73.6</v>
      </c>
      <c r="V38" s="18">
        <v>39234</v>
      </c>
      <c r="W38" s="19">
        <v>16.5</v>
      </c>
      <c r="X38" s="20">
        <v>99.2</v>
      </c>
      <c r="Y38" s="18">
        <v>39600</v>
      </c>
      <c r="Z38" s="19">
        <v>22.7</v>
      </c>
      <c r="AA38" s="20">
        <v>71.5</v>
      </c>
      <c r="AB38" s="18">
        <v>39965</v>
      </c>
      <c r="AC38" s="19">
        <v>49.3</v>
      </c>
      <c r="AD38" s="20">
        <v>34.2</v>
      </c>
      <c r="AF38" s="18" t="s">
        <v>14</v>
      </c>
      <c r="AG38" s="17">
        <f t="shared" si="2"/>
        <v>30.500000000000007</v>
      </c>
      <c r="AH38" s="22">
        <f t="shared" si="2"/>
        <v>70.01</v>
      </c>
      <c r="AJ38" s="18" t="s">
        <v>14</v>
      </c>
      <c r="AK38" s="17">
        <f t="shared" si="3"/>
        <v>41.693333333333335</v>
      </c>
      <c r="AL38" s="22">
        <f t="shared" si="3"/>
        <v>55.49</v>
      </c>
    </row>
    <row r="39" spans="1:38" ht="12.75">
      <c r="A39" s="18">
        <v>36708</v>
      </c>
      <c r="B39" s="19">
        <v>6.6</v>
      </c>
      <c r="C39" s="20">
        <v>71.8</v>
      </c>
      <c r="D39" s="18">
        <v>37073</v>
      </c>
      <c r="E39" s="19">
        <v>9.3</v>
      </c>
      <c r="F39" s="20">
        <v>100.9</v>
      </c>
      <c r="G39" s="18">
        <v>37438</v>
      </c>
      <c r="H39" s="19">
        <v>0</v>
      </c>
      <c r="I39" s="20">
        <v>192.4</v>
      </c>
      <c r="J39" s="18">
        <v>37803</v>
      </c>
      <c r="K39" s="19">
        <v>0.2</v>
      </c>
      <c r="L39" s="20">
        <v>118.3</v>
      </c>
      <c r="M39" s="18">
        <v>38169</v>
      </c>
      <c r="N39" s="19">
        <v>3.6</v>
      </c>
      <c r="O39" s="20">
        <v>86.4</v>
      </c>
      <c r="P39" s="18">
        <v>38534</v>
      </c>
      <c r="Q39" s="19">
        <v>0</v>
      </c>
      <c r="R39" s="20">
        <v>188.7</v>
      </c>
      <c r="S39" s="18">
        <v>38899</v>
      </c>
      <c r="T39" s="19">
        <v>0</v>
      </c>
      <c r="U39" s="20">
        <v>167.3</v>
      </c>
      <c r="V39" s="18">
        <v>39264</v>
      </c>
      <c r="W39" s="19">
        <v>3.2</v>
      </c>
      <c r="X39" s="20">
        <v>106.1</v>
      </c>
      <c r="Y39" s="18">
        <v>39630</v>
      </c>
      <c r="Z39" s="19">
        <v>1</v>
      </c>
      <c r="AA39" s="20">
        <v>111</v>
      </c>
      <c r="AB39" s="18">
        <v>39995</v>
      </c>
      <c r="AC39" s="19">
        <v>6.2</v>
      </c>
      <c r="AD39" s="20">
        <v>43.7</v>
      </c>
      <c r="AF39" s="18" t="s">
        <v>15</v>
      </c>
      <c r="AG39" s="17">
        <f t="shared" si="2"/>
        <v>3.0100000000000002</v>
      </c>
      <c r="AH39" s="22">
        <f t="shared" si="2"/>
        <v>118.66</v>
      </c>
      <c r="AJ39" s="18" t="s">
        <v>15</v>
      </c>
      <c r="AK39" s="17">
        <f t="shared" si="3"/>
        <v>5.52</v>
      </c>
      <c r="AL39" s="22">
        <f t="shared" si="3"/>
        <v>109.36333333333334</v>
      </c>
    </row>
    <row r="40" spans="1:38" ht="12.75">
      <c r="A40" s="18">
        <v>36739</v>
      </c>
      <c r="B40" s="19">
        <v>11.5</v>
      </c>
      <c r="C40" s="20">
        <v>92.5</v>
      </c>
      <c r="D40" s="18">
        <v>37104</v>
      </c>
      <c r="E40" s="19">
        <v>0</v>
      </c>
      <c r="F40" s="20">
        <v>160</v>
      </c>
      <c r="G40" s="18">
        <v>37469</v>
      </c>
      <c r="H40" s="19">
        <v>0.2</v>
      </c>
      <c r="I40" s="20">
        <v>142.7</v>
      </c>
      <c r="J40" s="18">
        <v>37834</v>
      </c>
      <c r="K40" s="19">
        <v>2</v>
      </c>
      <c r="L40" s="20">
        <v>128</v>
      </c>
      <c r="M40" s="18">
        <v>38200</v>
      </c>
      <c r="N40" s="19">
        <v>12.8</v>
      </c>
      <c r="O40" s="20">
        <v>59.6</v>
      </c>
      <c r="P40" s="18">
        <v>38565</v>
      </c>
      <c r="Q40" s="19">
        <v>0.2</v>
      </c>
      <c r="R40" s="20">
        <v>140.7</v>
      </c>
      <c r="S40" s="18">
        <v>38930</v>
      </c>
      <c r="T40" s="19">
        <v>4.2</v>
      </c>
      <c r="U40" s="20">
        <v>101.6</v>
      </c>
      <c r="V40" s="18">
        <v>39295</v>
      </c>
      <c r="W40" s="19">
        <v>5.2</v>
      </c>
      <c r="X40" s="20">
        <v>141</v>
      </c>
      <c r="Y40" s="18">
        <v>39661</v>
      </c>
      <c r="Z40" s="19">
        <v>12.7</v>
      </c>
      <c r="AA40" s="20">
        <v>64</v>
      </c>
      <c r="AB40" s="18">
        <v>40026</v>
      </c>
      <c r="AC40" s="19">
        <v>9.8</v>
      </c>
      <c r="AD40" s="20">
        <v>91</v>
      </c>
      <c r="AF40" s="18" t="s">
        <v>16</v>
      </c>
      <c r="AG40" s="17">
        <f t="shared" si="2"/>
        <v>5.860000000000001</v>
      </c>
      <c r="AH40" s="22">
        <f t="shared" si="2"/>
        <v>112.10999999999999</v>
      </c>
      <c r="AJ40" s="18" t="s">
        <v>16</v>
      </c>
      <c r="AK40" s="17">
        <f t="shared" si="3"/>
        <v>11.943333333333335</v>
      </c>
      <c r="AL40" s="22">
        <f t="shared" si="3"/>
        <v>89.85333333333331</v>
      </c>
    </row>
    <row r="41" spans="1:38" ht="12.75">
      <c r="A41" s="18">
        <v>36770</v>
      </c>
      <c r="B41" s="19">
        <v>99.5</v>
      </c>
      <c r="C41" s="20">
        <v>35.2</v>
      </c>
      <c r="D41" s="18">
        <v>37135</v>
      </c>
      <c r="E41" s="19">
        <v>73.6</v>
      </c>
      <c r="F41" s="20">
        <v>35.7</v>
      </c>
      <c r="G41" s="18">
        <v>37500</v>
      </c>
      <c r="H41" s="19">
        <v>21.8</v>
      </c>
      <c r="I41" s="20">
        <v>87.6</v>
      </c>
      <c r="J41" s="18">
        <v>37865</v>
      </c>
      <c r="K41" s="19">
        <v>54.9</v>
      </c>
      <c r="L41" s="20">
        <v>24</v>
      </c>
      <c r="M41" s="18">
        <v>38231</v>
      </c>
      <c r="N41" s="19">
        <v>30</v>
      </c>
      <c r="O41" s="20">
        <v>41.2</v>
      </c>
      <c r="P41" s="18">
        <v>38596</v>
      </c>
      <c r="Q41" s="19">
        <v>22.6</v>
      </c>
      <c r="R41" s="20">
        <v>52.1</v>
      </c>
      <c r="S41" s="18">
        <v>38961</v>
      </c>
      <c r="T41" s="19">
        <v>80.9</v>
      </c>
      <c r="U41" s="20">
        <v>12.9</v>
      </c>
      <c r="V41" s="18">
        <v>39326</v>
      </c>
      <c r="W41" s="19">
        <v>36.9</v>
      </c>
      <c r="X41" s="20">
        <v>47.5</v>
      </c>
      <c r="Y41" s="18">
        <v>39692</v>
      </c>
      <c r="Z41" s="19">
        <v>59</v>
      </c>
      <c r="AA41" s="20">
        <v>26.7</v>
      </c>
      <c r="AB41" s="18">
        <v>40057</v>
      </c>
      <c r="AC41" s="19">
        <v>55.2</v>
      </c>
      <c r="AD41" s="20">
        <v>20.9</v>
      </c>
      <c r="AF41" s="18" t="s">
        <v>17</v>
      </c>
      <c r="AG41" s="17">
        <f t="shared" si="2"/>
        <v>53.44</v>
      </c>
      <c r="AH41" s="22">
        <f t="shared" si="2"/>
        <v>38.379999999999995</v>
      </c>
      <c r="AJ41" s="18" t="s">
        <v>17</v>
      </c>
      <c r="AK41" s="17">
        <f t="shared" si="3"/>
        <v>81.22666666666667</v>
      </c>
      <c r="AL41" s="22">
        <f t="shared" si="3"/>
        <v>28.24333333333333</v>
      </c>
    </row>
    <row r="42" spans="1:38" ht="12.75">
      <c r="A42" s="18">
        <v>36800</v>
      </c>
      <c r="B42" s="19">
        <v>212.7</v>
      </c>
      <c r="C42" s="20">
        <v>1.2</v>
      </c>
      <c r="D42" s="18">
        <v>37165</v>
      </c>
      <c r="E42" s="19">
        <v>232.5</v>
      </c>
      <c r="F42" s="20">
        <v>2</v>
      </c>
      <c r="G42" s="21">
        <v>37530</v>
      </c>
      <c r="H42" s="19">
        <v>292.2</v>
      </c>
      <c r="I42" s="20">
        <v>10</v>
      </c>
      <c r="J42" s="18">
        <v>37895</v>
      </c>
      <c r="K42" s="19">
        <v>276</v>
      </c>
      <c r="L42" s="20">
        <v>0</v>
      </c>
      <c r="M42" s="18">
        <v>38261</v>
      </c>
      <c r="N42" s="19">
        <v>226.3</v>
      </c>
      <c r="O42" s="20">
        <v>1.5</v>
      </c>
      <c r="P42" s="18">
        <v>38626</v>
      </c>
      <c r="Q42" s="19">
        <v>220.2</v>
      </c>
      <c r="R42" s="20">
        <v>7.6</v>
      </c>
      <c r="S42" s="18">
        <v>38991</v>
      </c>
      <c r="T42" s="19">
        <v>288.3</v>
      </c>
      <c r="U42" s="20">
        <v>1.1</v>
      </c>
      <c r="V42" s="18">
        <v>39356</v>
      </c>
      <c r="W42" s="19">
        <v>137.7</v>
      </c>
      <c r="X42" s="20">
        <v>19.8</v>
      </c>
      <c r="Y42" s="18">
        <v>39722</v>
      </c>
      <c r="Z42" s="19">
        <v>278.6</v>
      </c>
      <c r="AA42" s="20">
        <v>0</v>
      </c>
      <c r="AB42" s="18">
        <v>40087</v>
      </c>
      <c r="AC42" s="19">
        <v>287.8</v>
      </c>
      <c r="AD42" s="20">
        <v>0</v>
      </c>
      <c r="AF42" s="18" t="s">
        <v>18</v>
      </c>
      <c r="AG42" s="17">
        <f t="shared" si="2"/>
        <v>245.23000000000002</v>
      </c>
      <c r="AH42" s="22">
        <f t="shared" si="2"/>
        <v>4.32</v>
      </c>
      <c r="AJ42" s="18" t="s">
        <v>18</v>
      </c>
      <c r="AK42" s="17">
        <f t="shared" si="3"/>
        <v>264.96333333333337</v>
      </c>
      <c r="AL42" s="22">
        <f t="shared" si="3"/>
        <v>2.1333333333333333</v>
      </c>
    </row>
    <row r="43" spans="1:38" ht="12.75">
      <c r="A43" s="18">
        <v>36831</v>
      </c>
      <c r="B43" s="19">
        <v>432</v>
      </c>
      <c r="C43" s="20">
        <v>0</v>
      </c>
      <c r="D43" s="18">
        <v>37196</v>
      </c>
      <c r="E43" s="19">
        <v>325.8</v>
      </c>
      <c r="F43" s="20">
        <v>0</v>
      </c>
      <c r="G43" s="21">
        <v>37561</v>
      </c>
      <c r="H43" s="19">
        <v>445</v>
      </c>
      <c r="I43" s="20">
        <v>0</v>
      </c>
      <c r="J43" s="18">
        <v>37926</v>
      </c>
      <c r="K43" s="19">
        <v>398.5</v>
      </c>
      <c r="L43" s="20">
        <v>0</v>
      </c>
      <c r="M43" s="18">
        <v>38292</v>
      </c>
      <c r="N43" s="19">
        <v>379.1</v>
      </c>
      <c r="O43" s="20">
        <v>0</v>
      </c>
      <c r="P43" s="18">
        <v>38657</v>
      </c>
      <c r="Q43" s="19">
        <v>388.4</v>
      </c>
      <c r="R43" s="20">
        <v>0</v>
      </c>
      <c r="S43" s="18">
        <v>39022</v>
      </c>
      <c r="T43" s="19">
        <v>382.2</v>
      </c>
      <c r="U43" s="20">
        <v>0</v>
      </c>
      <c r="V43" s="18">
        <v>39387</v>
      </c>
      <c r="W43" s="19">
        <v>462.5</v>
      </c>
      <c r="X43" s="20">
        <v>0</v>
      </c>
      <c r="Y43" s="18">
        <v>39753</v>
      </c>
      <c r="Z43" s="19">
        <v>451.6</v>
      </c>
      <c r="AA43" s="20">
        <v>0</v>
      </c>
      <c r="AB43" s="18">
        <v>40118</v>
      </c>
      <c r="AC43" s="19">
        <v>361.2</v>
      </c>
      <c r="AD43" s="20">
        <v>0</v>
      </c>
      <c r="AF43" s="18" t="s">
        <v>19</v>
      </c>
      <c r="AG43" s="17">
        <f t="shared" si="2"/>
        <v>402.63</v>
      </c>
      <c r="AH43" s="22">
        <f t="shared" si="2"/>
        <v>0</v>
      </c>
      <c r="AJ43" s="18" t="s">
        <v>19</v>
      </c>
      <c r="AK43" s="17">
        <f t="shared" si="3"/>
        <v>426.27666666666664</v>
      </c>
      <c r="AL43" s="22">
        <f t="shared" si="3"/>
        <v>0</v>
      </c>
    </row>
    <row r="44" spans="1:38" ht="13.5" thickBot="1">
      <c r="A44" s="23">
        <v>29556</v>
      </c>
      <c r="B44" s="24">
        <v>780.3</v>
      </c>
      <c r="C44" s="25">
        <v>0</v>
      </c>
      <c r="D44" s="23">
        <v>37226</v>
      </c>
      <c r="E44" s="24">
        <v>505</v>
      </c>
      <c r="F44" s="25">
        <v>0</v>
      </c>
      <c r="G44" s="23">
        <v>37591</v>
      </c>
      <c r="H44" s="24">
        <v>619.4</v>
      </c>
      <c r="I44" s="25">
        <v>0</v>
      </c>
      <c r="J44" s="23">
        <v>37956</v>
      </c>
      <c r="K44" s="24">
        <v>561.5</v>
      </c>
      <c r="L44" s="25">
        <v>0</v>
      </c>
      <c r="M44" s="23">
        <v>38322</v>
      </c>
      <c r="N44" s="24">
        <v>643.4</v>
      </c>
      <c r="O44" s="25">
        <v>0</v>
      </c>
      <c r="P44" s="23">
        <v>38687</v>
      </c>
      <c r="Q44" s="24">
        <v>665.3</v>
      </c>
      <c r="R44" s="25">
        <v>0</v>
      </c>
      <c r="S44" s="23">
        <v>39052</v>
      </c>
      <c r="T44" s="24">
        <v>500.5</v>
      </c>
      <c r="U44" s="25">
        <v>0</v>
      </c>
      <c r="V44" s="23">
        <v>39417</v>
      </c>
      <c r="W44" s="24">
        <v>630.7</v>
      </c>
      <c r="X44" s="25">
        <v>0</v>
      </c>
      <c r="Y44" s="23">
        <v>39783</v>
      </c>
      <c r="Z44" s="24">
        <v>654.6</v>
      </c>
      <c r="AA44" s="25">
        <v>0</v>
      </c>
      <c r="AB44" s="23">
        <v>40148</v>
      </c>
      <c r="AC44" s="24">
        <v>631.3</v>
      </c>
      <c r="AD44" s="25">
        <v>0</v>
      </c>
      <c r="AF44" s="23" t="s">
        <v>20</v>
      </c>
      <c r="AG44" s="26">
        <f t="shared" si="2"/>
        <v>619.2</v>
      </c>
      <c r="AH44" s="27">
        <f t="shared" si="2"/>
        <v>0</v>
      </c>
      <c r="AJ44" s="23" t="s">
        <v>20</v>
      </c>
      <c r="AK44" s="26">
        <f t="shared" si="3"/>
        <v>620.89</v>
      </c>
      <c r="AL44" s="27">
        <f t="shared" si="3"/>
        <v>0</v>
      </c>
    </row>
  </sheetData>
  <sheetProtection/>
  <mergeCells count="34">
    <mergeCell ref="P1:R1"/>
    <mergeCell ref="AB1:AD1"/>
    <mergeCell ref="A16:C16"/>
    <mergeCell ref="D16:F16"/>
    <mergeCell ref="G16:I16"/>
    <mergeCell ref="J16:L16"/>
    <mergeCell ref="M16:O16"/>
    <mergeCell ref="A1:C1"/>
    <mergeCell ref="D1:F1"/>
    <mergeCell ref="G1:I1"/>
    <mergeCell ref="J1:L1"/>
    <mergeCell ref="M1:O1"/>
    <mergeCell ref="P16:R16"/>
    <mergeCell ref="S16:U16"/>
    <mergeCell ref="V16:X16"/>
    <mergeCell ref="Y16:AA16"/>
    <mergeCell ref="AB16:AD16"/>
    <mergeCell ref="S1:U1"/>
    <mergeCell ref="V1:X1"/>
    <mergeCell ref="Y1:AA1"/>
    <mergeCell ref="AF16:AH16"/>
    <mergeCell ref="AF1:AH1"/>
    <mergeCell ref="AB31:AD31"/>
    <mergeCell ref="AF31:AH31"/>
    <mergeCell ref="AJ31:AL31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</mergeCells>
  <printOptions horizontalCentered="1"/>
  <pageMargins left="0.7" right="0.7" top="0.75" bottom="0.75" header="0.3" footer="0.3"/>
  <pageSetup horizontalDpi="600" verticalDpi="600" orientation="portrait" scale="89" r:id="rId1"/>
  <colBreaks count="3" manualBreakCount="3">
    <brk id="9" max="65535" man="1"/>
    <brk id="18" max="65535" man="1"/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W177"/>
  <sheetViews>
    <sheetView showGridLines="0" view="pageBreakPreview" zoomScale="60" zoomScalePageLayoutView="0" workbookViewId="0" topLeftCell="A1">
      <pane xSplit="1" ySplit="1" topLeftCell="B9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45" sqref="H145"/>
    </sheetView>
  </sheetViews>
  <sheetFormatPr defaultColWidth="9.140625" defaultRowHeight="12.75"/>
  <cols>
    <col min="1" max="1" width="12.421875" style="111" bestFit="1" customWidth="1"/>
    <col min="2" max="2" width="13.8515625" style="110" bestFit="1" customWidth="1"/>
    <col min="3" max="3" width="20.28125" style="122" bestFit="1" customWidth="1"/>
    <col min="4" max="4" width="15.00390625" style="122" bestFit="1" customWidth="1"/>
    <col min="5" max="5" width="14.421875" style="117" customWidth="1"/>
    <col min="6" max="6" width="19.28125" style="122" bestFit="1" customWidth="1"/>
    <col min="7" max="8" width="12.421875" style="122" customWidth="1"/>
    <col min="9" max="9" width="16.00390625" style="122" bestFit="1" customWidth="1"/>
    <col min="10" max="10" width="13.00390625" style="122" customWidth="1"/>
    <col min="11" max="12" width="18.8515625" style="122" bestFit="1" customWidth="1"/>
    <col min="13" max="13" width="23.28125" style="122" bestFit="1" customWidth="1"/>
    <col min="14" max="14" width="5.00390625" style="111" customWidth="1"/>
    <col min="15" max="15" width="25.8515625" style="110" bestFit="1" customWidth="1"/>
    <col min="16" max="16" width="13.00390625" style="110" bestFit="1" customWidth="1"/>
    <col min="17" max="17" width="13.7109375" style="110" bestFit="1" customWidth="1"/>
    <col min="18" max="18" width="12.57421875" style="110" bestFit="1" customWidth="1"/>
    <col min="19" max="19" width="12.421875" style="110" bestFit="1" customWidth="1"/>
    <col min="20" max="20" width="13.57421875" style="110" bestFit="1" customWidth="1"/>
    <col min="21" max="21" width="12.57421875" style="110" bestFit="1" customWidth="1"/>
    <col min="22" max="23" width="12.57421875" style="111" bestFit="1" customWidth="1"/>
    <col min="24" max="16384" width="9.140625" style="111" customWidth="1"/>
  </cols>
  <sheetData>
    <row r="1" spans="1:15" ht="42" customHeight="1" thickBot="1">
      <c r="A1" s="410"/>
      <c r="B1" s="412" t="s">
        <v>150</v>
      </c>
      <c r="C1" s="109" t="s">
        <v>59</v>
      </c>
      <c r="D1" s="109" t="s">
        <v>60</v>
      </c>
      <c r="E1" s="476" t="s">
        <v>151</v>
      </c>
      <c r="F1" s="109" t="s">
        <v>61</v>
      </c>
      <c r="G1" s="109" t="s">
        <v>62</v>
      </c>
      <c r="H1" s="109" t="s">
        <v>63</v>
      </c>
      <c r="I1" s="109" t="s">
        <v>44</v>
      </c>
      <c r="J1" s="109" t="s">
        <v>64</v>
      </c>
      <c r="K1" s="109" t="s">
        <v>152</v>
      </c>
      <c r="L1" s="109" t="s">
        <v>153</v>
      </c>
      <c r="M1" s="109" t="s">
        <v>154</v>
      </c>
      <c r="O1" s="477"/>
    </row>
    <row r="2" spans="1:23" ht="12.75">
      <c r="A2" s="112">
        <v>36892</v>
      </c>
      <c r="B2" s="424">
        <f>'Purchased kWh'!S1</f>
        <v>280845209.75251</v>
      </c>
      <c r="C2" s="113">
        <f>'Month &amp; Hour Data'!B2</f>
        <v>684.9</v>
      </c>
      <c r="D2" s="113">
        <f>'Month &amp; Hour Data'!C2</f>
        <v>0</v>
      </c>
      <c r="E2" s="478">
        <f>'Month &amp; Hour Data'!H2</f>
        <v>0.8622139568354353</v>
      </c>
      <c r="F2" s="114">
        <f>'Month &amp; Hour Data'!D2</f>
        <v>31</v>
      </c>
      <c r="G2" s="114">
        <f>'Month &amp; Hour Data'!E2</f>
        <v>0</v>
      </c>
      <c r="H2" s="114">
        <f>'Month &amp; Hour Data'!F2</f>
        <v>0</v>
      </c>
      <c r="I2" s="115">
        <f>Population!Q3</f>
        <v>329000</v>
      </c>
      <c r="J2" s="114">
        <f>'Month &amp; Hour Data'!G2</f>
        <v>352</v>
      </c>
      <c r="K2" s="115">
        <f>$P$18+(C2*$P$19)+(D2*$P$20)+(E2*$P$21)+(F2*$P$22)+(G2*$P$23)+(H2*$P$24)+(I2*$P$25)+(J2*$P$26)</f>
        <v>255498054.22844318</v>
      </c>
      <c r="L2" s="115">
        <f>K2-B2</f>
        <v>-25347155.524066836</v>
      </c>
      <c r="M2" s="515">
        <f>L2/B2</f>
        <v>-0.09025311681977263</v>
      </c>
      <c r="O2" s="379" t="s">
        <v>155</v>
      </c>
      <c r="P2" s="516"/>
      <c r="Q2" s="516"/>
      <c r="R2" s="516"/>
      <c r="S2" s="516"/>
      <c r="T2" s="516"/>
      <c r="U2" s="516"/>
      <c r="V2" s="516"/>
      <c r="W2" s="517"/>
    </row>
    <row r="3" spans="1:23" ht="13.5" thickBot="1">
      <c r="A3" s="112">
        <v>36925</v>
      </c>
      <c r="B3" s="424">
        <f>'Purchased kWh'!S2</f>
        <v>255669091.35465997</v>
      </c>
      <c r="C3" s="113">
        <f>'Month &amp; Hour Data'!B3</f>
        <v>587.5</v>
      </c>
      <c r="D3" s="113">
        <f>'Month &amp; Hour Data'!C3</f>
        <v>0</v>
      </c>
      <c r="E3" s="478">
        <f>'Month &amp; Hour Data'!H3</f>
        <v>0.9652637590449155</v>
      </c>
      <c r="F3" s="114">
        <f>'Month &amp; Hour Data'!D3</f>
        <v>28</v>
      </c>
      <c r="G3" s="114">
        <f>'Month &amp; Hour Data'!E3</f>
        <v>0</v>
      </c>
      <c r="H3" s="114">
        <f>'Month &amp; Hour Data'!F3</f>
        <v>0</v>
      </c>
      <c r="I3" s="115">
        <f>Population!Q4</f>
        <v>330000</v>
      </c>
      <c r="J3" s="114">
        <f>'Month &amp; Hour Data'!G3</f>
        <v>320</v>
      </c>
      <c r="K3" s="115">
        <f aca="true" t="shared" si="0" ref="K3:K66">$P$18+(C3*$P$19)+(D3*$P$20)+(E3*$P$21)+(F3*$P$22)+(G3*$P$23)+(H3*$P$24)+(I3*$P$25)+(J3*$P$26)</f>
        <v>257786383.0597834</v>
      </c>
      <c r="L3" s="115">
        <f aca="true" t="shared" si="1" ref="L3:L66">K3-B3</f>
        <v>2117291.7051234245</v>
      </c>
      <c r="M3" s="515">
        <f aca="true" t="shared" si="2" ref="M3:M66">L3/B3</f>
        <v>0.008281375327400652</v>
      </c>
      <c r="O3" s="36"/>
      <c r="P3" s="30"/>
      <c r="Q3" s="30"/>
      <c r="R3" s="30"/>
      <c r="S3" s="30"/>
      <c r="T3" s="30"/>
      <c r="U3" s="30"/>
      <c r="V3" s="30"/>
      <c r="W3" s="43"/>
    </row>
    <row r="4" spans="1:23" ht="12.75">
      <c r="A4" s="112">
        <v>36958</v>
      </c>
      <c r="B4" s="424">
        <f>'Purchased kWh'!S3</f>
        <v>270976955.97982997</v>
      </c>
      <c r="C4" s="113">
        <f>'Month &amp; Hour Data'!B4</f>
        <v>566.6</v>
      </c>
      <c r="D4" s="113">
        <f>'Month &amp; Hour Data'!C4</f>
        <v>0</v>
      </c>
      <c r="E4" s="478">
        <f>'Month &amp; Hour Data'!H4</f>
        <v>0.9717863485840876</v>
      </c>
      <c r="F4" s="114">
        <f>'Month &amp; Hour Data'!D4</f>
        <v>31</v>
      </c>
      <c r="G4" s="114">
        <f>'Month &amp; Hour Data'!E4</f>
        <v>1</v>
      </c>
      <c r="H4" s="114">
        <f>'Month &amp; Hour Data'!F4</f>
        <v>0</v>
      </c>
      <c r="I4" s="115">
        <f>Population!Q5</f>
        <v>331000</v>
      </c>
      <c r="J4" s="114">
        <f>'Month &amp; Hour Data'!G4</f>
        <v>352</v>
      </c>
      <c r="K4" s="115">
        <f t="shared" si="0"/>
        <v>275909074.5038716</v>
      </c>
      <c r="L4" s="115">
        <f t="shared" si="1"/>
        <v>4932118.524041653</v>
      </c>
      <c r="M4" s="515">
        <f t="shared" si="2"/>
        <v>0.018201247062531664</v>
      </c>
      <c r="O4" s="518" t="s">
        <v>156</v>
      </c>
      <c r="P4" s="479"/>
      <c r="Q4" s="30"/>
      <c r="R4" s="30"/>
      <c r="S4" s="30"/>
      <c r="T4" s="30"/>
      <c r="U4" s="30"/>
      <c r="V4" s="30"/>
      <c r="W4" s="43"/>
    </row>
    <row r="5" spans="1:23" ht="12.75">
      <c r="A5" s="112">
        <v>36991</v>
      </c>
      <c r="B5" s="424">
        <f>'Purchased kWh'!S4</f>
        <v>241625476.58483997</v>
      </c>
      <c r="C5" s="113">
        <f>'Month &amp; Hour Data'!B5</f>
        <v>293.8</v>
      </c>
      <c r="D5" s="113">
        <f>'Month &amp; Hour Data'!C5</f>
        <v>1.4</v>
      </c>
      <c r="E5" s="478">
        <f>'Month &amp; Hour Data'!H5</f>
        <v>0.9746125251291234</v>
      </c>
      <c r="F5" s="114">
        <f>'Month &amp; Hour Data'!D5</f>
        <v>30</v>
      </c>
      <c r="G5" s="114">
        <f>'Month &amp; Hour Data'!E5</f>
        <v>1</v>
      </c>
      <c r="H5" s="114">
        <f>'Month &amp; Hour Data'!F5</f>
        <v>0</v>
      </c>
      <c r="I5" s="115">
        <f>Population!Q6</f>
        <v>332000</v>
      </c>
      <c r="J5" s="114">
        <f>'Month &amp; Hour Data'!G5</f>
        <v>320</v>
      </c>
      <c r="K5" s="115">
        <f t="shared" si="0"/>
        <v>250774758.72377342</v>
      </c>
      <c r="L5" s="115">
        <f t="shared" si="1"/>
        <v>9149282.13893345</v>
      </c>
      <c r="M5" s="515">
        <f t="shared" si="2"/>
        <v>0.03786555237572781</v>
      </c>
      <c r="O5" s="519" t="s">
        <v>157</v>
      </c>
      <c r="P5" s="480">
        <v>0.9755407788249918</v>
      </c>
      <c r="Q5" s="30"/>
      <c r="R5" s="30"/>
      <c r="S5" s="30"/>
      <c r="T5" s="30"/>
      <c r="U5" s="30"/>
      <c r="V5" s="30"/>
      <c r="W5" s="43"/>
    </row>
    <row r="6" spans="1:23" ht="12.75">
      <c r="A6" s="112">
        <v>37024</v>
      </c>
      <c r="B6" s="424">
        <f>'Purchased kWh'!S5</f>
        <v>254877801.64583996</v>
      </c>
      <c r="C6" s="113">
        <f>'Month &amp; Hour Data'!B6</f>
        <v>111.5</v>
      </c>
      <c r="D6" s="113">
        <f>'Month &amp; Hour Data'!C6</f>
        <v>12.2</v>
      </c>
      <c r="E6" s="478">
        <f>'Month &amp; Hour Data'!H6</f>
        <v>0.9715353188391548</v>
      </c>
      <c r="F6" s="114">
        <f>'Month &amp; Hour Data'!D6</f>
        <v>31</v>
      </c>
      <c r="G6" s="114">
        <f>'Month &amp; Hour Data'!E6</f>
        <v>1</v>
      </c>
      <c r="H6" s="114">
        <f>'Month &amp; Hour Data'!F6</f>
        <v>0</v>
      </c>
      <c r="I6" s="115">
        <f>Population!Q7</f>
        <v>333000</v>
      </c>
      <c r="J6" s="114">
        <f>'Month &amp; Hour Data'!G6</f>
        <v>352</v>
      </c>
      <c r="K6" s="115">
        <f t="shared" si="0"/>
        <v>258540035.53259173</v>
      </c>
      <c r="L6" s="115">
        <f t="shared" si="1"/>
        <v>3662233.886751771</v>
      </c>
      <c r="M6" s="515">
        <f t="shared" si="2"/>
        <v>0.01436858707625135</v>
      </c>
      <c r="O6" s="519" t="s">
        <v>158</v>
      </c>
      <c r="P6" s="480">
        <v>0.9516798111504715</v>
      </c>
      <c r="Q6" s="30"/>
      <c r="R6" s="30"/>
      <c r="S6" s="30"/>
      <c r="T6" s="30"/>
      <c r="U6" s="30"/>
      <c r="V6" s="30"/>
      <c r="W6" s="43"/>
    </row>
    <row r="7" spans="1:23" ht="12.75">
      <c r="A7" s="112">
        <v>37057</v>
      </c>
      <c r="B7" s="424">
        <f>'Purchased kWh'!S6</f>
        <v>280369159.40309995</v>
      </c>
      <c r="C7" s="113">
        <f>'Month &amp; Hour Data'!B7</f>
        <v>30.2</v>
      </c>
      <c r="D7" s="113">
        <f>'Month &amp; Hour Data'!C7</f>
        <v>79.7</v>
      </c>
      <c r="E7" s="478">
        <f>'Month &amp; Hour Data'!H7</f>
        <v>0.9658536789455077</v>
      </c>
      <c r="F7" s="114">
        <f>'Month &amp; Hour Data'!D7</f>
        <v>30</v>
      </c>
      <c r="G7" s="114">
        <f>'Month &amp; Hour Data'!E7</f>
        <v>0</v>
      </c>
      <c r="H7" s="114">
        <f>'Month &amp; Hour Data'!F7</f>
        <v>0</v>
      </c>
      <c r="I7" s="115">
        <f>Population!Q8</f>
        <v>334000</v>
      </c>
      <c r="J7" s="114">
        <f>'Month &amp; Hour Data'!G7</f>
        <v>336</v>
      </c>
      <c r="K7" s="115">
        <f t="shared" si="0"/>
        <v>282441160.3988118</v>
      </c>
      <c r="L7" s="115">
        <f t="shared" si="1"/>
        <v>2072000.995711863</v>
      </c>
      <c r="M7" s="515">
        <f t="shared" si="2"/>
        <v>0.007390260041878749</v>
      </c>
      <c r="O7" s="519" t="s">
        <v>159</v>
      </c>
      <c r="P7" s="480">
        <v>0.9477751494252572</v>
      </c>
      <c r="Q7" s="30"/>
      <c r="R7" s="30"/>
      <c r="S7" s="30"/>
      <c r="T7" s="30"/>
      <c r="U7" s="30"/>
      <c r="V7" s="30"/>
      <c r="W7" s="43"/>
    </row>
    <row r="8" spans="1:23" ht="12.75">
      <c r="A8" s="112">
        <v>37090</v>
      </c>
      <c r="B8" s="424">
        <f>'Purchased kWh'!S7</f>
        <v>283380116.97826</v>
      </c>
      <c r="C8" s="113">
        <f>'Month &amp; Hour Data'!B8</f>
        <v>9.3</v>
      </c>
      <c r="D8" s="113">
        <f>'Month &amp; Hour Data'!C8</f>
        <v>100.9</v>
      </c>
      <c r="E8" s="478">
        <f>'Month &amp; Hour Data'!H8</f>
        <v>0.9526327790457104</v>
      </c>
      <c r="F8" s="114">
        <f>'Month &amp; Hour Data'!D8</f>
        <v>31</v>
      </c>
      <c r="G8" s="114">
        <f>'Month &amp; Hour Data'!E8</f>
        <v>0</v>
      </c>
      <c r="H8" s="114">
        <f>'Month &amp; Hour Data'!F8</f>
        <v>0</v>
      </c>
      <c r="I8" s="115">
        <f>Population!Q9</f>
        <v>335000</v>
      </c>
      <c r="J8" s="114">
        <f>'Month &amp; Hour Data'!G8</f>
        <v>336</v>
      </c>
      <c r="K8" s="115">
        <f t="shared" si="0"/>
        <v>293565687.97189826</v>
      </c>
      <c r="L8" s="115">
        <f t="shared" si="1"/>
        <v>10185570.993638277</v>
      </c>
      <c r="M8" s="515">
        <f t="shared" si="2"/>
        <v>0.03594313920909166</v>
      </c>
      <c r="O8" s="519" t="s">
        <v>160</v>
      </c>
      <c r="P8" s="480">
        <v>6338765.08689196</v>
      </c>
      <c r="Q8" s="30"/>
      <c r="R8" s="30"/>
      <c r="S8" s="30"/>
      <c r="T8" s="30"/>
      <c r="U8" s="30"/>
      <c r="V8" s="30"/>
      <c r="W8" s="43"/>
    </row>
    <row r="9" spans="1:23" ht="13.5" thickBot="1">
      <c r="A9" s="112">
        <v>37123</v>
      </c>
      <c r="B9" s="424">
        <f>'Purchased kWh'!S8</f>
        <v>309700654.12338996</v>
      </c>
      <c r="C9" s="113">
        <f>'Month &amp; Hour Data'!B9</f>
        <v>0</v>
      </c>
      <c r="D9" s="113">
        <f>'Month &amp; Hour Data'!C9</f>
        <v>160</v>
      </c>
      <c r="E9" s="478">
        <f>'Month &amp; Hour Data'!H9</f>
        <v>0.9648621114530229</v>
      </c>
      <c r="F9" s="114">
        <f>'Month &amp; Hour Data'!D9</f>
        <v>31</v>
      </c>
      <c r="G9" s="114">
        <f>'Month &amp; Hour Data'!E9</f>
        <v>0</v>
      </c>
      <c r="H9" s="114">
        <f>'Month &amp; Hour Data'!F9</f>
        <v>0</v>
      </c>
      <c r="I9" s="115">
        <f>Population!Q10</f>
        <v>336000</v>
      </c>
      <c r="J9" s="114">
        <f>'Month &amp; Hour Data'!G9</f>
        <v>352</v>
      </c>
      <c r="K9" s="115">
        <f t="shared" si="0"/>
        <v>324775810.9192236</v>
      </c>
      <c r="L9" s="115">
        <f t="shared" si="1"/>
        <v>15075156.795833647</v>
      </c>
      <c r="M9" s="515">
        <f t="shared" si="2"/>
        <v>0.04867654167054956</v>
      </c>
      <c r="O9" s="520" t="s">
        <v>161</v>
      </c>
      <c r="P9" s="481">
        <v>108</v>
      </c>
      <c r="Q9" s="30"/>
      <c r="R9" s="30"/>
      <c r="S9" s="30"/>
      <c r="T9" s="30"/>
      <c r="U9" s="30"/>
      <c r="V9" s="30"/>
      <c r="W9" s="43"/>
    </row>
    <row r="10" spans="1:23" ht="12.75">
      <c r="A10" s="112">
        <v>37156</v>
      </c>
      <c r="B10" s="424">
        <f>'Purchased kWh'!S9</f>
        <v>256033995.80368996</v>
      </c>
      <c r="C10" s="113">
        <f>'Month &amp; Hour Data'!B10</f>
        <v>73.6</v>
      </c>
      <c r="D10" s="113">
        <f>'Month &amp; Hour Data'!C10</f>
        <v>35.7</v>
      </c>
      <c r="E10" s="478">
        <f>'Month &amp; Hour Data'!H10</f>
        <v>0.9854235394775652</v>
      </c>
      <c r="F10" s="114">
        <f>'Month &amp; Hour Data'!D10</f>
        <v>30</v>
      </c>
      <c r="G10" s="114">
        <f>'Month &amp; Hour Data'!E10</f>
        <v>1</v>
      </c>
      <c r="H10" s="114">
        <f>'Month &amp; Hour Data'!F10</f>
        <v>0</v>
      </c>
      <c r="I10" s="115">
        <f>Population!Q11</f>
        <v>337000</v>
      </c>
      <c r="J10" s="114">
        <f>'Month &amp; Hour Data'!G10</f>
        <v>304</v>
      </c>
      <c r="K10" s="115">
        <f t="shared" si="0"/>
        <v>255466872.0208506</v>
      </c>
      <c r="L10" s="115">
        <f t="shared" si="1"/>
        <v>-567123.7828393579</v>
      </c>
      <c r="M10" s="515">
        <f t="shared" si="2"/>
        <v>-0.0022150331289372644</v>
      </c>
      <c r="O10" s="36"/>
      <c r="P10" s="30"/>
      <c r="Q10" s="30"/>
      <c r="R10" s="30"/>
      <c r="S10" s="30"/>
      <c r="T10" s="30"/>
      <c r="U10" s="30"/>
      <c r="V10" s="30"/>
      <c r="W10" s="43"/>
    </row>
    <row r="11" spans="1:23" ht="13.5" thickBot="1">
      <c r="A11" s="112">
        <v>37189</v>
      </c>
      <c r="B11" s="424">
        <f>'Purchased kWh'!S10</f>
        <v>262356880.71265998</v>
      </c>
      <c r="C11" s="113">
        <f>'Month &amp; Hour Data'!B11</f>
        <v>232.5</v>
      </c>
      <c r="D11" s="113">
        <f>'Month &amp; Hour Data'!C11</f>
        <v>2</v>
      </c>
      <c r="E11" s="478">
        <f>'Month &amp; Hour Data'!H11</f>
        <v>0.9755183241254228</v>
      </c>
      <c r="F11" s="114">
        <f>'Month &amp; Hour Data'!D11</f>
        <v>31</v>
      </c>
      <c r="G11" s="114">
        <f>'Month &amp; Hour Data'!E11</f>
        <v>1</v>
      </c>
      <c r="H11" s="114">
        <f>'Month &amp; Hour Data'!F11</f>
        <v>0</v>
      </c>
      <c r="I11" s="115">
        <f>Population!Q12</f>
        <v>338000</v>
      </c>
      <c r="J11" s="114">
        <f>'Month &amp; Hour Data'!G11</f>
        <v>352</v>
      </c>
      <c r="K11" s="115">
        <f t="shared" si="0"/>
        <v>261745240.22734106</v>
      </c>
      <c r="L11" s="115">
        <f t="shared" si="1"/>
        <v>-611640.485318929</v>
      </c>
      <c r="M11" s="515">
        <f t="shared" si="2"/>
        <v>-0.0023313300709227954</v>
      </c>
      <c r="O11" s="36" t="s">
        <v>162</v>
      </c>
      <c r="P11" s="30"/>
      <c r="Q11" s="30"/>
      <c r="R11" s="30"/>
      <c r="S11" s="30"/>
      <c r="T11" s="30"/>
      <c r="U11" s="30"/>
      <c r="V11" s="30"/>
      <c r="W11" s="43"/>
    </row>
    <row r="12" spans="1:23" ht="12.75">
      <c r="A12" s="112">
        <v>37222</v>
      </c>
      <c r="B12" s="424">
        <f>'Purchased kWh'!S11</f>
        <v>263952615.63877997</v>
      </c>
      <c r="C12" s="113">
        <f>'Month &amp; Hour Data'!B12</f>
        <v>324.5</v>
      </c>
      <c r="D12" s="113">
        <f>'Month &amp; Hour Data'!C12</f>
        <v>0</v>
      </c>
      <c r="E12" s="478">
        <f>'Month &amp; Hour Data'!H12</f>
        <v>0.9852771054596877</v>
      </c>
      <c r="F12" s="114">
        <f>'Month &amp; Hour Data'!D12</f>
        <v>30</v>
      </c>
      <c r="G12" s="114">
        <f>'Month &amp; Hour Data'!E12</f>
        <v>1</v>
      </c>
      <c r="H12" s="114">
        <f>'Month &amp; Hour Data'!F12</f>
        <v>0</v>
      </c>
      <c r="I12" s="115">
        <f>Population!Q13</f>
        <v>339000</v>
      </c>
      <c r="J12" s="114">
        <f>'Month &amp; Hour Data'!G12</f>
        <v>352</v>
      </c>
      <c r="K12" s="115">
        <f t="shared" si="0"/>
        <v>260959721.22080353</v>
      </c>
      <c r="L12" s="115">
        <f t="shared" si="1"/>
        <v>-2992894.417976439</v>
      </c>
      <c r="M12" s="515">
        <f t="shared" si="2"/>
        <v>-0.011338756430708098</v>
      </c>
      <c r="O12" s="521"/>
      <c r="P12" s="482" t="s">
        <v>163</v>
      </c>
      <c r="Q12" s="482" t="s">
        <v>164</v>
      </c>
      <c r="R12" s="482" t="s">
        <v>165</v>
      </c>
      <c r="S12" s="482" t="s">
        <v>166</v>
      </c>
      <c r="T12" s="482" t="s">
        <v>167</v>
      </c>
      <c r="U12" s="30"/>
      <c r="V12" s="30"/>
      <c r="W12" s="43"/>
    </row>
    <row r="13" spans="1:23" ht="12.75">
      <c r="A13" s="112">
        <v>37255</v>
      </c>
      <c r="B13" s="424">
        <f>'Purchased kWh'!S12</f>
        <v>272406019.65775996</v>
      </c>
      <c r="C13" s="113">
        <f>'Month &amp; Hour Data'!B13</f>
        <v>505</v>
      </c>
      <c r="D13" s="113">
        <f>'Month &amp; Hour Data'!C13</f>
        <v>0</v>
      </c>
      <c r="E13" s="478">
        <f>'Month &amp; Hour Data'!H13</f>
        <v>0.9649436961201261</v>
      </c>
      <c r="F13" s="114">
        <f>'Month &amp; Hour Data'!D13</f>
        <v>31</v>
      </c>
      <c r="G13" s="114">
        <f>'Month &amp; Hour Data'!E13</f>
        <v>0</v>
      </c>
      <c r="H13" s="114">
        <f>'Month &amp; Hour Data'!F13</f>
        <v>0</v>
      </c>
      <c r="I13" s="115">
        <f>Population!Q14</f>
        <v>340000</v>
      </c>
      <c r="J13" s="114">
        <f>'Month &amp; Hour Data'!G13</f>
        <v>304</v>
      </c>
      <c r="K13" s="115">
        <f t="shared" si="0"/>
        <v>274933716.6718951</v>
      </c>
      <c r="L13" s="115">
        <f t="shared" si="1"/>
        <v>2527697.0141351223</v>
      </c>
      <c r="M13" s="515">
        <f t="shared" si="2"/>
        <v>0.009279152558048533</v>
      </c>
      <c r="O13" s="519" t="s">
        <v>168</v>
      </c>
      <c r="P13" s="480">
        <v>8</v>
      </c>
      <c r="Q13" s="480">
        <v>78344180556324960</v>
      </c>
      <c r="R13" s="480">
        <v>9793022569540620</v>
      </c>
      <c r="S13" s="480">
        <v>243.72913151605016</v>
      </c>
      <c r="T13" s="480">
        <v>1.439648979770634E-61</v>
      </c>
      <c r="U13" s="30"/>
      <c r="V13" s="30"/>
      <c r="W13" s="43"/>
    </row>
    <row r="14" spans="1:23" s="119" customFormat="1" ht="12.75">
      <c r="A14" s="112">
        <v>37275</v>
      </c>
      <c r="B14" s="424">
        <f>'Purchased kWh'!S13</f>
        <v>284761887.14001</v>
      </c>
      <c r="C14" s="113">
        <f>'Month &amp; Hour Data'!B14</f>
        <v>572.2</v>
      </c>
      <c r="D14" s="113">
        <f>'Month &amp; Hour Data'!C14</f>
        <v>0</v>
      </c>
      <c r="E14" s="478">
        <f>'Month &amp; Hour Data'!H14</f>
        <v>0.9792042775468537</v>
      </c>
      <c r="F14" s="114">
        <f>'Month &amp; Hour Data'!D14</f>
        <v>31</v>
      </c>
      <c r="G14" s="114">
        <f>'Month &amp; Hour Data'!E14</f>
        <v>0</v>
      </c>
      <c r="H14" s="114">
        <f>'Month &amp; Hour Data'!F14</f>
        <v>0</v>
      </c>
      <c r="I14" s="115">
        <f>Population!R3</f>
        <v>341333.3333333333</v>
      </c>
      <c r="J14" s="114">
        <f>'Month &amp; Hour Data'!G14</f>
        <v>352</v>
      </c>
      <c r="K14" s="115">
        <f t="shared" si="0"/>
        <v>291330436.97719914</v>
      </c>
      <c r="L14" s="115">
        <f t="shared" si="1"/>
        <v>6568549.837189138</v>
      </c>
      <c r="M14" s="515">
        <f t="shared" si="2"/>
        <v>0.023066815236968678</v>
      </c>
      <c r="N14" s="111"/>
      <c r="O14" s="519" t="s">
        <v>169</v>
      </c>
      <c r="P14" s="480">
        <v>99</v>
      </c>
      <c r="Q14" s="480">
        <v>3977814339853243.5</v>
      </c>
      <c r="R14" s="480">
        <v>40179942826800.44</v>
      </c>
      <c r="S14" s="480"/>
      <c r="T14" s="480"/>
      <c r="U14" s="30"/>
      <c r="V14" s="30"/>
      <c r="W14" s="43"/>
    </row>
    <row r="15" spans="1:23" ht="13.5" thickBot="1">
      <c r="A15" s="112">
        <v>37308</v>
      </c>
      <c r="B15" s="424">
        <f>'Purchased kWh'!S14</f>
        <v>261561491.35166997</v>
      </c>
      <c r="C15" s="113">
        <f>'Month &amp; Hour Data'!B15</f>
        <v>540.2</v>
      </c>
      <c r="D15" s="113">
        <f>'Month &amp; Hour Data'!C15</f>
        <v>0</v>
      </c>
      <c r="E15" s="478">
        <f>'Month &amp; Hour Data'!H15</f>
        <v>0.990843690053574</v>
      </c>
      <c r="F15" s="114">
        <f>'Month &amp; Hour Data'!D15</f>
        <v>28</v>
      </c>
      <c r="G15" s="114">
        <f>'Month &amp; Hour Data'!E15</f>
        <v>0</v>
      </c>
      <c r="H15" s="114">
        <f>'Month &amp; Hour Data'!F15</f>
        <v>0</v>
      </c>
      <c r="I15" s="115">
        <f>Population!R4</f>
        <v>342666.6666666666</v>
      </c>
      <c r="J15" s="114">
        <f>'Month &amp; Hour Data'!G15</f>
        <v>320</v>
      </c>
      <c r="K15" s="115">
        <f t="shared" si="0"/>
        <v>264710139.74417102</v>
      </c>
      <c r="L15" s="115">
        <f t="shared" si="1"/>
        <v>3148648.392501056</v>
      </c>
      <c r="M15" s="515">
        <f t="shared" si="2"/>
        <v>0.012037889737628434</v>
      </c>
      <c r="O15" s="520" t="s">
        <v>103</v>
      </c>
      <c r="P15" s="481">
        <v>107</v>
      </c>
      <c r="Q15" s="481">
        <v>82321994896178200</v>
      </c>
      <c r="R15" s="481"/>
      <c r="S15" s="481"/>
      <c r="T15" s="481"/>
      <c r="U15" s="30"/>
      <c r="V15" s="30"/>
      <c r="W15" s="43"/>
    </row>
    <row r="16" spans="1:23" ht="13.5" thickBot="1">
      <c r="A16" s="112">
        <v>37341</v>
      </c>
      <c r="B16" s="424">
        <f>'Purchased kWh'!S15</f>
        <v>281058427.74325997</v>
      </c>
      <c r="C16" s="113">
        <f>'Month &amp; Hour Data'!B16</f>
        <v>545.6</v>
      </c>
      <c r="D16" s="113">
        <f>'Month &amp; Hour Data'!C16</f>
        <v>0</v>
      </c>
      <c r="E16" s="478">
        <f>'Month &amp; Hour Data'!H16</f>
        <v>0.9975378165851169</v>
      </c>
      <c r="F16" s="114">
        <f>'Month &amp; Hour Data'!D16</f>
        <v>31</v>
      </c>
      <c r="G16" s="114">
        <f>'Month &amp; Hour Data'!E16</f>
        <v>1</v>
      </c>
      <c r="H16" s="114">
        <f>'Month &amp; Hour Data'!F16</f>
        <v>0</v>
      </c>
      <c r="I16" s="115">
        <f>Population!R5</f>
        <v>343999.99999999994</v>
      </c>
      <c r="J16" s="114">
        <f>'Month &amp; Hour Data'!G16</f>
        <v>320</v>
      </c>
      <c r="K16" s="115">
        <f t="shared" si="0"/>
        <v>278831114.70082223</v>
      </c>
      <c r="L16" s="115">
        <f t="shared" si="1"/>
        <v>-2227313.042437732</v>
      </c>
      <c r="M16" s="515">
        <f t="shared" si="2"/>
        <v>-0.007924733160723181</v>
      </c>
      <c r="O16" s="36"/>
      <c r="P16" s="30"/>
      <c r="Q16" s="30"/>
      <c r="R16" s="30"/>
      <c r="S16" s="30"/>
      <c r="T16" s="30"/>
      <c r="U16" s="30"/>
      <c r="V16" s="30"/>
      <c r="W16" s="43"/>
    </row>
    <row r="17" spans="1:23" ht="12.75">
      <c r="A17" s="112">
        <v>37374</v>
      </c>
      <c r="B17" s="424">
        <f>'Purchased kWh'!S16</f>
        <v>267232388.23690996</v>
      </c>
      <c r="C17" s="113">
        <f>'Month &amp; Hour Data'!B17</f>
        <v>329.5</v>
      </c>
      <c r="D17" s="113">
        <f>'Month &amp; Hour Data'!C17</f>
        <v>8.3</v>
      </c>
      <c r="E17" s="478">
        <f>'Month &amp; Hour Data'!H17</f>
        <v>0.9967512567176605</v>
      </c>
      <c r="F17" s="114">
        <f>'Month &amp; Hour Data'!D17</f>
        <v>30</v>
      </c>
      <c r="G17" s="114">
        <f>'Month &amp; Hour Data'!E17</f>
        <v>1</v>
      </c>
      <c r="H17" s="114">
        <f>'Month &amp; Hour Data'!F17</f>
        <v>0</v>
      </c>
      <c r="I17" s="115">
        <f>Population!R6</f>
        <v>345333.33333333326</v>
      </c>
      <c r="J17" s="114">
        <f>'Month &amp; Hour Data'!G17</f>
        <v>352</v>
      </c>
      <c r="K17" s="115">
        <f t="shared" si="0"/>
        <v>268834136.7713521</v>
      </c>
      <c r="L17" s="115">
        <f t="shared" si="1"/>
        <v>1601748.5344421566</v>
      </c>
      <c r="M17" s="515">
        <f t="shared" si="2"/>
        <v>0.005993841334165513</v>
      </c>
      <c r="O17" s="521"/>
      <c r="P17" s="482" t="s">
        <v>170</v>
      </c>
      <c r="Q17" s="482" t="s">
        <v>160</v>
      </c>
      <c r="R17" s="482" t="s">
        <v>171</v>
      </c>
      <c r="S17" s="482" t="s">
        <v>172</v>
      </c>
      <c r="T17" s="482" t="s">
        <v>173</v>
      </c>
      <c r="U17" s="482" t="s">
        <v>174</v>
      </c>
      <c r="V17" s="482" t="s">
        <v>175</v>
      </c>
      <c r="W17" s="522" t="s">
        <v>176</v>
      </c>
    </row>
    <row r="18" spans="1:23" ht="12.75">
      <c r="A18" s="112">
        <v>37407</v>
      </c>
      <c r="B18" s="424">
        <f>'Purchased kWh'!S17</f>
        <v>268731434.868962</v>
      </c>
      <c r="C18" s="113">
        <f>'Month &amp; Hour Data'!B18</f>
        <v>227.5</v>
      </c>
      <c r="D18" s="113">
        <f>'Month &amp; Hour Data'!C18</f>
        <v>7.8</v>
      </c>
      <c r="E18" s="478">
        <f>'Month &amp; Hour Data'!H18</f>
        <v>0.9936029253332943</v>
      </c>
      <c r="F18" s="114">
        <f>'Month &amp; Hour Data'!D18</f>
        <v>31</v>
      </c>
      <c r="G18" s="114">
        <f>'Month &amp; Hour Data'!E18</f>
        <v>1</v>
      </c>
      <c r="H18" s="114">
        <f>'Month &amp; Hour Data'!F18</f>
        <v>0</v>
      </c>
      <c r="I18" s="115">
        <f>Population!R7</f>
        <v>346666.66666666657</v>
      </c>
      <c r="J18" s="114">
        <f>'Month &amp; Hour Data'!G18</f>
        <v>352</v>
      </c>
      <c r="K18" s="115">
        <f t="shared" si="0"/>
        <v>270455690.859893</v>
      </c>
      <c r="L18" s="115">
        <f t="shared" si="1"/>
        <v>1724255.990931034</v>
      </c>
      <c r="M18" s="515">
        <f t="shared" si="2"/>
        <v>0.006416279479071031</v>
      </c>
      <c r="O18" s="519" t="s">
        <v>177</v>
      </c>
      <c r="P18" s="480">
        <v>-393051500.9914597</v>
      </c>
      <c r="Q18" s="480">
        <v>34097260.87542847</v>
      </c>
      <c r="R18" s="480">
        <v>-11.52736292887106</v>
      </c>
      <c r="S18" s="480">
        <v>5.298830391706085E-20</v>
      </c>
      <c r="T18" s="480">
        <v>-460707862.2718653</v>
      </c>
      <c r="U18" s="480">
        <v>-325395139.71105415</v>
      </c>
      <c r="V18" s="480">
        <v>-460707862.2718653</v>
      </c>
      <c r="W18" s="523">
        <v>-325395139.71105415</v>
      </c>
    </row>
    <row r="19" spans="1:23" ht="12.75">
      <c r="A19" s="112">
        <v>37408</v>
      </c>
      <c r="B19" s="424">
        <f>'Purchased kWh'!S18</f>
        <v>287224945.779042</v>
      </c>
      <c r="C19" s="113">
        <f>'Month &amp; Hour Data'!B19</f>
        <v>36.2</v>
      </c>
      <c r="D19" s="113">
        <f>'Month &amp; Hour Data'!C19</f>
        <v>70</v>
      </c>
      <c r="E19" s="478">
        <f>'Month &amp; Hour Data'!H19</f>
        <v>0.9877936786526397</v>
      </c>
      <c r="F19" s="114">
        <f>'Month &amp; Hour Data'!D19</f>
        <v>30</v>
      </c>
      <c r="G19" s="114">
        <f>'Month &amp; Hour Data'!E19</f>
        <v>0</v>
      </c>
      <c r="H19" s="114">
        <f>'Month &amp; Hour Data'!F19</f>
        <v>0</v>
      </c>
      <c r="I19" s="115">
        <f>Population!R8</f>
        <v>347999.9999999999</v>
      </c>
      <c r="J19" s="114">
        <f>'Month &amp; Hour Data'!G19</f>
        <v>320</v>
      </c>
      <c r="K19" s="115">
        <f t="shared" si="0"/>
        <v>284007194.7569682</v>
      </c>
      <c r="L19" s="115">
        <f t="shared" si="1"/>
        <v>-3217751.0220738053</v>
      </c>
      <c r="M19" s="515">
        <f t="shared" si="2"/>
        <v>-0.011202895393874231</v>
      </c>
      <c r="O19" s="519" t="s">
        <v>59</v>
      </c>
      <c r="P19" s="480">
        <v>49250.10341164342</v>
      </c>
      <c r="Q19" s="480">
        <v>4133.362861237542</v>
      </c>
      <c r="R19" s="480">
        <v>11.915262478769593</v>
      </c>
      <c r="S19" s="480">
        <v>7.787922803666621E-21</v>
      </c>
      <c r="T19" s="480">
        <v>41048.614967613554</v>
      </c>
      <c r="U19" s="480">
        <v>57451.59185567328</v>
      </c>
      <c r="V19" s="480">
        <v>41048.614967613554</v>
      </c>
      <c r="W19" s="523">
        <v>57451.59185567328</v>
      </c>
    </row>
    <row r="20" spans="1:23" ht="12.75">
      <c r="A20" s="112">
        <v>37440</v>
      </c>
      <c r="B20" s="424">
        <f>'Purchased kWh'!S19</f>
        <v>336393633.32335997</v>
      </c>
      <c r="C20" s="113">
        <f>'Month &amp; Hour Data'!B20</f>
        <v>0</v>
      </c>
      <c r="D20" s="113">
        <f>'Month &amp; Hour Data'!C20</f>
        <v>192.4</v>
      </c>
      <c r="E20" s="478">
        <f>'Month &amp; Hour Data'!H20</f>
        <v>0.9895822655852863</v>
      </c>
      <c r="F20" s="114">
        <f>'Month &amp; Hour Data'!D20</f>
        <v>31</v>
      </c>
      <c r="G20" s="114">
        <f>'Month &amp; Hour Data'!E20</f>
        <v>0</v>
      </c>
      <c r="H20" s="114">
        <f>'Month &amp; Hour Data'!F20</f>
        <v>0</v>
      </c>
      <c r="I20" s="115">
        <f>Population!R9</f>
        <v>349333.3333333332</v>
      </c>
      <c r="J20" s="114">
        <f>'Month &amp; Hour Data'!G20</f>
        <v>352</v>
      </c>
      <c r="K20" s="115">
        <f t="shared" si="0"/>
        <v>347263093.7954018</v>
      </c>
      <c r="L20" s="115">
        <f t="shared" si="1"/>
        <v>10869460.472041845</v>
      </c>
      <c r="M20" s="515">
        <f t="shared" si="2"/>
        <v>0.032311730649175294</v>
      </c>
      <c r="O20" s="519" t="s">
        <v>60</v>
      </c>
      <c r="P20" s="480">
        <v>417362.9211854806</v>
      </c>
      <c r="Q20" s="480">
        <v>24902.150615487397</v>
      </c>
      <c r="R20" s="480">
        <v>16.760115526966175</v>
      </c>
      <c r="S20" s="480">
        <v>1.141064735253431E-30</v>
      </c>
      <c r="T20" s="480">
        <v>367951.6530822823</v>
      </c>
      <c r="U20" s="480">
        <v>466774.1892886789</v>
      </c>
      <c r="V20" s="480">
        <v>367951.6530822823</v>
      </c>
      <c r="W20" s="523">
        <v>466774.1892886789</v>
      </c>
    </row>
    <row r="21" spans="1:23" ht="12.75">
      <c r="A21" s="112">
        <v>37473</v>
      </c>
      <c r="B21" s="424">
        <f>'Purchased kWh'!S20</f>
        <v>323078534.22408</v>
      </c>
      <c r="C21" s="113">
        <f>'Month &amp; Hour Data'!B21</f>
        <v>0.2</v>
      </c>
      <c r="D21" s="113">
        <f>'Month &amp; Hour Data'!C21</f>
        <v>142.7</v>
      </c>
      <c r="E21" s="478">
        <f>'Month &amp; Hour Data'!H21</f>
        <v>1.0022864625934302</v>
      </c>
      <c r="F21" s="114">
        <f>'Month &amp; Hour Data'!D21</f>
        <v>31</v>
      </c>
      <c r="G21" s="114">
        <f>'Month &amp; Hour Data'!E21</f>
        <v>0</v>
      </c>
      <c r="H21" s="114">
        <f>'Month &amp; Hour Data'!F21</f>
        <v>0</v>
      </c>
      <c r="I21" s="115">
        <f>Population!R10</f>
        <v>350666.6666666665</v>
      </c>
      <c r="J21" s="114">
        <f>'Month &amp; Hour Data'!G21</f>
        <v>336</v>
      </c>
      <c r="K21" s="115">
        <f t="shared" si="0"/>
        <v>328341651.2025858</v>
      </c>
      <c r="L21" s="115">
        <f t="shared" si="1"/>
        <v>5263116.97850579</v>
      </c>
      <c r="M21" s="515">
        <f t="shared" si="2"/>
        <v>0.016290518932636392</v>
      </c>
      <c r="O21" s="519" t="s">
        <v>151</v>
      </c>
      <c r="P21" s="480">
        <v>351562161.2315018</v>
      </c>
      <c r="Q21" s="480">
        <v>28383405.24158424</v>
      </c>
      <c r="R21" s="480">
        <v>12.386186866557916</v>
      </c>
      <c r="S21" s="480">
        <v>7.716732321843701E-22</v>
      </c>
      <c r="T21" s="480">
        <v>295243328.8652157</v>
      </c>
      <c r="U21" s="480">
        <v>407880993.5977879</v>
      </c>
      <c r="V21" s="480">
        <v>295243328.8652157</v>
      </c>
      <c r="W21" s="523">
        <v>407880993.5977879</v>
      </c>
    </row>
    <row r="22" spans="1:23" ht="12.75">
      <c r="A22" s="112">
        <v>37506</v>
      </c>
      <c r="B22" s="424">
        <f>'Purchased kWh'!S21</f>
        <v>288951649.20456</v>
      </c>
      <c r="C22" s="113">
        <f>'Month &amp; Hour Data'!B22</f>
        <v>21.8</v>
      </c>
      <c r="D22" s="113">
        <f>'Month &amp; Hour Data'!C22</f>
        <v>87.6</v>
      </c>
      <c r="E22" s="478">
        <f>'Month &amp; Hour Data'!H22</f>
        <v>1.0236449100581344</v>
      </c>
      <c r="F22" s="114">
        <f>'Month &amp; Hour Data'!D22</f>
        <v>30</v>
      </c>
      <c r="G22" s="114">
        <f>'Month &amp; Hour Data'!E22</f>
        <v>1</v>
      </c>
      <c r="H22" s="114">
        <f>'Month &amp; Hour Data'!F22</f>
        <v>0</v>
      </c>
      <c r="I22" s="115">
        <f>Population!R11</f>
        <v>351999.9999999998</v>
      </c>
      <c r="J22" s="114">
        <f>'Month &amp; Hour Data'!G22</f>
        <v>320</v>
      </c>
      <c r="K22" s="115">
        <f t="shared" si="0"/>
        <v>291004425.7435545</v>
      </c>
      <c r="L22" s="115">
        <f t="shared" si="1"/>
        <v>2052776.538994491</v>
      </c>
      <c r="M22" s="515">
        <f t="shared" si="2"/>
        <v>0.007104221570098226</v>
      </c>
      <c r="O22" s="519" t="s">
        <v>61</v>
      </c>
      <c r="P22" s="480">
        <v>7933174.9411766</v>
      </c>
      <c r="Q22" s="480">
        <v>842061.7876531747</v>
      </c>
      <c r="R22" s="480">
        <v>9.421131628934678</v>
      </c>
      <c r="S22" s="480">
        <v>2.0040071465936475E-15</v>
      </c>
      <c r="T22" s="480">
        <v>6262341.711081501</v>
      </c>
      <c r="U22" s="480">
        <v>9604008.171271699</v>
      </c>
      <c r="V22" s="480">
        <v>6262341.711081501</v>
      </c>
      <c r="W22" s="523">
        <v>9604008.171271699</v>
      </c>
    </row>
    <row r="23" spans="1:23" ht="12.75">
      <c r="A23" s="112">
        <v>37539</v>
      </c>
      <c r="B23" s="424">
        <f>'Purchased kWh'!S22</f>
        <v>274918580.88071996</v>
      </c>
      <c r="C23" s="113">
        <f>'Month &amp; Hour Data'!B23</f>
        <v>292.2</v>
      </c>
      <c r="D23" s="113">
        <f>'Month &amp; Hour Data'!C23</f>
        <v>10</v>
      </c>
      <c r="E23" s="478">
        <f>'Month &amp; Hour Data'!H23</f>
        <v>1.0109595402808604</v>
      </c>
      <c r="F23" s="114">
        <f>'Month &amp; Hour Data'!D23</f>
        <v>31</v>
      </c>
      <c r="G23" s="114">
        <f>'Month &amp; Hour Data'!E23</f>
        <v>1</v>
      </c>
      <c r="H23" s="114">
        <f>'Month &amp; Hour Data'!F23</f>
        <v>0</v>
      </c>
      <c r="I23" s="115">
        <f>Population!R12</f>
        <v>353333.33333333314</v>
      </c>
      <c r="J23" s="114">
        <f>'Month &amp; Hour Data'!G23</f>
        <v>352</v>
      </c>
      <c r="K23" s="115">
        <f t="shared" si="0"/>
        <v>280799326.74839103</v>
      </c>
      <c r="L23" s="115">
        <f t="shared" si="1"/>
        <v>5880745.8676710725</v>
      </c>
      <c r="M23" s="515">
        <f t="shared" si="2"/>
        <v>0.021390863610715988</v>
      </c>
      <c r="O23" s="519" t="s">
        <v>62</v>
      </c>
      <c r="P23" s="480">
        <v>-12325307.357993273</v>
      </c>
      <c r="Q23" s="480">
        <v>1863586.4002569264</v>
      </c>
      <c r="R23" s="480">
        <v>-6.613756870244398</v>
      </c>
      <c r="S23" s="480">
        <v>1.9242730035796677E-09</v>
      </c>
      <c r="T23" s="480">
        <v>-16023066.988412524</v>
      </c>
      <c r="U23" s="480">
        <v>-8627547.727574022</v>
      </c>
      <c r="V23" s="480">
        <v>-16023066.988412524</v>
      </c>
      <c r="W23" s="523">
        <v>-8627547.727574022</v>
      </c>
    </row>
    <row r="24" spans="1:23" ht="12.75">
      <c r="A24" s="112">
        <v>37572</v>
      </c>
      <c r="B24" s="424">
        <f>'Purchased kWh'!S23</f>
        <v>278120053.94288</v>
      </c>
      <c r="C24" s="113">
        <f>'Month &amp; Hour Data'!B24</f>
        <v>445</v>
      </c>
      <c r="D24" s="113">
        <f>'Month &amp; Hour Data'!C24</f>
        <v>0</v>
      </c>
      <c r="E24" s="478">
        <f>'Month &amp; Hour Data'!H24</f>
        <v>1.0210718551725726</v>
      </c>
      <c r="F24" s="114">
        <f>'Month &amp; Hour Data'!D24</f>
        <v>30</v>
      </c>
      <c r="G24" s="114">
        <f>'Month &amp; Hour Data'!E24</f>
        <v>1</v>
      </c>
      <c r="H24" s="114">
        <f>'Month &amp; Hour Data'!F24</f>
        <v>0</v>
      </c>
      <c r="I24" s="115">
        <f>Population!R13</f>
        <v>354666.66666666645</v>
      </c>
      <c r="J24" s="114">
        <f>'Month &amp; Hour Data'!G24</f>
        <v>336</v>
      </c>
      <c r="K24" s="115">
        <f t="shared" si="0"/>
        <v>277118375.2875687</v>
      </c>
      <c r="L24" s="115">
        <f t="shared" si="1"/>
        <v>-1001678.6553112864</v>
      </c>
      <c r="M24" s="515">
        <f t="shared" si="2"/>
        <v>-0.003601605282001744</v>
      </c>
      <c r="O24" s="519" t="s">
        <v>63</v>
      </c>
      <c r="P24" s="480">
        <v>-22355282.210196383</v>
      </c>
      <c r="Q24" s="480">
        <v>6574206.887254852</v>
      </c>
      <c r="R24" s="480">
        <v>-3.400453103101404</v>
      </c>
      <c r="S24" s="480">
        <v>0.0009712499302287719</v>
      </c>
      <c r="T24" s="480">
        <v>-35399934.621463</v>
      </c>
      <c r="U24" s="480">
        <v>-9310629.798929762</v>
      </c>
      <c r="V24" s="480">
        <v>-35399934.621463</v>
      </c>
      <c r="W24" s="523">
        <v>-9310629.798929762</v>
      </c>
    </row>
    <row r="25" spans="1:23" ht="12.75">
      <c r="A25" s="112">
        <v>37605</v>
      </c>
      <c r="B25" s="424">
        <f>'Purchased kWh'!S24</f>
        <v>289471090.2528</v>
      </c>
      <c r="C25" s="113">
        <f>'Month &amp; Hour Data'!B25</f>
        <v>619.4</v>
      </c>
      <c r="D25" s="113">
        <f>'Month &amp; Hour Data'!C25</f>
        <v>0</v>
      </c>
      <c r="E25" s="478">
        <f>'Month &amp; Hour Data'!H25</f>
        <v>1</v>
      </c>
      <c r="F25" s="114">
        <f>'Month &amp; Hour Data'!D25</f>
        <v>31</v>
      </c>
      <c r="G25" s="114">
        <f>'Month &amp; Hour Data'!E25</f>
        <v>0</v>
      </c>
      <c r="H25" s="114">
        <f>'Month &amp; Hour Data'!F25</f>
        <v>0</v>
      </c>
      <c r="I25" s="115">
        <f>Population!R14</f>
        <v>355999.99999999977</v>
      </c>
      <c r="J25" s="114">
        <f>'Month &amp; Hour Data'!G25</f>
        <v>320</v>
      </c>
      <c r="K25" s="115">
        <f t="shared" si="0"/>
        <v>295903338.28862846</v>
      </c>
      <c r="L25" s="115">
        <f t="shared" si="1"/>
        <v>6432248.035828471</v>
      </c>
      <c r="M25" s="515">
        <f t="shared" si="2"/>
        <v>0.022220692333079203</v>
      </c>
      <c r="O25" s="519" t="s">
        <v>44</v>
      </c>
      <c r="P25" s="480">
        <v>20.554006279082678</v>
      </c>
      <c r="Q25" s="480">
        <v>33.27307219808354</v>
      </c>
      <c r="R25" s="480">
        <v>0.6177369542769948</v>
      </c>
      <c r="S25" s="480">
        <v>0.5381671509755055</v>
      </c>
      <c r="T25" s="480">
        <v>-45.46698589876103</v>
      </c>
      <c r="U25" s="480">
        <v>86.57499845692638</v>
      </c>
      <c r="V25" s="480">
        <v>-45.46698589876103</v>
      </c>
      <c r="W25" s="523">
        <v>86.57499845692638</v>
      </c>
    </row>
    <row r="26" spans="1:23" ht="13.5" thickBot="1">
      <c r="A26" s="112">
        <v>37622</v>
      </c>
      <c r="B26" s="424">
        <f>'Purchased kWh'!S25</f>
        <v>307542956.52232</v>
      </c>
      <c r="C26" s="113">
        <f>'Month &amp; Hour Data'!B26</f>
        <v>814.6</v>
      </c>
      <c r="D26" s="113">
        <f>'Month &amp; Hour Data'!C26</f>
        <v>0</v>
      </c>
      <c r="E26" s="478">
        <f>'Month &amp; Hour Data'!H26</f>
        <v>1.0072777706885119</v>
      </c>
      <c r="F26" s="114">
        <f>'Month &amp; Hour Data'!D26</f>
        <v>31</v>
      </c>
      <c r="G26" s="114">
        <f>'Month &amp; Hour Data'!E26</f>
        <v>0</v>
      </c>
      <c r="H26" s="114">
        <f>'Month &amp; Hour Data'!F26</f>
        <v>0</v>
      </c>
      <c r="I26" s="115">
        <f>Population!S3</f>
        <v>357333.3333333331</v>
      </c>
      <c r="J26" s="114">
        <f>'Month &amp; Hour Data'!G26</f>
        <v>352</v>
      </c>
      <c r="K26" s="115">
        <f t="shared" si="0"/>
        <v>313467104.06684583</v>
      </c>
      <c r="L26" s="115">
        <f t="shared" si="1"/>
        <v>5924147.544525862</v>
      </c>
      <c r="M26" s="515">
        <f t="shared" si="2"/>
        <v>0.0192628295296235</v>
      </c>
      <c r="O26" s="520" t="s">
        <v>64</v>
      </c>
      <c r="P26" s="481">
        <v>167629.73307370752</v>
      </c>
      <c r="Q26" s="481">
        <v>40683.604173234424</v>
      </c>
      <c r="R26" s="481">
        <v>4.120326516793476</v>
      </c>
      <c r="S26" s="481">
        <v>7.862305990710975E-05</v>
      </c>
      <c r="T26" s="481">
        <v>86904.63811111174</v>
      </c>
      <c r="U26" s="481">
        <v>248354.8280363033</v>
      </c>
      <c r="V26" s="481">
        <v>86904.63811111174</v>
      </c>
      <c r="W26" s="524">
        <v>248354.8280363033</v>
      </c>
    </row>
    <row r="27" spans="1:23" ht="12.75">
      <c r="A27" s="112">
        <v>37653</v>
      </c>
      <c r="B27" s="424">
        <f>'Purchased kWh'!S26</f>
        <v>279902417.56527996</v>
      </c>
      <c r="C27" s="113">
        <f>'Month &amp; Hour Data'!B27</f>
        <v>699</v>
      </c>
      <c r="D27" s="113">
        <f>'Month &amp; Hour Data'!C27</f>
        <v>0</v>
      </c>
      <c r="E27" s="478">
        <f>'Month &amp; Hour Data'!H27</f>
        <v>1.019249797607268</v>
      </c>
      <c r="F27" s="114">
        <f>'Month &amp; Hour Data'!D27</f>
        <v>28</v>
      </c>
      <c r="G27" s="114">
        <f>'Month &amp; Hour Data'!E27</f>
        <v>0</v>
      </c>
      <c r="H27" s="114">
        <f>'Month &amp; Hour Data'!F27</f>
        <v>0</v>
      </c>
      <c r="I27" s="115">
        <f>Population!S4</f>
        <v>358666.6666666664</v>
      </c>
      <c r="J27" s="114">
        <f>'Month &amp; Hour Data'!G27</f>
        <v>320</v>
      </c>
      <c r="K27" s="115">
        <f t="shared" si="0"/>
        <v>282846432.83015656</v>
      </c>
      <c r="L27" s="115">
        <f t="shared" si="1"/>
        <v>2944015.264876604</v>
      </c>
      <c r="M27" s="515">
        <f t="shared" si="2"/>
        <v>0.010518005848198824</v>
      </c>
      <c r="O27"/>
      <c r="P27"/>
      <c r="Q27"/>
      <c r="R27"/>
      <c r="S27"/>
      <c r="T27"/>
      <c r="U27"/>
      <c r="V27"/>
      <c r="W27"/>
    </row>
    <row r="28" spans="1:23" ht="12.75">
      <c r="A28" s="112">
        <v>37681</v>
      </c>
      <c r="B28" s="424">
        <f>'Purchased kWh'!S27</f>
        <v>292786171.32016</v>
      </c>
      <c r="C28" s="113">
        <f>'Month &amp; Hour Data'!B28</f>
        <v>581.1</v>
      </c>
      <c r="D28" s="113">
        <f>'Month &amp; Hour Data'!C28</f>
        <v>0</v>
      </c>
      <c r="E28" s="478">
        <f>'Month &amp; Hour Data'!H28</f>
        <v>1.026138472191134</v>
      </c>
      <c r="F28" s="114">
        <f>'Month &amp; Hour Data'!D28</f>
        <v>31</v>
      </c>
      <c r="G28" s="114">
        <f>'Month &amp; Hour Data'!E28</f>
        <v>1</v>
      </c>
      <c r="H28" s="114">
        <f>'Month &amp; Hour Data'!F28</f>
        <v>0</v>
      </c>
      <c r="I28" s="115">
        <f>Population!S5</f>
        <v>359999.9999999997</v>
      </c>
      <c r="J28" s="114">
        <f>'Month &amp; Hour Data'!G28</f>
        <v>336</v>
      </c>
      <c r="K28" s="115">
        <f t="shared" si="0"/>
        <v>293645341.4990695</v>
      </c>
      <c r="L28" s="115">
        <f t="shared" si="1"/>
        <v>859170.1789095402</v>
      </c>
      <c r="M28" s="515">
        <f t="shared" si="2"/>
        <v>0.0029344629735604645</v>
      </c>
      <c r="O28"/>
      <c r="P28"/>
      <c r="Q28"/>
      <c r="R28"/>
      <c r="S28"/>
      <c r="T28"/>
      <c r="U28"/>
      <c r="V28"/>
      <c r="W28"/>
    </row>
    <row r="29" spans="1:23" ht="12.75">
      <c r="A29" s="112">
        <v>37712</v>
      </c>
      <c r="B29" s="424">
        <f>'Purchased kWh'!S28</f>
        <v>269814264.55328</v>
      </c>
      <c r="C29" s="113">
        <f>'Month &amp; Hour Data'!B29</f>
        <v>372.5</v>
      </c>
      <c r="D29" s="113">
        <f>'Month &amp; Hour Data'!C29</f>
        <v>2.4</v>
      </c>
      <c r="E29" s="478">
        <f>'Month &amp; Hour Data'!H29</f>
        <v>1.0184151237053665</v>
      </c>
      <c r="F29" s="114">
        <f>'Month &amp; Hour Data'!D29</f>
        <v>30</v>
      </c>
      <c r="G29" s="114">
        <f>'Month &amp; Hour Data'!E29</f>
        <v>1</v>
      </c>
      <c r="H29" s="114">
        <f>'Month &amp; Hour Data'!F29</f>
        <v>0</v>
      </c>
      <c r="I29" s="115">
        <f>Population!S6</f>
        <v>361333.333333333</v>
      </c>
      <c r="J29" s="114">
        <f>'Month &amp; Hour Data'!G29</f>
        <v>336</v>
      </c>
      <c r="K29" s="115">
        <f t="shared" si="0"/>
        <v>273752434.2531742</v>
      </c>
      <c r="L29" s="115">
        <f t="shared" si="1"/>
        <v>3938169.69989419</v>
      </c>
      <c r="M29" s="515">
        <f t="shared" si="2"/>
        <v>0.014595854323767685</v>
      </c>
      <c r="O29"/>
      <c r="P29"/>
      <c r="Q29"/>
      <c r="R29"/>
      <c r="S29"/>
      <c r="T29"/>
      <c r="U29"/>
      <c r="V29"/>
      <c r="W29"/>
    </row>
    <row r="30" spans="1:13" ht="12.75">
      <c r="A30" s="112">
        <v>37742</v>
      </c>
      <c r="B30" s="424">
        <f>'Purchased kWh'!S29</f>
        <v>267913711.61416</v>
      </c>
      <c r="C30" s="113">
        <f>'Month &amp; Hour Data'!B30</f>
        <v>177.8</v>
      </c>
      <c r="D30" s="113">
        <f>'Month &amp; Hour Data'!C30</f>
        <v>0</v>
      </c>
      <c r="E30" s="478">
        <f>'Month &amp; Hour Data'!H30</f>
        <v>1.0151977591411436</v>
      </c>
      <c r="F30" s="114">
        <f>'Month &amp; Hour Data'!D30</f>
        <v>31</v>
      </c>
      <c r="G30" s="114">
        <f>'Month &amp; Hour Data'!E30</f>
        <v>1</v>
      </c>
      <c r="H30" s="114">
        <f>'Month &amp; Hour Data'!F30</f>
        <v>0</v>
      </c>
      <c r="I30" s="115">
        <f>Population!S7</f>
        <v>362666.66666666634</v>
      </c>
      <c r="J30" s="114">
        <f>'Month &amp; Hour Data'!G30</f>
        <v>336</v>
      </c>
      <c r="K30" s="115">
        <f t="shared" si="0"/>
        <v>269991244.7512963</v>
      </c>
      <c r="L30" s="115">
        <f t="shared" si="1"/>
        <v>2077533.1371362805</v>
      </c>
      <c r="M30" s="515">
        <f t="shared" si="2"/>
        <v>0.007754486041865119</v>
      </c>
    </row>
    <row r="31" spans="1:13" ht="12.75">
      <c r="A31" s="112">
        <v>37773</v>
      </c>
      <c r="B31" s="424">
        <f>'Purchased kWh'!S30</f>
        <v>286282449.35168</v>
      </c>
      <c r="C31" s="113">
        <f>'Month &amp; Hour Data'!B31</f>
        <v>43.4</v>
      </c>
      <c r="D31" s="113">
        <f>'Month &amp; Hour Data'!C31</f>
        <v>52.9</v>
      </c>
      <c r="E31" s="478">
        <f>'Month &amp; Hour Data'!H31</f>
        <v>1.0092629975880225</v>
      </c>
      <c r="F31" s="114">
        <f>'Month &amp; Hour Data'!D31</f>
        <v>30</v>
      </c>
      <c r="G31" s="114">
        <f>'Month &amp; Hour Data'!E31</f>
        <v>0</v>
      </c>
      <c r="H31" s="114">
        <f>'Month &amp; Hour Data'!F31</f>
        <v>0</v>
      </c>
      <c r="I31" s="115">
        <f>Population!S8</f>
        <v>363999.99999999965</v>
      </c>
      <c r="J31" s="114">
        <f>'Month &amp; Hour Data'!G31</f>
        <v>336</v>
      </c>
      <c r="K31" s="115">
        <f t="shared" si="0"/>
        <v>287783629.5439965</v>
      </c>
      <c r="L31" s="115">
        <f t="shared" si="1"/>
        <v>1501180.1923165321</v>
      </c>
      <c r="M31" s="515">
        <f t="shared" si="2"/>
        <v>0.005243703187939498</v>
      </c>
    </row>
    <row r="32" spans="1:13" ht="12.75">
      <c r="A32" s="112">
        <v>37803</v>
      </c>
      <c r="B32" s="424">
        <f>'Purchased kWh'!S31</f>
        <v>318440801.91264</v>
      </c>
      <c r="C32" s="113">
        <f>'Month &amp; Hour Data'!B32</f>
        <v>0.2</v>
      </c>
      <c r="D32" s="113">
        <f>'Month &amp; Hour Data'!C32</f>
        <v>118.3</v>
      </c>
      <c r="E32" s="478">
        <f>'Month &amp; Hour Data'!H32</f>
        <v>0.990103152306022</v>
      </c>
      <c r="F32" s="114">
        <f>'Month &amp; Hour Data'!D32</f>
        <v>31</v>
      </c>
      <c r="G32" s="114">
        <f>'Month &amp; Hour Data'!E32</f>
        <v>0</v>
      </c>
      <c r="H32" s="114">
        <f>'Month &amp; Hour Data'!F32</f>
        <v>0</v>
      </c>
      <c r="I32" s="115">
        <f>Population!S9</f>
        <v>365333.33333333296</v>
      </c>
      <c r="J32" s="114">
        <f>'Month &amp; Hour Data'!G32</f>
        <v>352</v>
      </c>
      <c r="K32" s="115">
        <f t="shared" si="0"/>
        <v>316858339.518004</v>
      </c>
      <c r="L32" s="115">
        <f t="shared" si="1"/>
        <v>-1582462.3946359754</v>
      </c>
      <c r="M32" s="515">
        <f t="shared" si="2"/>
        <v>-0.004969408395944509</v>
      </c>
    </row>
    <row r="33" spans="1:13" ht="12.75">
      <c r="A33" s="112">
        <v>37834</v>
      </c>
      <c r="B33" s="424">
        <f>'Purchased kWh'!S32</f>
        <v>297771902.98367995</v>
      </c>
      <c r="C33" s="113">
        <f>'Month &amp; Hour Data'!B33</f>
        <v>2</v>
      </c>
      <c r="D33" s="113">
        <f>'Month &amp; Hour Data'!C33</f>
        <v>128</v>
      </c>
      <c r="E33" s="478">
        <f>'Month &amp; Hour Data'!H33</f>
        <v>1.002813625057789</v>
      </c>
      <c r="F33" s="114">
        <f>'Month &amp; Hour Data'!D33</f>
        <v>31</v>
      </c>
      <c r="G33" s="114">
        <f>'Month &amp; Hour Data'!E33</f>
        <v>0</v>
      </c>
      <c r="H33" s="114">
        <f>'Month &amp; Hour Data'!F33</f>
        <v>1</v>
      </c>
      <c r="I33" s="115">
        <f>Population!S10</f>
        <v>366666.6666666663</v>
      </c>
      <c r="J33" s="114">
        <f>'Month &amp; Hour Data'!G33</f>
        <v>320</v>
      </c>
      <c r="K33" s="115">
        <f t="shared" si="0"/>
        <v>297771902.9836799</v>
      </c>
      <c r="L33" s="115">
        <f t="shared" si="1"/>
        <v>0</v>
      </c>
      <c r="M33" s="515">
        <f t="shared" si="2"/>
        <v>0</v>
      </c>
    </row>
    <row r="34" spans="1:13" ht="12.75">
      <c r="A34" s="112">
        <v>37865</v>
      </c>
      <c r="B34" s="424">
        <f>'Purchased kWh'!S33</f>
        <v>267335937.70864</v>
      </c>
      <c r="C34" s="113">
        <f>'Month &amp; Hour Data'!B34</f>
        <v>54.9</v>
      </c>
      <c r="D34" s="113">
        <f>'Month &amp; Hour Data'!C34</f>
        <v>24</v>
      </c>
      <c r="E34" s="478">
        <f>'Month &amp; Hour Data'!H34</f>
        <v>1.0241846240097399</v>
      </c>
      <c r="F34" s="114">
        <f>'Month &amp; Hour Data'!D34</f>
        <v>30</v>
      </c>
      <c r="G34" s="114">
        <f>'Month &amp; Hour Data'!E34</f>
        <v>1</v>
      </c>
      <c r="H34" s="114">
        <f>'Month &amp; Hour Data'!F34</f>
        <v>0</v>
      </c>
      <c r="I34" s="115">
        <f>Population!S11</f>
        <v>367999.9999999996</v>
      </c>
      <c r="J34" s="114">
        <f>'Month &amp; Hour Data'!G34</f>
        <v>336</v>
      </c>
      <c r="K34" s="115">
        <f t="shared" si="0"/>
        <v>269291005.21200114</v>
      </c>
      <c r="L34" s="115">
        <f t="shared" si="1"/>
        <v>1955067.5033611357</v>
      </c>
      <c r="M34" s="515">
        <f t="shared" si="2"/>
        <v>0.007313148842307519</v>
      </c>
    </row>
    <row r="35" spans="1:13" ht="12.75">
      <c r="A35" s="112">
        <v>37895</v>
      </c>
      <c r="B35" s="424">
        <f>'Purchased kWh'!S34</f>
        <v>274153307.40288</v>
      </c>
      <c r="C35" s="113">
        <f>'Month &amp; Hour Data'!B35</f>
        <v>275.8</v>
      </c>
      <c r="D35" s="113">
        <f>'Month &amp; Hour Data'!C35</f>
        <v>0</v>
      </c>
      <c r="E35" s="478">
        <f>'Month &amp; Hour Data'!H35</f>
        <v>1.0155345573822618</v>
      </c>
      <c r="F35" s="114">
        <f>'Month &amp; Hour Data'!D35</f>
        <v>31</v>
      </c>
      <c r="G35" s="114">
        <f>'Month &amp; Hour Data'!E35</f>
        <v>1</v>
      </c>
      <c r="H35" s="114">
        <f>'Month &amp; Hour Data'!F35</f>
        <v>0</v>
      </c>
      <c r="I35" s="115">
        <f>Population!S12</f>
        <v>369333.3333333329</v>
      </c>
      <c r="J35" s="114">
        <f>'Month &amp; Hour Data'!G35</f>
        <v>352</v>
      </c>
      <c r="K35" s="115">
        <f t="shared" si="0"/>
        <v>277755262.84089035</v>
      </c>
      <c r="L35" s="115">
        <f t="shared" si="1"/>
        <v>3601955.438010335</v>
      </c>
      <c r="M35" s="515">
        <f t="shared" si="2"/>
        <v>0.013138471580490939</v>
      </c>
    </row>
    <row r="36" spans="1:13" ht="12.75">
      <c r="A36" s="112">
        <v>37926</v>
      </c>
      <c r="B36" s="424">
        <f>'Purchased kWh'!S35</f>
        <v>281313884.82528</v>
      </c>
      <c r="C36" s="113">
        <f>'Month &amp; Hour Data'!B36</f>
        <v>398.5</v>
      </c>
      <c r="D36" s="113">
        <f>'Month &amp; Hour Data'!C36</f>
        <v>0</v>
      </c>
      <c r="E36" s="478">
        <f>'Month &amp; Hour Data'!H36</f>
        <v>1.0256928943938781</v>
      </c>
      <c r="F36" s="114">
        <f>'Month &amp; Hour Data'!D36</f>
        <v>30</v>
      </c>
      <c r="G36" s="114">
        <f>'Month &amp; Hour Data'!E36</f>
        <v>1</v>
      </c>
      <c r="H36" s="114">
        <f>'Month &amp; Hour Data'!F36</f>
        <v>0</v>
      </c>
      <c r="I36" s="115">
        <f>Population!S13</f>
        <v>370666.6666666662</v>
      </c>
      <c r="J36" s="114">
        <f>'Month &amp; Hour Data'!G36</f>
        <v>320</v>
      </c>
      <c r="K36" s="115">
        <f t="shared" si="0"/>
        <v>274099616.385991</v>
      </c>
      <c r="L36" s="115">
        <f t="shared" si="1"/>
        <v>-7214268.439289033</v>
      </c>
      <c r="M36" s="515">
        <f t="shared" si="2"/>
        <v>-0.025644907089352208</v>
      </c>
    </row>
    <row r="37" spans="1:13" ht="12.75">
      <c r="A37" s="112">
        <v>37956</v>
      </c>
      <c r="B37" s="424">
        <f>'Purchased kWh'!S36</f>
        <v>295245544.80392</v>
      </c>
      <c r="C37" s="113">
        <f>'Month &amp; Hour Data'!B37</f>
        <v>561.5</v>
      </c>
      <c r="D37" s="113">
        <f>'Month &amp; Hour Data'!C37</f>
        <v>0</v>
      </c>
      <c r="E37" s="478">
        <f>'Month &amp; Hour Data'!H37</f>
        <v>1.004526903066956</v>
      </c>
      <c r="F37" s="114">
        <f>'Month &amp; Hour Data'!D37</f>
        <v>31</v>
      </c>
      <c r="G37" s="114">
        <f>'Month &amp; Hour Data'!E37</f>
        <v>0</v>
      </c>
      <c r="H37" s="114">
        <f>'Month &amp; Hour Data'!F37</f>
        <v>0</v>
      </c>
      <c r="I37" s="115">
        <f>Population!S14</f>
        <v>371999.99999999953</v>
      </c>
      <c r="J37" s="114">
        <f>'Month &amp; Hour Data'!G37</f>
        <v>336</v>
      </c>
      <c r="K37" s="115">
        <f t="shared" si="0"/>
        <v>297654184.95664346</v>
      </c>
      <c r="L37" s="115">
        <f t="shared" si="1"/>
        <v>2408640.152723491</v>
      </c>
      <c r="M37" s="515">
        <f t="shared" si="2"/>
        <v>0.008158091443253208</v>
      </c>
    </row>
    <row r="38" spans="1:15" ht="12.75">
      <c r="A38" s="112">
        <v>37987</v>
      </c>
      <c r="B38" s="424">
        <f>'Purchased kWh'!S37</f>
        <v>318825772.38952</v>
      </c>
      <c r="C38" s="113">
        <f>'Month &amp; Hour Data'!B38</f>
        <v>849.1</v>
      </c>
      <c r="D38" s="113">
        <f>'Month &amp; Hour Data'!C38</f>
        <v>0</v>
      </c>
      <c r="E38" s="478">
        <f>'Month &amp; Hour Data'!H38</f>
        <v>1.007342620039286</v>
      </c>
      <c r="F38" s="114">
        <f>'Month &amp; Hour Data'!D38</f>
        <v>31</v>
      </c>
      <c r="G38" s="114">
        <f>'Month &amp; Hour Data'!E38</f>
        <v>0</v>
      </c>
      <c r="H38" s="114">
        <f>'Month &amp; Hour Data'!F38</f>
        <v>0</v>
      </c>
      <c r="I38" s="115">
        <f>Population!T3</f>
        <v>373416.6666666662</v>
      </c>
      <c r="J38" s="114">
        <f>'Month &amp; Hour Data'!G38</f>
        <v>336</v>
      </c>
      <c r="K38" s="115">
        <f t="shared" si="0"/>
        <v>312837532.4176028</v>
      </c>
      <c r="L38" s="115">
        <f t="shared" si="1"/>
        <v>-5988239.971917212</v>
      </c>
      <c r="M38" s="515">
        <f t="shared" si="2"/>
        <v>-0.018782170359180315</v>
      </c>
      <c r="O38" s="118"/>
    </row>
    <row r="39" spans="1:13" ht="12.75">
      <c r="A39" s="112">
        <v>38018</v>
      </c>
      <c r="B39" s="424">
        <f>'Purchased kWh'!S38</f>
        <v>292561275.78360003</v>
      </c>
      <c r="C39" s="113">
        <f>'Month &amp; Hour Data'!B39</f>
        <v>631.7</v>
      </c>
      <c r="D39" s="113">
        <f>'Month &amp; Hour Data'!C39</f>
        <v>0</v>
      </c>
      <c r="E39" s="478">
        <f>'Month &amp; Hour Data'!H39</f>
        <v>1.0193146469580425</v>
      </c>
      <c r="F39" s="114">
        <f>'Month &amp; Hour Data'!D39</f>
        <v>29</v>
      </c>
      <c r="G39" s="114">
        <f>'Month &amp; Hour Data'!E39</f>
        <v>0</v>
      </c>
      <c r="H39" s="114">
        <f>'Month &amp; Hour Data'!F39</f>
        <v>0</v>
      </c>
      <c r="I39" s="115">
        <f>Population!T4</f>
        <v>374833.3333333329</v>
      </c>
      <c r="J39" s="114">
        <f>'Month &amp; Hour Data'!G39</f>
        <v>320</v>
      </c>
      <c r="K39" s="115">
        <f t="shared" si="0"/>
        <v>287820164.15782076</v>
      </c>
      <c r="L39" s="115">
        <f t="shared" si="1"/>
        <v>-4741111.625779271</v>
      </c>
      <c r="M39" s="515">
        <f t="shared" si="2"/>
        <v>-0.01620553374017328</v>
      </c>
    </row>
    <row r="40" spans="1:13" ht="12.75">
      <c r="A40" s="112">
        <v>38047</v>
      </c>
      <c r="B40" s="424">
        <f>'Purchased kWh'!S39</f>
        <v>304403355.98512</v>
      </c>
      <c r="C40" s="113">
        <f>'Month &amp; Hour Data'!B40</f>
        <v>487.3</v>
      </c>
      <c r="D40" s="113">
        <f>'Month &amp; Hour Data'!C40</f>
        <v>0</v>
      </c>
      <c r="E40" s="478">
        <f>'Month &amp; Hour Data'!H40</f>
        <v>1.0262033215419084</v>
      </c>
      <c r="F40" s="114">
        <f>'Month &amp; Hour Data'!D40</f>
        <v>31</v>
      </c>
      <c r="G40" s="114">
        <f>'Month &amp; Hour Data'!E40</f>
        <v>1</v>
      </c>
      <c r="H40" s="114">
        <f>'Month &amp; Hour Data'!F40</f>
        <v>0</v>
      </c>
      <c r="I40" s="115">
        <f>Population!T5</f>
        <v>376249.9999999996</v>
      </c>
      <c r="J40" s="114">
        <f>'Month &amp; Hour Data'!G40</f>
        <v>368</v>
      </c>
      <c r="K40" s="115">
        <f t="shared" si="0"/>
        <v>294746634.43736374</v>
      </c>
      <c r="L40" s="115">
        <f t="shared" si="1"/>
        <v>-9656721.547756255</v>
      </c>
      <c r="M40" s="515">
        <f t="shared" si="2"/>
        <v>-0.03172343983036869</v>
      </c>
    </row>
    <row r="41" spans="1:13" ht="12.75">
      <c r="A41" s="112">
        <v>38078</v>
      </c>
      <c r="B41" s="424">
        <f>'Purchased kWh'!S40</f>
        <v>280729503.61992</v>
      </c>
      <c r="C41" s="113">
        <f>'Month &amp; Hour Data'!B41</f>
        <v>331.5</v>
      </c>
      <c r="D41" s="113">
        <f>'Month &amp; Hour Data'!C41</f>
        <v>0</v>
      </c>
      <c r="E41" s="478">
        <f>'Month &amp; Hour Data'!H41</f>
        <v>1.03705199035209</v>
      </c>
      <c r="F41" s="114">
        <f>'Month &amp; Hour Data'!D41</f>
        <v>30</v>
      </c>
      <c r="G41" s="114">
        <f>'Month &amp; Hour Data'!E41</f>
        <v>1</v>
      </c>
      <c r="H41" s="114">
        <f>'Month &amp; Hour Data'!F41</f>
        <v>0</v>
      </c>
      <c r="I41" s="115">
        <f>Population!T6</f>
        <v>377666.6666666663</v>
      </c>
      <c r="J41" s="114">
        <f>'Month &amp; Hour Data'!G41</f>
        <v>336</v>
      </c>
      <c r="K41" s="115">
        <f t="shared" si="0"/>
        <v>277619241.5552488</v>
      </c>
      <c r="L41" s="115">
        <f t="shared" si="1"/>
        <v>-3110262.0646712184</v>
      </c>
      <c r="M41" s="515">
        <f t="shared" si="2"/>
        <v>-0.011079213351519353</v>
      </c>
    </row>
    <row r="42" spans="1:13" ht="12.75">
      <c r="A42" s="112">
        <v>38108</v>
      </c>
      <c r="B42" s="424">
        <f>'Purchased kWh'!S41</f>
        <v>284754157.46888</v>
      </c>
      <c r="C42" s="113">
        <f>'Month &amp; Hour Data'!B42</f>
        <v>158.9</v>
      </c>
      <c r="D42" s="113">
        <f>'Month &amp; Hour Data'!C42</f>
        <v>8.6</v>
      </c>
      <c r="E42" s="478">
        <f>'Month &amp; Hour Data'!H42</f>
        <v>1.0337760521807162</v>
      </c>
      <c r="F42" s="114">
        <f>'Month &amp; Hour Data'!D42</f>
        <v>31</v>
      </c>
      <c r="G42" s="114">
        <f>'Month &amp; Hour Data'!E42</f>
        <v>1</v>
      </c>
      <c r="H42" s="114">
        <f>'Month &amp; Hour Data'!F42</f>
        <v>0</v>
      </c>
      <c r="I42" s="115">
        <f>Population!T7</f>
        <v>379083.33333333296</v>
      </c>
      <c r="J42" s="114">
        <f>'Month &amp; Hour Data'!G42</f>
        <v>320</v>
      </c>
      <c r="K42" s="115">
        <f t="shared" si="0"/>
        <v>276836516.3125646</v>
      </c>
      <c r="L42" s="115">
        <f t="shared" si="1"/>
        <v>-7917641.156315386</v>
      </c>
      <c r="M42" s="515">
        <f t="shared" si="2"/>
        <v>-0.027805181939022906</v>
      </c>
    </row>
    <row r="43" spans="1:13" ht="12.75">
      <c r="A43" s="112">
        <v>38139</v>
      </c>
      <c r="B43" s="424">
        <f>'Purchased kWh'!S42</f>
        <v>296130054.74768</v>
      </c>
      <c r="C43" s="113">
        <f>'Month &amp; Hour Data'!B43</f>
        <v>44.2</v>
      </c>
      <c r="D43" s="113">
        <f>'Month &amp; Hour Data'!C43</f>
        <v>31.6</v>
      </c>
      <c r="E43" s="478">
        <f>'Month &amp; Hour Data'!H43</f>
        <v>1.0277325110714577</v>
      </c>
      <c r="F43" s="114">
        <f>'Month &amp; Hour Data'!D43</f>
        <v>30</v>
      </c>
      <c r="G43" s="114">
        <f>'Month &amp; Hour Data'!E43</f>
        <v>0</v>
      </c>
      <c r="H43" s="114">
        <f>'Month &amp; Hour Data'!F43</f>
        <v>0</v>
      </c>
      <c r="I43" s="115">
        <f>Population!T8</f>
        <v>380499.99999999965</v>
      </c>
      <c r="J43" s="114">
        <f>'Month &amp; Hour Data'!G43</f>
        <v>352</v>
      </c>
      <c r="K43" s="115">
        <f t="shared" si="0"/>
        <v>288447598.3153901</v>
      </c>
      <c r="L43" s="115">
        <f t="shared" si="1"/>
        <v>-7682456.432289898</v>
      </c>
      <c r="M43" s="515">
        <f t="shared" si="2"/>
        <v>-0.025942846087796786</v>
      </c>
    </row>
    <row r="44" spans="1:13" ht="12.75">
      <c r="A44" s="112">
        <v>38169</v>
      </c>
      <c r="B44" s="424">
        <f>'Purchased kWh'!S43</f>
        <v>316526151.50408</v>
      </c>
      <c r="C44" s="113">
        <f>'Month &amp; Hour Data'!B44</f>
        <v>3.6</v>
      </c>
      <c r="D44" s="113">
        <f>'Month &amp; Hour Data'!C44</f>
        <v>85.4</v>
      </c>
      <c r="E44" s="478">
        <f>'Month &amp; Hour Data'!H44</f>
        <v>1.032014660137104</v>
      </c>
      <c r="F44" s="114">
        <f>'Month &amp; Hour Data'!D44</f>
        <v>31</v>
      </c>
      <c r="G44" s="114">
        <f>'Month &amp; Hour Data'!E44</f>
        <v>0</v>
      </c>
      <c r="H44" s="114">
        <f>'Month &amp; Hour Data'!F44</f>
        <v>0</v>
      </c>
      <c r="I44" s="115">
        <f>Population!T9</f>
        <v>381916.66666666634</v>
      </c>
      <c r="J44" s="114">
        <f>'Month &amp; Hour Data'!G44</f>
        <v>336</v>
      </c>
      <c r="K44" s="115">
        <f t="shared" si="0"/>
        <v>315687828.24444973</v>
      </c>
      <c r="L44" s="115">
        <f t="shared" si="1"/>
        <v>-838323.2596302629</v>
      </c>
      <c r="M44" s="515">
        <f t="shared" si="2"/>
        <v>-0.002648511839058761</v>
      </c>
    </row>
    <row r="45" spans="1:13" ht="12.75">
      <c r="A45" s="112">
        <v>38200</v>
      </c>
      <c r="B45" s="424">
        <f>'Purchased kWh'!S44</f>
        <v>311532144.03864</v>
      </c>
      <c r="C45" s="113">
        <f>'Month &amp; Hour Data'!B45</f>
        <v>12.8</v>
      </c>
      <c r="D45" s="113">
        <f>'Month &amp; Hour Data'!C45</f>
        <v>59.6</v>
      </c>
      <c r="E45" s="478">
        <f>'Month &amp; Hour Data'!H45</f>
        <v>1.0452648468404768</v>
      </c>
      <c r="F45" s="114">
        <f>'Month &amp; Hour Data'!D45</f>
        <v>31</v>
      </c>
      <c r="G45" s="114">
        <f>'Month &amp; Hour Data'!E45</f>
        <v>0</v>
      </c>
      <c r="H45" s="114">
        <f>'Month &amp; Hour Data'!F45</f>
        <v>0</v>
      </c>
      <c r="I45" s="115">
        <f>Population!T10</f>
        <v>383333.333333333</v>
      </c>
      <c r="J45" s="114">
        <f>'Month &amp; Hour Data'!G45</f>
        <v>336</v>
      </c>
      <c r="K45" s="115">
        <f t="shared" si="0"/>
        <v>310060348.2789721</v>
      </c>
      <c r="L45" s="115">
        <f t="shared" si="1"/>
        <v>-1471795.759667933</v>
      </c>
      <c r="M45" s="515">
        <f t="shared" si="2"/>
        <v>-0.004724378488164556</v>
      </c>
    </row>
    <row r="46" spans="1:13" ht="12.75">
      <c r="A46" s="112">
        <v>38231</v>
      </c>
      <c r="B46" s="424">
        <f>'Purchased kWh'!S45</f>
        <v>300510638.83408</v>
      </c>
      <c r="C46" s="113">
        <f>'Month &amp; Hour Data'!B46</f>
        <v>30</v>
      </c>
      <c r="D46" s="113">
        <f>'Month &amp; Hour Data'!C46</f>
        <v>41.2</v>
      </c>
      <c r="E46" s="478">
        <f>'Month &amp; Hour Data'!H46</f>
        <v>1.067539552874186</v>
      </c>
      <c r="F46" s="114">
        <f>'Month &amp; Hour Data'!D46</f>
        <v>30</v>
      </c>
      <c r="G46" s="114">
        <f>'Month &amp; Hour Data'!E46</f>
        <v>1</v>
      </c>
      <c r="H46" s="114">
        <f>'Month &amp; Hour Data'!F46</f>
        <v>0</v>
      </c>
      <c r="I46" s="115">
        <f>Population!T11</f>
        <v>384749.9999999997</v>
      </c>
      <c r="J46" s="114">
        <f>'Month &amp; Hour Data'!G46</f>
        <v>336</v>
      </c>
      <c r="K46" s="115">
        <f t="shared" si="0"/>
        <v>290829551.97823876</v>
      </c>
      <c r="L46" s="115">
        <f t="shared" si="1"/>
        <v>-9681086.85584122</v>
      </c>
      <c r="M46" s="515">
        <f t="shared" si="2"/>
        <v>-0.03221545464547233</v>
      </c>
    </row>
    <row r="47" spans="1:13" ht="12.75">
      <c r="A47" s="112">
        <v>38261</v>
      </c>
      <c r="B47" s="424">
        <f>'Purchased kWh'!S46</f>
        <v>288181524.40336</v>
      </c>
      <c r="C47" s="113">
        <f>'Month &amp; Hour Data'!B47</f>
        <v>226.3</v>
      </c>
      <c r="D47" s="113">
        <f>'Month &amp; Hour Data'!C47</f>
        <v>1.5</v>
      </c>
      <c r="E47" s="478">
        <f>'Month &amp; Hour Data'!H47</f>
        <v>1.0536492403212343</v>
      </c>
      <c r="F47" s="114">
        <f>'Month &amp; Hour Data'!D47</f>
        <v>31</v>
      </c>
      <c r="G47" s="114">
        <f>'Month &amp; Hour Data'!E47</f>
        <v>1</v>
      </c>
      <c r="H47" s="114">
        <f>'Month &amp; Hour Data'!F47</f>
        <v>0</v>
      </c>
      <c r="I47" s="115">
        <f>Population!T12</f>
        <v>386166.6666666664</v>
      </c>
      <c r="J47" s="114">
        <f>'Month &amp; Hour Data'!G47</f>
        <v>320</v>
      </c>
      <c r="K47" s="115">
        <f t="shared" si="0"/>
        <v>284324948.3931435</v>
      </c>
      <c r="L47" s="115">
        <f t="shared" si="1"/>
        <v>-3856576.010216534</v>
      </c>
      <c r="M47" s="515">
        <f t="shared" si="2"/>
        <v>-0.013382454056348829</v>
      </c>
    </row>
    <row r="48" spans="1:13" ht="12.75">
      <c r="A48" s="112">
        <v>38292</v>
      </c>
      <c r="B48" s="424">
        <f>'Purchased kWh'!S47</f>
        <v>296760230.17968</v>
      </c>
      <c r="C48" s="113">
        <f>'Month &amp; Hour Data'!B48</f>
        <v>380.3</v>
      </c>
      <c r="D48" s="113">
        <f>'Month &amp; Hour Data'!C48</f>
        <v>0</v>
      </c>
      <c r="E48" s="478">
        <f>'Month &amp; Hour Data'!H48</f>
        <v>1.0641883057793322</v>
      </c>
      <c r="F48" s="114">
        <f>'Month &amp; Hour Data'!D48</f>
        <v>30</v>
      </c>
      <c r="G48" s="114">
        <f>'Month &amp; Hour Data'!E48</f>
        <v>1</v>
      </c>
      <c r="H48" s="114">
        <f>'Month &amp; Hour Data'!F48</f>
        <v>0</v>
      </c>
      <c r="I48" s="115">
        <f>Population!T13</f>
        <v>387583.3333333331</v>
      </c>
      <c r="J48" s="114">
        <f>'Month &amp; Hour Data'!G48</f>
        <v>352</v>
      </c>
      <c r="K48" s="115">
        <f t="shared" si="0"/>
        <v>292448651.25931156</v>
      </c>
      <c r="L48" s="115">
        <f t="shared" si="1"/>
        <v>-4311578.920368433</v>
      </c>
      <c r="M48" s="515">
        <f t="shared" si="2"/>
        <v>-0.01452882995055602</v>
      </c>
    </row>
    <row r="49" spans="1:13" ht="12.75">
      <c r="A49" s="112">
        <v>38322</v>
      </c>
      <c r="B49" s="424">
        <f>'Purchased kWh'!S48</f>
        <v>315819545.978</v>
      </c>
      <c r="C49" s="113">
        <f>'Month &amp; Hour Data'!B49</f>
        <v>643.4</v>
      </c>
      <c r="D49" s="113">
        <f>'Month &amp; Hour Data'!C49</f>
        <v>0</v>
      </c>
      <c r="E49" s="478">
        <f>'Month &amp; Hour Data'!H49</f>
        <v>1.0422273869267893</v>
      </c>
      <c r="F49" s="114">
        <f>'Month &amp; Hour Data'!D49</f>
        <v>31</v>
      </c>
      <c r="G49" s="114">
        <f>'Month &amp; Hour Data'!E49</f>
        <v>0</v>
      </c>
      <c r="H49" s="114">
        <f>'Month &amp; Hour Data'!F49</f>
        <v>0</v>
      </c>
      <c r="I49" s="115">
        <f>Population!T14</f>
        <v>388999.99999999977</v>
      </c>
      <c r="J49" s="114">
        <f>'Month &amp; Hour Data'!G49</f>
        <v>336</v>
      </c>
      <c r="K49" s="115">
        <f t="shared" si="0"/>
        <v>315291250.1180378</v>
      </c>
      <c r="L49" s="115">
        <f t="shared" si="1"/>
        <v>-528295.8599621654</v>
      </c>
      <c r="M49" s="515">
        <f t="shared" si="2"/>
        <v>-0.0016727775930593177</v>
      </c>
    </row>
    <row r="50" spans="1:15" ht="12.75">
      <c r="A50" s="112">
        <v>38353</v>
      </c>
      <c r="B50" s="424">
        <f>'Purchased kWh'!S49</f>
        <v>329967590.92256</v>
      </c>
      <c r="C50" s="113">
        <f>'Month &amp; Hour Data'!B50</f>
        <v>770</v>
      </c>
      <c r="D50" s="113">
        <f>'Month &amp; Hour Data'!C50</f>
        <v>0</v>
      </c>
      <c r="E50" s="478">
        <f>'Month &amp; Hour Data'!H50</f>
        <v>1.0472814524581042</v>
      </c>
      <c r="F50" s="114">
        <f>'Month &amp; Hour Data'!D50</f>
        <v>31</v>
      </c>
      <c r="G50" s="114">
        <f>'Month &amp; Hour Data'!E50</f>
        <v>0</v>
      </c>
      <c r="H50" s="114">
        <f>'Month &amp; Hour Data'!F50</f>
        <v>0</v>
      </c>
      <c r="I50" s="115">
        <f>Population!U3</f>
        <v>390999.99999999977</v>
      </c>
      <c r="J50" s="114">
        <f>'Month &amp; Hour Data'!G50</f>
        <v>320</v>
      </c>
      <c r="K50" s="115">
        <f t="shared" si="0"/>
        <v>320662163.6945254</v>
      </c>
      <c r="L50" s="115">
        <f t="shared" si="1"/>
        <v>-9305427.228034556</v>
      </c>
      <c r="M50" s="515">
        <f t="shared" si="2"/>
        <v>-0.028201033931900436</v>
      </c>
      <c r="O50" s="118"/>
    </row>
    <row r="51" spans="1:13" ht="12.75">
      <c r="A51" s="112">
        <v>38384</v>
      </c>
      <c r="B51" s="424">
        <f>'Purchased kWh'!S50</f>
        <v>293588957.80200005</v>
      </c>
      <c r="C51" s="113">
        <f>'Month &amp; Hour Data'!B51</f>
        <v>616.4</v>
      </c>
      <c r="D51" s="113">
        <f>'Month &amp; Hour Data'!C51</f>
        <v>0</v>
      </c>
      <c r="E51" s="478">
        <f>'Month &amp; Hour Data'!H51</f>
        <v>1.0597283439776919</v>
      </c>
      <c r="F51" s="114">
        <f>'Month &amp; Hour Data'!D51</f>
        <v>28</v>
      </c>
      <c r="G51" s="114">
        <f>'Month &amp; Hour Data'!E51</f>
        <v>0</v>
      </c>
      <c r="H51" s="114">
        <f>'Month &amp; Hour Data'!F51</f>
        <v>0</v>
      </c>
      <c r="I51" s="115">
        <f>Population!U4</f>
        <v>392999.99999999977</v>
      </c>
      <c r="J51" s="114">
        <f>'Month &amp; Hour Data'!G51</f>
        <v>320</v>
      </c>
      <c r="K51" s="115">
        <f t="shared" si="0"/>
        <v>293714787.0827657</v>
      </c>
      <c r="L51" s="115">
        <f t="shared" si="1"/>
        <v>125829.28076565266</v>
      </c>
      <c r="M51" s="515">
        <f t="shared" si="2"/>
        <v>0.0004285899636951382</v>
      </c>
    </row>
    <row r="52" spans="1:13" ht="12.75">
      <c r="A52" s="112">
        <v>38412</v>
      </c>
      <c r="B52" s="424">
        <f>'Purchased kWh'!S51</f>
        <v>313508513.50768</v>
      </c>
      <c r="C52" s="113">
        <f>'Month &amp; Hour Data'!B52</f>
        <v>608.6</v>
      </c>
      <c r="D52" s="113">
        <f>'Month &amp; Hour Data'!C52</f>
        <v>0</v>
      </c>
      <c r="E52" s="478">
        <f>'Month &amp; Hour Data'!H52</f>
        <v>1.0668910593664427</v>
      </c>
      <c r="F52" s="114">
        <f>'Month &amp; Hour Data'!D52</f>
        <v>31</v>
      </c>
      <c r="G52" s="114">
        <f>'Month &amp; Hour Data'!E52</f>
        <v>1</v>
      </c>
      <c r="H52" s="114">
        <f>'Month &amp; Hour Data'!F52</f>
        <v>0</v>
      </c>
      <c r="I52" s="115">
        <f>Population!U5</f>
        <v>394999.99999999977</v>
      </c>
      <c r="J52" s="114">
        <f>'Month &amp; Hour Data'!G52</f>
        <v>352</v>
      </c>
      <c r="K52" s="115">
        <f t="shared" si="0"/>
        <v>312728252.9149636</v>
      </c>
      <c r="L52" s="115">
        <f t="shared" si="1"/>
        <v>-780260.5927163959</v>
      </c>
      <c r="M52" s="515">
        <f t="shared" si="2"/>
        <v>-0.0024888019275345194</v>
      </c>
    </row>
    <row r="53" spans="1:13" ht="12.75">
      <c r="A53" s="112">
        <v>38443</v>
      </c>
      <c r="B53" s="424">
        <f>'Purchased kWh'!S52</f>
        <v>285449755.92168</v>
      </c>
      <c r="C53" s="113">
        <f>'Month &amp; Hour Data'!B53</f>
        <v>306.8</v>
      </c>
      <c r="D53" s="113">
        <f>'Month &amp; Hour Data'!C53</f>
        <v>0</v>
      </c>
      <c r="E53" s="478">
        <f>'Month &amp; Hour Data'!H53</f>
        <v>1.0672362252657255</v>
      </c>
      <c r="F53" s="114">
        <f>'Month &amp; Hour Data'!D53</f>
        <v>30</v>
      </c>
      <c r="G53" s="114">
        <f>'Month &amp; Hour Data'!E53</f>
        <v>1</v>
      </c>
      <c r="H53" s="114">
        <f>'Month &amp; Hour Data'!F53</f>
        <v>0</v>
      </c>
      <c r="I53" s="115">
        <f>Population!U6</f>
        <v>396999.99999999977</v>
      </c>
      <c r="J53" s="114">
        <f>'Month &amp; Hour Data'!G53</f>
        <v>336</v>
      </c>
      <c r="K53" s="115">
        <f t="shared" si="0"/>
        <v>287411776.31706715</v>
      </c>
      <c r="L53" s="115">
        <f t="shared" si="1"/>
        <v>1962020.3953871727</v>
      </c>
      <c r="M53" s="515">
        <f t="shared" si="2"/>
        <v>0.0068734351831973555</v>
      </c>
    </row>
    <row r="54" spans="1:13" ht="12.75">
      <c r="A54" s="112">
        <v>38473</v>
      </c>
      <c r="B54" s="424">
        <f>'Purchased kWh'!S53</f>
        <v>287810112.58808</v>
      </c>
      <c r="C54" s="113">
        <f>'Month &amp; Hour Data'!B54</f>
        <v>189.4</v>
      </c>
      <c r="D54" s="113">
        <f>'Month &amp; Hour Data'!C54</f>
        <v>0.8</v>
      </c>
      <c r="E54" s="478">
        <f>'Month &amp; Hour Data'!H54</f>
        <v>1.0638661509400018</v>
      </c>
      <c r="F54" s="114">
        <f>'Month &amp; Hour Data'!D54</f>
        <v>31</v>
      </c>
      <c r="G54" s="114">
        <f>'Month &amp; Hour Data'!E54</f>
        <v>1</v>
      </c>
      <c r="H54" s="114">
        <f>'Month &amp; Hour Data'!F54</f>
        <v>0</v>
      </c>
      <c r="I54" s="115">
        <f>Population!U7</f>
        <v>398999.99999999977</v>
      </c>
      <c r="J54" s="114">
        <f>'Month &amp; Hour Data'!G54</f>
        <v>336</v>
      </c>
      <c r="K54" s="115">
        <f t="shared" si="0"/>
        <v>288753196.85376114</v>
      </c>
      <c r="L54" s="115">
        <f t="shared" si="1"/>
        <v>943084.2656811476</v>
      </c>
      <c r="M54" s="515">
        <f t="shared" si="2"/>
        <v>0.003276758614214887</v>
      </c>
    </row>
    <row r="55" spans="1:13" ht="12.75">
      <c r="A55" s="112">
        <v>38504</v>
      </c>
      <c r="B55" s="424">
        <f>'Purchased kWh'!S54</f>
        <v>354566496.19744</v>
      </c>
      <c r="C55" s="113">
        <f>'Month &amp; Hour Data'!B55</f>
        <v>8.9</v>
      </c>
      <c r="D55" s="113">
        <f>'Month &amp; Hour Data'!C55</f>
        <v>146.3</v>
      </c>
      <c r="E55" s="478">
        <f>'Month &amp; Hour Data'!H55</f>
        <v>1.0576468890092903</v>
      </c>
      <c r="F55" s="114">
        <f>'Month &amp; Hour Data'!D55</f>
        <v>30</v>
      </c>
      <c r="G55" s="114">
        <f>'Month &amp; Hour Data'!E55</f>
        <v>0</v>
      </c>
      <c r="H55" s="114">
        <f>'Month &amp; Hour Data'!F55</f>
        <v>0</v>
      </c>
      <c r="I55" s="115">
        <f>Population!U8</f>
        <v>400999.99999999977</v>
      </c>
      <c r="J55" s="114">
        <f>'Month &amp; Hour Data'!G55</f>
        <v>352</v>
      </c>
      <c r="K55" s="115">
        <f t="shared" si="0"/>
        <v>345518717.2133754</v>
      </c>
      <c r="L55" s="115">
        <f t="shared" si="1"/>
        <v>-9047778.984064639</v>
      </c>
      <c r="M55" s="515">
        <f t="shared" si="2"/>
        <v>-0.02551786218127725</v>
      </c>
    </row>
    <row r="56" spans="1:13" ht="12.75">
      <c r="A56" s="112">
        <v>38534</v>
      </c>
      <c r="B56" s="424">
        <f>'Purchased kWh'!S55</f>
        <v>365920796.29248</v>
      </c>
      <c r="C56" s="113">
        <f>'Month &amp; Hour Data'!B56</f>
        <v>0</v>
      </c>
      <c r="D56" s="113">
        <f>'Month &amp; Hour Data'!C56</f>
        <v>188.7</v>
      </c>
      <c r="E56" s="478">
        <f>'Month &amp; Hour Data'!H56</f>
        <v>1.0541743108710524</v>
      </c>
      <c r="F56" s="114">
        <f>'Month &amp; Hour Data'!D56</f>
        <v>31</v>
      </c>
      <c r="G56" s="114">
        <f>'Month &amp; Hour Data'!E56</f>
        <v>0</v>
      </c>
      <c r="H56" s="114">
        <f>'Month &amp; Hour Data'!F56</f>
        <v>0</v>
      </c>
      <c r="I56" s="115">
        <f>Population!U9</f>
        <v>402999.99999999977</v>
      </c>
      <c r="J56" s="114">
        <f>'Month &amp; Hour Data'!G56</f>
        <v>320</v>
      </c>
      <c r="K56" s="115">
        <f t="shared" si="0"/>
        <v>364165883.57132804</v>
      </c>
      <c r="L56" s="115">
        <f t="shared" si="1"/>
        <v>-1754912.721151948</v>
      </c>
      <c r="M56" s="515">
        <f t="shared" si="2"/>
        <v>-0.004795881346271581</v>
      </c>
    </row>
    <row r="57" spans="1:13" ht="12.75">
      <c r="A57" s="112">
        <v>38565</v>
      </c>
      <c r="B57" s="424">
        <f>'Purchased kWh'!S56</f>
        <v>358835198.94232</v>
      </c>
      <c r="C57" s="113">
        <f>'Month &amp; Hour Data'!B57</f>
        <v>0.2</v>
      </c>
      <c r="D57" s="113">
        <f>'Month &amp; Hour Data'!C57</f>
        <v>140.7</v>
      </c>
      <c r="E57" s="478">
        <f>'Month &amp; Hour Data'!H57</f>
        <v>1.0677069060374746</v>
      </c>
      <c r="F57" s="114">
        <f>'Month &amp; Hour Data'!D57</f>
        <v>31</v>
      </c>
      <c r="G57" s="114">
        <f>'Month &amp; Hour Data'!E57</f>
        <v>0</v>
      </c>
      <c r="H57" s="114">
        <f>'Month &amp; Hour Data'!F57</f>
        <v>0</v>
      </c>
      <c r="I57" s="115">
        <f>Population!U10</f>
        <v>404999.99999999977</v>
      </c>
      <c r="J57" s="114">
        <f>'Month &amp; Hour Data'!G57</f>
        <v>352</v>
      </c>
      <c r="K57" s="115">
        <f t="shared" si="0"/>
        <v>354305121.24980253</v>
      </c>
      <c r="L57" s="115">
        <f t="shared" si="1"/>
        <v>-4530077.692517459</v>
      </c>
      <c r="M57" s="515">
        <f t="shared" si="2"/>
        <v>-0.012624396117967332</v>
      </c>
    </row>
    <row r="58" spans="1:13" ht="12.75">
      <c r="A58" s="112">
        <v>38596</v>
      </c>
      <c r="B58" s="424">
        <f>'Purchased kWh'!S57</f>
        <v>314383693.67223996</v>
      </c>
      <c r="C58" s="113">
        <f>'Month &amp; Hour Data'!B58</f>
        <v>22.6</v>
      </c>
      <c r="D58" s="113">
        <f>'Month &amp; Hour Data'!C58</f>
        <v>50.6</v>
      </c>
      <c r="E58" s="478">
        <f>'Month &amp; Hour Data'!H58</f>
        <v>1.0904606605010971</v>
      </c>
      <c r="F58" s="114">
        <f>'Month &amp; Hour Data'!D58</f>
        <v>30</v>
      </c>
      <c r="G58" s="114">
        <f>'Month &amp; Hour Data'!E58</f>
        <v>1</v>
      </c>
      <c r="H58" s="114">
        <f>'Month &amp; Hour Data'!F58</f>
        <v>0</v>
      </c>
      <c r="I58" s="115">
        <f>Population!U11</f>
        <v>406999.99999999977</v>
      </c>
      <c r="J58" s="114">
        <f>'Month &amp; Hour Data'!G58</f>
        <v>336</v>
      </c>
      <c r="K58" s="115">
        <f t="shared" si="0"/>
        <v>302903833.4469825</v>
      </c>
      <c r="L58" s="115">
        <f t="shared" si="1"/>
        <v>-11479860.225257456</v>
      </c>
      <c r="M58" s="515">
        <f t="shared" si="2"/>
        <v>-0.03651544420502216</v>
      </c>
    </row>
    <row r="59" spans="1:13" ht="12.75">
      <c r="A59" s="112">
        <v>38626</v>
      </c>
      <c r="B59" s="424">
        <f>'Purchased kWh'!S58</f>
        <v>304341531.728</v>
      </c>
      <c r="C59" s="113">
        <f>'Month &amp; Hour Data'!B59</f>
        <v>220.2</v>
      </c>
      <c r="D59" s="113">
        <f>'Month &amp; Hour Data'!C59</f>
        <v>8</v>
      </c>
      <c r="E59" s="478">
        <f>'Month &amp; Hour Data'!H59</f>
        <v>1.0813817513926922</v>
      </c>
      <c r="F59" s="114">
        <f>'Month &amp; Hour Data'!D59</f>
        <v>31</v>
      </c>
      <c r="G59" s="114">
        <f>'Month &amp; Hour Data'!E59</f>
        <v>1</v>
      </c>
      <c r="H59" s="114">
        <f>'Month &amp; Hour Data'!F59</f>
        <v>0</v>
      </c>
      <c r="I59" s="115">
        <f>Population!U12</f>
        <v>408999.99999999977</v>
      </c>
      <c r="J59" s="114">
        <f>'Month &amp; Hour Data'!G59</f>
        <v>320</v>
      </c>
      <c r="K59" s="115">
        <f t="shared" si="0"/>
        <v>296956399.75540197</v>
      </c>
      <c r="L59" s="115">
        <f t="shared" si="1"/>
        <v>-7385131.972598016</v>
      </c>
      <c r="M59" s="515">
        <f t="shared" si="2"/>
        <v>-0.0242659354793494</v>
      </c>
    </row>
    <row r="60" spans="1:13" ht="12.75">
      <c r="A60" s="112">
        <v>38657</v>
      </c>
      <c r="B60" s="424">
        <f>'Purchased kWh'!S59</f>
        <v>311009155.23224</v>
      </c>
      <c r="C60" s="113">
        <f>'Month &amp; Hour Data'!B60</f>
        <v>388.4</v>
      </c>
      <c r="D60" s="113">
        <f>'Month &amp; Hour Data'!C60</f>
        <v>0</v>
      </c>
      <c r="E60" s="478">
        <f>'Month &amp; Hour Data'!H60</f>
        <v>1.0921990414847573</v>
      </c>
      <c r="F60" s="114">
        <f>'Month &amp; Hour Data'!D60</f>
        <v>30</v>
      </c>
      <c r="G60" s="114">
        <f>'Month &amp; Hour Data'!E60</f>
        <v>1</v>
      </c>
      <c r="H60" s="114">
        <f>'Month &amp; Hour Data'!F60</f>
        <v>0</v>
      </c>
      <c r="I60" s="115">
        <f>Population!U13</f>
        <v>410999.99999999977</v>
      </c>
      <c r="J60" s="114">
        <f>'Month &amp; Hour Data'!G60</f>
        <v>352</v>
      </c>
      <c r="K60" s="115">
        <f t="shared" si="0"/>
        <v>303176398.1929313</v>
      </c>
      <c r="L60" s="115">
        <f t="shared" si="1"/>
        <v>-7832757.039308727</v>
      </c>
      <c r="M60" s="515">
        <f t="shared" si="2"/>
        <v>-0.0251849725563859</v>
      </c>
    </row>
    <row r="61" spans="1:13" ht="12.75">
      <c r="A61" s="112">
        <v>38687</v>
      </c>
      <c r="B61" s="424">
        <f>'Purchased kWh'!S60</f>
        <v>329446542.45952004</v>
      </c>
      <c r="C61" s="113">
        <f>'Month &amp; Hour Data'!B61</f>
        <v>665.3</v>
      </c>
      <c r="D61" s="113">
        <f>'Month &amp; Hour Data'!C61</f>
        <v>0</v>
      </c>
      <c r="E61" s="478">
        <f>'Month &amp; Hour Data'!H61</f>
        <v>1.0696607542188687</v>
      </c>
      <c r="F61" s="114">
        <f>'Month &amp; Hour Data'!D61</f>
        <v>31</v>
      </c>
      <c r="G61" s="114">
        <f>'Month &amp; Hour Data'!E61</f>
        <v>0</v>
      </c>
      <c r="H61" s="114">
        <f>'Month &amp; Hour Data'!F61</f>
        <v>0</v>
      </c>
      <c r="I61" s="115">
        <f>Population!U14</f>
        <v>412999.99999999977</v>
      </c>
      <c r="J61" s="114">
        <f>'Month &amp; Hour Data'!G61</f>
        <v>320</v>
      </c>
      <c r="K61" s="115">
        <f t="shared" si="0"/>
        <v>323825581.69933254</v>
      </c>
      <c r="L61" s="115">
        <f t="shared" si="1"/>
        <v>-5620960.760187507</v>
      </c>
      <c r="M61" s="515">
        <f t="shared" si="2"/>
        <v>-0.017061829570963454</v>
      </c>
    </row>
    <row r="62" spans="1:15" ht="12.75">
      <c r="A62" s="112">
        <v>38718</v>
      </c>
      <c r="B62" s="424">
        <f>'Purchased kWh'!S61</f>
        <v>329248076.85679996</v>
      </c>
      <c r="C62" s="113">
        <f>'Month &amp; Hour Data'!B62</f>
        <v>551.8</v>
      </c>
      <c r="D62" s="113">
        <f>'Month &amp; Hour Data'!C62</f>
        <v>0</v>
      </c>
      <c r="E62" s="478">
        <f>'Month &amp; Hour Data'!H62</f>
        <v>1.079722863161594</v>
      </c>
      <c r="F62" s="114">
        <f>'Month &amp; Hour Data'!D62</f>
        <v>31</v>
      </c>
      <c r="G62" s="114">
        <f>'Month &amp; Hour Data'!E62</f>
        <v>0</v>
      </c>
      <c r="H62" s="114">
        <f>'Month &amp; Hour Data'!F62</f>
        <v>0</v>
      </c>
      <c r="I62" s="115">
        <f>Population!V3</f>
        <v>414666.66666666645</v>
      </c>
      <c r="J62" s="114">
        <f>'Month &amp; Hour Data'!G62</f>
        <v>336</v>
      </c>
      <c r="K62" s="115">
        <f t="shared" si="0"/>
        <v>324489484.1348735</v>
      </c>
      <c r="L62" s="115">
        <f t="shared" si="1"/>
        <v>-4758592.721926451</v>
      </c>
      <c r="M62" s="515">
        <f t="shared" si="2"/>
        <v>-0.014452909694582993</v>
      </c>
      <c r="O62" s="118"/>
    </row>
    <row r="63" spans="1:13" ht="12.75">
      <c r="A63" s="112">
        <v>38749</v>
      </c>
      <c r="B63" s="424">
        <f>'Purchased kWh'!S62</f>
        <v>304825404.56072</v>
      </c>
      <c r="C63" s="113">
        <f>'Month &amp; Hour Data'!B63</f>
        <v>604.2</v>
      </c>
      <c r="D63" s="113">
        <f>'Month &amp; Hour Data'!C63</f>
        <v>0</v>
      </c>
      <c r="E63" s="478">
        <f>'Month &amp; Hour Data'!H63</f>
        <v>1.0925546669567454</v>
      </c>
      <c r="F63" s="114">
        <f>'Month &amp; Hour Data'!D63</f>
        <v>28</v>
      </c>
      <c r="G63" s="114">
        <f>'Month &amp; Hour Data'!E63</f>
        <v>0</v>
      </c>
      <c r="H63" s="114">
        <f>'Month &amp; Hour Data'!F63</f>
        <v>0</v>
      </c>
      <c r="I63" s="115">
        <f>Population!V4</f>
        <v>416333.33333333314</v>
      </c>
      <c r="J63" s="114">
        <f>'Month &amp; Hour Data'!G63</f>
        <v>320</v>
      </c>
      <c r="K63" s="115">
        <f t="shared" si="0"/>
        <v>305134022.3527883</v>
      </c>
      <c r="L63" s="115">
        <f t="shared" si="1"/>
        <v>308617.79206830263</v>
      </c>
      <c r="M63" s="515">
        <f t="shared" si="2"/>
        <v>0.001012441179281129</v>
      </c>
    </row>
    <row r="64" spans="1:13" ht="12.75">
      <c r="A64" s="112">
        <v>38777</v>
      </c>
      <c r="B64" s="424">
        <f>'Purchased kWh'!S63</f>
        <v>325241931.66936</v>
      </c>
      <c r="C64" s="113">
        <f>'Month &amp; Hour Data'!B64</f>
        <v>516.6</v>
      </c>
      <c r="D64" s="113">
        <f>'Month &amp; Hour Data'!C64</f>
        <v>0</v>
      </c>
      <c r="E64" s="478">
        <f>'Month &amp; Hour Data'!H64</f>
        <v>1.0999391252868538</v>
      </c>
      <c r="F64" s="114">
        <f>'Month &amp; Hour Data'!D64</f>
        <v>31</v>
      </c>
      <c r="G64" s="114">
        <f>'Month &amp; Hour Data'!E64</f>
        <v>1</v>
      </c>
      <c r="H64" s="114">
        <f>'Month &amp; Hour Data'!F64</f>
        <v>0</v>
      </c>
      <c r="I64" s="115">
        <f>Population!V5</f>
        <v>417999.9999999998</v>
      </c>
      <c r="J64" s="114">
        <f>'Month &amp; Hour Data'!G64</f>
        <v>368</v>
      </c>
      <c r="K64" s="115">
        <f t="shared" si="0"/>
        <v>322970510.7541915</v>
      </c>
      <c r="L64" s="115">
        <f t="shared" si="1"/>
        <v>-2271420.915168464</v>
      </c>
      <c r="M64" s="515">
        <f t="shared" si="2"/>
        <v>-0.006983788663134568</v>
      </c>
    </row>
    <row r="65" spans="1:13" ht="12.75">
      <c r="A65" s="112">
        <v>38808</v>
      </c>
      <c r="B65" s="424">
        <f>'Purchased kWh'!S64</f>
        <v>289070045.05704</v>
      </c>
      <c r="C65" s="113">
        <f>'Month &amp; Hour Data'!B65</f>
        <v>293.3</v>
      </c>
      <c r="D65" s="113">
        <f>'Month &amp; Hour Data'!C65</f>
        <v>0</v>
      </c>
      <c r="E65" s="478">
        <f>'Month &amp; Hour Data'!H65</f>
        <v>1.099844989132504</v>
      </c>
      <c r="F65" s="114">
        <f>'Month &amp; Hour Data'!D65</f>
        <v>30</v>
      </c>
      <c r="G65" s="114">
        <f>'Month &amp; Hour Data'!E65</f>
        <v>1</v>
      </c>
      <c r="H65" s="114">
        <f>'Month &amp; Hour Data'!F65</f>
        <v>0</v>
      </c>
      <c r="I65" s="115">
        <f>Population!V6</f>
        <v>419666.6666666665</v>
      </c>
      <c r="J65" s="114">
        <f>'Month &amp; Hour Data'!G65</f>
        <v>304</v>
      </c>
      <c r="K65" s="115">
        <f t="shared" si="0"/>
        <v>293312646.7717362</v>
      </c>
      <c r="L65" s="115">
        <f t="shared" si="1"/>
        <v>4242601.7146962285</v>
      </c>
      <c r="M65" s="515">
        <f t="shared" si="2"/>
        <v>0.01467672554539184</v>
      </c>
    </row>
    <row r="66" spans="1:13" ht="12.75">
      <c r="A66" s="112">
        <v>38838</v>
      </c>
      <c r="B66" s="424">
        <f>'Purchased kWh'!S65</f>
        <v>310032606.06352</v>
      </c>
      <c r="C66" s="113">
        <f>'Month &amp; Hour Data'!B66</f>
        <v>136.9</v>
      </c>
      <c r="D66" s="113">
        <f>'Month &amp; Hour Data'!C66</f>
        <v>26</v>
      </c>
      <c r="E66" s="478">
        <f>'Month &amp; Hour Data'!H66</f>
        <v>1.096372410994266</v>
      </c>
      <c r="F66" s="114">
        <f>'Month &amp; Hour Data'!D66</f>
        <v>31</v>
      </c>
      <c r="G66" s="114">
        <f>'Month &amp; Hour Data'!E66</f>
        <v>1</v>
      </c>
      <c r="H66" s="114">
        <f>'Month &amp; Hour Data'!F66</f>
        <v>0</v>
      </c>
      <c r="I66" s="115">
        <f>Population!V7</f>
        <v>421333.3333333332</v>
      </c>
      <c r="J66" s="114">
        <f>'Month &amp; Hour Data'!G66</f>
        <v>352</v>
      </c>
      <c r="K66" s="115">
        <f t="shared" si="0"/>
        <v>311254198.2794998</v>
      </c>
      <c r="L66" s="115">
        <f t="shared" si="1"/>
        <v>1221592.2159798145</v>
      </c>
      <c r="M66" s="515">
        <f t="shared" si="2"/>
        <v>0.003940205617371524</v>
      </c>
    </row>
    <row r="67" spans="1:13" ht="12.75">
      <c r="A67" s="112">
        <v>38869</v>
      </c>
      <c r="B67" s="424">
        <f>'Purchased kWh'!S66</f>
        <v>333895801.36328</v>
      </c>
      <c r="C67" s="113">
        <f>'Month &amp; Hour Data'!B67</f>
        <v>19.5</v>
      </c>
      <c r="D67" s="113">
        <f>'Month &amp; Hour Data'!C67</f>
        <v>72.6</v>
      </c>
      <c r="E67" s="478">
        <f>'Month &amp; Hour Data'!H67</f>
        <v>1.0899627848403137</v>
      </c>
      <c r="F67" s="114">
        <f>'Month &amp; Hour Data'!D67</f>
        <v>30</v>
      </c>
      <c r="G67" s="114">
        <f>'Month &amp; Hour Data'!E67</f>
        <v>0</v>
      </c>
      <c r="H67" s="114">
        <f>'Month &amp; Hour Data'!F67</f>
        <v>0</v>
      </c>
      <c r="I67" s="115">
        <f>Population!V8</f>
        <v>422999.9999999999</v>
      </c>
      <c r="J67" s="114">
        <f>'Month &amp; Hour Data'!G67</f>
        <v>352</v>
      </c>
      <c r="K67" s="115">
        <f aca="true" t="shared" si="3" ref="K67:K130">$P$18+(C67*$P$19)+(D67*$P$20)+(E67*$P$21)+(F67*$P$22)+(G67*$P$23)+(H67*$P$24)+(I67*$P$25)+(J67*$P$26)</f>
        <v>327094355.33679533</v>
      </c>
      <c r="L67" s="115">
        <f aca="true" t="shared" si="4" ref="L67:L130">K67-B67</f>
        <v>-6801446.026484668</v>
      </c>
      <c r="M67" s="515">
        <f aca="true" t="shared" si="5" ref="M67:M109">L67/B67</f>
        <v>-0.020369965715994934</v>
      </c>
    </row>
    <row r="68" spans="1:13" ht="12.75">
      <c r="A68" s="112">
        <v>38899</v>
      </c>
      <c r="B68" s="424">
        <f>'Purchased kWh'!S67</f>
        <v>371225703.04704</v>
      </c>
      <c r="C68" s="113">
        <f>'Month &amp; Hour Data'!B68</f>
        <v>0</v>
      </c>
      <c r="D68" s="113">
        <f>'Month &amp; Hour Data'!C68</f>
        <v>167.3</v>
      </c>
      <c r="E68" s="478">
        <f>'Month &amp; Hour Data'!H68</f>
        <v>1.0781309161958115</v>
      </c>
      <c r="F68" s="114">
        <f>'Month &amp; Hour Data'!D68</f>
        <v>31</v>
      </c>
      <c r="G68" s="114">
        <f>'Month &amp; Hour Data'!E68</f>
        <v>0</v>
      </c>
      <c r="H68" s="114">
        <f>'Month &amp; Hour Data'!F68</f>
        <v>0</v>
      </c>
      <c r="I68" s="115">
        <f>Population!V9</f>
        <v>424666.66666666657</v>
      </c>
      <c r="J68" s="114">
        <f>'Month &amp; Hour Data'!G68</f>
        <v>320</v>
      </c>
      <c r="K68" s="115">
        <f t="shared" si="3"/>
        <v>364101889.8044146</v>
      </c>
      <c r="L68" s="115">
        <f t="shared" si="4"/>
        <v>-7123813.242625415</v>
      </c>
      <c r="M68" s="515">
        <f t="shared" si="5"/>
        <v>-0.019189978452873235</v>
      </c>
    </row>
    <row r="69" spans="1:13" ht="12.75">
      <c r="A69" s="112">
        <v>38930</v>
      </c>
      <c r="B69" s="424">
        <f>'Purchased kWh'!S68</f>
        <v>353706210.33784</v>
      </c>
      <c r="C69" s="113">
        <f>'Month &amp; Hour Data'!B69</f>
        <v>4.2</v>
      </c>
      <c r="D69" s="113">
        <f>'Month &amp; Hour Data'!C69</f>
        <v>101.5</v>
      </c>
      <c r="E69" s="478">
        <f>'Month &amp; Hour Data'!H69</f>
        <v>1.0919731147143177</v>
      </c>
      <c r="F69" s="114">
        <f>'Month &amp; Hour Data'!D69</f>
        <v>31</v>
      </c>
      <c r="G69" s="114">
        <f>'Month &amp; Hour Data'!E69</f>
        <v>0</v>
      </c>
      <c r="H69" s="114">
        <f>'Month &amp; Hour Data'!F69</f>
        <v>0</v>
      </c>
      <c r="I69" s="115">
        <f>Population!V10</f>
        <v>426333.33333333326</v>
      </c>
      <c r="J69" s="114">
        <f>'Month &amp; Hour Data'!G69</f>
        <v>352</v>
      </c>
      <c r="K69" s="115">
        <f t="shared" si="3"/>
        <v>347111061.3875909</v>
      </c>
      <c r="L69" s="115">
        <f t="shared" si="4"/>
        <v>-6595148.9502491355</v>
      </c>
      <c r="M69" s="515">
        <f t="shared" si="5"/>
        <v>-0.01864583871442298</v>
      </c>
    </row>
    <row r="70" spans="1:13" ht="12.75">
      <c r="A70" s="112">
        <v>38961</v>
      </c>
      <c r="B70" s="424">
        <f>'Purchased kWh'!S69</f>
        <v>298103404.68008</v>
      </c>
      <c r="C70" s="113">
        <f>'Month &amp; Hour Data'!B70</f>
        <v>80.9</v>
      </c>
      <c r="D70" s="113">
        <f>'Month &amp; Hour Data'!C70</f>
        <v>12.9</v>
      </c>
      <c r="E70" s="478">
        <f>'Month &amp; Hour Data'!H70</f>
        <v>1.1152414801550528</v>
      </c>
      <c r="F70" s="114">
        <f>'Month &amp; Hour Data'!D70</f>
        <v>30</v>
      </c>
      <c r="G70" s="114">
        <f>'Month &amp; Hour Data'!E70</f>
        <v>1</v>
      </c>
      <c r="H70" s="114">
        <f>'Month &amp; Hour Data'!F70</f>
        <v>0</v>
      </c>
      <c r="I70" s="115">
        <f>Population!V11</f>
        <v>427999.99999999994</v>
      </c>
      <c r="J70" s="114">
        <f>'Month &amp; Hour Data'!G70</f>
        <v>320</v>
      </c>
      <c r="K70" s="115">
        <f t="shared" si="3"/>
        <v>296502089.2645029</v>
      </c>
      <c r="L70" s="115">
        <f t="shared" si="4"/>
        <v>-1601315.4155771136</v>
      </c>
      <c r="M70" s="515">
        <f t="shared" si="5"/>
        <v>-0.005371677714636036</v>
      </c>
    </row>
    <row r="71" spans="1:13" ht="12.75">
      <c r="A71" s="112">
        <v>38991</v>
      </c>
      <c r="B71" s="424">
        <f>'Purchased kWh'!S70</f>
        <v>307942170.88808</v>
      </c>
      <c r="C71" s="113">
        <f>'Month &amp; Hour Data'!B71</f>
        <v>288.3</v>
      </c>
      <c r="D71" s="113">
        <f>'Month &amp; Hour Data'!C71</f>
        <v>1.1</v>
      </c>
      <c r="E71" s="478">
        <f>'Month &amp; Hour Data'!H71</f>
        <v>1.1045936351408172</v>
      </c>
      <c r="F71" s="114">
        <f>'Month &amp; Hour Data'!D71</f>
        <v>31</v>
      </c>
      <c r="G71" s="114">
        <f>'Month &amp; Hour Data'!E71</f>
        <v>1</v>
      </c>
      <c r="H71" s="114">
        <f>'Month &amp; Hour Data'!F71</f>
        <v>0</v>
      </c>
      <c r="I71" s="115">
        <f>Population!V12</f>
        <v>429666.6666666666</v>
      </c>
      <c r="J71" s="114">
        <f>'Month &amp; Hour Data'!G71</f>
        <v>336</v>
      </c>
      <c r="K71" s="115">
        <f t="shared" si="3"/>
        <v>308697806.18391407</v>
      </c>
      <c r="L71" s="115">
        <f t="shared" si="4"/>
        <v>755635.2958340645</v>
      </c>
      <c r="M71" s="515">
        <f t="shared" si="5"/>
        <v>0.002453822072030194</v>
      </c>
    </row>
    <row r="72" spans="1:13" ht="12.75">
      <c r="A72" s="112">
        <v>39022</v>
      </c>
      <c r="B72" s="424">
        <f>'Purchased kWh'!S71</f>
        <v>312999805.54064</v>
      </c>
      <c r="C72" s="113">
        <f>'Month &amp; Hour Data'!B72</f>
        <v>382</v>
      </c>
      <c r="D72" s="113">
        <f>'Month &amp; Hour Data'!C72</f>
        <v>0</v>
      </c>
      <c r="E72" s="478">
        <f>'Month &amp; Hour Data'!H72</f>
        <v>1.1156431277469452</v>
      </c>
      <c r="F72" s="114">
        <f>'Month &amp; Hour Data'!D72</f>
        <v>30</v>
      </c>
      <c r="G72" s="114">
        <f>'Month &amp; Hour Data'!E72</f>
        <v>1</v>
      </c>
      <c r="H72" s="114">
        <f>'Month &amp; Hour Data'!F72</f>
        <v>0</v>
      </c>
      <c r="I72" s="115">
        <f>Population!V13</f>
        <v>431333.3333333333</v>
      </c>
      <c r="J72" s="114">
        <f>'Month &amp; Hour Data'!G72</f>
        <v>352</v>
      </c>
      <c r="K72" s="115">
        <f t="shared" si="3"/>
        <v>311521182.6265374</v>
      </c>
      <c r="L72" s="115">
        <f t="shared" si="4"/>
        <v>-1478622.914102614</v>
      </c>
      <c r="M72" s="515">
        <f t="shared" si="5"/>
        <v>-0.004724037804268313</v>
      </c>
    </row>
    <row r="73" spans="1:13" ht="12.75">
      <c r="A73" s="112">
        <v>39052</v>
      </c>
      <c r="B73" s="424">
        <f>'Purchased kWh'!S72</f>
        <v>317982953.65599346</v>
      </c>
      <c r="C73" s="113">
        <f>'Month &amp; Hour Data'!B73</f>
        <v>500.5</v>
      </c>
      <c r="D73" s="113">
        <f>'Month &amp; Hour Data'!C73</f>
        <v>0</v>
      </c>
      <c r="E73" s="478">
        <f>'Month &amp; Hour Data'!H73</f>
        <v>1.092621608222061</v>
      </c>
      <c r="F73" s="114">
        <f>'Month &amp; Hour Data'!D73</f>
        <v>31</v>
      </c>
      <c r="G73" s="114">
        <f>'Month &amp; Hour Data'!E73</f>
        <v>0</v>
      </c>
      <c r="H73" s="114">
        <f>'Month &amp; Hour Data'!F73</f>
        <v>0</v>
      </c>
      <c r="I73" s="115">
        <f>Population!V14</f>
        <v>433000</v>
      </c>
      <c r="J73" s="114">
        <f>'Month &amp; Hour Data'!G73</f>
        <v>304</v>
      </c>
      <c r="K73" s="115">
        <f t="shared" si="3"/>
        <v>321510336.5105793</v>
      </c>
      <c r="L73" s="115">
        <f t="shared" si="4"/>
        <v>3527382.8545858264</v>
      </c>
      <c r="M73" s="515">
        <f t="shared" si="5"/>
        <v>0.011092993552106849</v>
      </c>
    </row>
    <row r="74" spans="1:15" ht="12.75">
      <c r="A74" s="112">
        <v>39083</v>
      </c>
      <c r="B74" s="424">
        <f>'Purchased kWh'!S73</f>
        <v>332533627.73552</v>
      </c>
      <c r="C74" s="113">
        <f>'Month &amp; Hour Data'!B74</f>
        <v>649.6</v>
      </c>
      <c r="D74" s="113">
        <f>'Month &amp; Hour Data'!C74</f>
        <v>0</v>
      </c>
      <c r="E74" s="478">
        <f>'Month &amp; Hour Data'!H74</f>
        <v>1.10252054783058</v>
      </c>
      <c r="F74" s="114">
        <f>'Month &amp; Hour Data'!D74</f>
        <v>31</v>
      </c>
      <c r="G74" s="114">
        <f>'Month &amp; Hour Data'!E74</f>
        <v>0</v>
      </c>
      <c r="H74" s="114">
        <f>'Month &amp; Hour Data'!F74</f>
        <v>0</v>
      </c>
      <c r="I74" s="115">
        <f>Population!W3</f>
        <v>434416.6666666667</v>
      </c>
      <c r="J74" s="114">
        <f>'Month &amp; Hour Data'!G74</f>
        <v>352</v>
      </c>
      <c r="K74" s="115">
        <f t="shared" si="3"/>
        <v>340408964.8950263</v>
      </c>
      <c r="L74" s="115">
        <f t="shared" si="4"/>
        <v>7875337.159506321</v>
      </c>
      <c r="M74" s="515">
        <f t="shared" si="5"/>
        <v>0.023682829352133842</v>
      </c>
      <c r="O74" s="118"/>
    </row>
    <row r="75" spans="1:13" ht="12.75">
      <c r="A75" s="112">
        <v>39114</v>
      </c>
      <c r="B75" s="424">
        <f>'Purchased kWh'!S74</f>
        <v>318174492.26888</v>
      </c>
      <c r="C75" s="113">
        <f>'Month &amp; Hour Data'!B75</f>
        <v>740.1</v>
      </c>
      <c r="D75" s="113">
        <f>'Month &amp; Hour Data'!C75</f>
        <v>0</v>
      </c>
      <c r="E75" s="478">
        <f>'Month &amp; Hour Data'!H75</f>
        <v>1.1156243005160753</v>
      </c>
      <c r="F75" s="114">
        <f>'Month &amp; Hour Data'!D75</f>
        <v>28</v>
      </c>
      <c r="G75" s="114">
        <f>'Month &amp; Hour Data'!E75</f>
        <v>0</v>
      </c>
      <c r="H75" s="114">
        <f>'Month &amp; Hour Data'!F75</f>
        <v>0</v>
      </c>
      <c r="I75" s="115">
        <f>Population!W4</f>
        <v>435833.3333333334</v>
      </c>
      <c r="J75" s="114">
        <f>'Month &amp; Hour Data'!G75</f>
        <v>320</v>
      </c>
      <c r="K75" s="115">
        <f t="shared" si="3"/>
        <v>320338324.7618095</v>
      </c>
      <c r="L75" s="115">
        <f t="shared" si="4"/>
        <v>2163832.492929518</v>
      </c>
      <c r="M75" s="515">
        <f t="shared" si="5"/>
        <v>0.00680077298937253</v>
      </c>
    </row>
    <row r="76" spans="1:13" ht="12.75">
      <c r="A76" s="112">
        <v>39142</v>
      </c>
      <c r="B76" s="424">
        <f>'Purchased kWh'!S75</f>
        <v>330329410.74736</v>
      </c>
      <c r="C76" s="113">
        <f>'Month &amp; Hour Data'!B76</f>
        <v>546.7</v>
      </c>
      <c r="D76" s="113">
        <f>'Month &amp; Hour Data'!C76</f>
        <v>0</v>
      </c>
      <c r="E76" s="478">
        <f>'Month &amp; Hour Data'!H76</f>
        <v>1.1231614686076845</v>
      </c>
      <c r="F76" s="114">
        <f>'Month &amp; Hour Data'!D76</f>
        <v>31</v>
      </c>
      <c r="G76" s="114">
        <f>'Month &amp; Hour Data'!E76</f>
        <v>1</v>
      </c>
      <c r="H76" s="114">
        <f>'Month &amp; Hour Data'!F76</f>
        <v>0</v>
      </c>
      <c r="I76" s="115">
        <f>Population!W5</f>
        <v>437250.00000000006</v>
      </c>
      <c r="J76" s="114">
        <f>'Month &amp; Hour Data'!G76</f>
        <v>352</v>
      </c>
      <c r="K76" s="115">
        <f t="shared" si="3"/>
        <v>330330624.96530616</v>
      </c>
      <c r="L76" s="115">
        <f t="shared" si="4"/>
        <v>1214.2179461717606</v>
      </c>
      <c r="M76" s="515">
        <f t="shared" si="5"/>
        <v>3.675779106149314E-06</v>
      </c>
    </row>
    <row r="77" spans="1:13" ht="12.75">
      <c r="A77" s="112">
        <v>39173</v>
      </c>
      <c r="B77" s="424">
        <f>'Purchased kWh'!S76</f>
        <v>301193988.05048</v>
      </c>
      <c r="C77" s="113">
        <f>'Month &amp; Hour Data'!B77</f>
        <v>356.4</v>
      </c>
      <c r="D77" s="113">
        <f>'Month &amp; Hour Data'!C77</f>
        <v>0</v>
      </c>
      <c r="E77" s="478">
        <f>'Month &amp; Hour Data'!H77</f>
        <v>1.1273327462026521</v>
      </c>
      <c r="F77" s="114">
        <f>'Month &amp; Hour Data'!D77</f>
        <v>30</v>
      </c>
      <c r="G77" s="114">
        <f>'Month &amp; Hour Data'!E77</f>
        <v>1</v>
      </c>
      <c r="H77" s="114">
        <f>'Month &amp; Hour Data'!F77</f>
        <v>0</v>
      </c>
      <c r="I77" s="115">
        <f>Population!W6</f>
        <v>438666.66666666674</v>
      </c>
      <c r="J77" s="114">
        <f>'Month &amp; Hour Data'!G77</f>
        <v>320</v>
      </c>
      <c r="K77" s="115">
        <f t="shared" si="3"/>
        <v>309156585.42848057</v>
      </c>
      <c r="L77" s="115">
        <f t="shared" si="4"/>
        <v>7962597.378000557</v>
      </c>
      <c r="M77" s="515">
        <f t="shared" si="5"/>
        <v>0.02643677395269267</v>
      </c>
    </row>
    <row r="78" spans="1:13" ht="12.75">
      <c r="A78" s="112">
        <v>39203</v>
      </c>
      <c r="B78" s="424">
        <f>'Purchased kWh'!S77</f>
        <v>313881665.17032</v>
      </c>
      <c r="C78" s="113">
        <f>'Month &amp; Hour Data'!B78</f>
        <v>136.4</v>
      </c>
      <c r="D78" s="113">
        <f>'Month &amp; Hour Data'!C78</f>
        <v>22.4</v>
      </c>
      <c r="E78" s="478">
        <f>'Month &amp; Hour Data'!H78</f>
        <v>1.1237723076536876</v>
      </c>
      <c r="F78" s="114">
        <f>'Month &amp; Hour Data'!D78</f>
        <v>31</v>
      </c>
      <c r="G78" s="114">
        <f>'Month &amp; Hour Data'!E78</f>
        <v>1</v>
      </c>
      <c r="H78" s="114">
        <f>'Month &amp; Hour Data'!F78</f>
        <v>0</v>
      </c>
      <c r="I78" s="115">
        <f>Population!W7</f>
        <v>440083.33333333343</v>
      </c>
      <c r="J78" s="114">
        <f>'Month &amp; Hour Data'!G78</f>
        <v>352</v>
      </c>
      <c r="K78" s="115">
        <f t="shared" si="3"/>
        <v>319745221.21636516</v>
      </c>
      <c r="L78" s="115">
        <f t="shared" si="4"/>
        <v>5863556.046045184</v>
      </c>
      <c r="M78" s="515">
        <f t="shared" si="5"/>
        <v>0.018680785457358504</v>
      </c>
    </row>
    <row r="79" spans="1:13" ht="12.75">
      <c r="A79" s="112">
        <v>39234</v>
      </c>
      <c r="B79" s="424">
        <f>'Purchased kWh'!S78</f>
        <v>352305947.4008</v>
      </c>
      <c r="C79" s="113">
        <f>'Month &amp; Hour Data'!B79</f>
        <v>16.5</v>
      </c>
      <c r="D79" s="113">
        <f>'Month &amp; Hour Data'!C79</f>
        <v>99.2</v>
      </c>
      <c r="E79" s="478">
        <f>'Month &amp; Hour Data'!H79</f>
        <v>1.11720160408007</v>
      </c>
      <c r="F79" s="114">
        <f>'Month &amp; Hour Data'!D79</f>
        <v>30</v>
      </c>
      <c r="G79" s="114">
        <f>'Month &amp; Hour Data'!E79</f>
        <v>0</v>
      </c>
      <c r="H79" s="114">
        <f>'Month &amp; Hour Data'!F79</f>
        <v>0</v>
      </c>
      <c r="I79" s="115">
        <f>Population!W8</f>
        <v>441500.0000000001</v>
      </c>
      <c r="J79" s="114">
        <f>'Month &amp; Hour Data'!G79</f>
        <v>336</v>
      </c>
      <c r="K79" s="115">
        <f t="shared" si="3"/>
        <v>345322770.2784009</v>
      </c>
      <c r="L79" s="115">
        <f t="shared" si="4"/>
        <v>-6983177.122399092</v>
      </c>
      <c r="M79" s="515">
        <f t="shared" si="5"/>
        <v>-0.01982134327824644</v>
      </c>
    </row>
    <row r="80" spans="1:13" ht="12.75">
      <c r="A80" s="112">
        <v>39264</v>
      </c>
      <c r="B80" s="424">
        <f>'Purchased kWh'!S79</f>
        <v>350987926.2304</v>
      </c>
      <c r="C80" s="113">
        <f>'Month &amp; Hour Data'!B80</f>
        <v>3.2</v>
      </c>
      <c r="D80" s="113">
        <f>'Month &amp; Hour Data'!C80</f>
        <v>106.1</v>
      </c>
      <c r="E80" s="478">
        <f>'Month &amp; Hour Data'!H80</f>
        <v>1.1076896686616557</v>
      </c>
      <c r="F80" s="114">
        <f>'Month &amp; Hour Data'!D80</f>
        <v>31</v>
      </c>
      <c r="G80" s="114">
        <f>'Month &amp; Hour Data'!E80</f>
        <v>0</v>
      </c>
      <c r="H80" s="114">
        <f>'Month &amp; Hour Data'!F80</f>
        <v>0</v>
      </c>
      <c r="I80" s="115">
        <f>Population!W9</f>
        <v>442916.6666666668</v>
      </c>
      <c r="J80" s="114">
        <f>'Month &amp; Hour Data'!G80</f>
        <v>336</v>
      </c>
      <c r="K80" s="115">
        <f t="shared" si="3"/>
        <v>352165804.6027522</v>
      </c>
      <c r="L80" s="115">
        <f t="shared" si="4"/>
        <v>1177878.3723521829</v>
      </c>
      <c r="M80" s="515">
        <f t="shared" si="5"/>
        <v>0.003355894275346055</v>
      </c>
    </row>
    <row r="81" spans="1:13" ht="12.75">
      <c r="A81" s="112">
        <v>39295</v>
      </c>
      <c r="B81" s="424">
        <f>'Purchased kWh'!S80</f>
        <v>363680290.54208</v>
      </c>
      <c r="C81" s="113">
        <f>'Month &amp; Hour Data'!B81</f>
        <v>5.2</v>
      </c>
      <c r="D81" s="113">
        <f>'Month &amp; Hour Data'!C81</f>
        <v>141</v>
      </c>
      <c r="E81" s="478">
        <f>'Month &amp; Hour Data'!H81</f>
        <v>1.1219084117975613</v>
      </c>
      <c r="F81" s="114">
        <f>'Month &amp; Hour Data'!D81</f>
        <v>31</v>
      </c>
      <c r="G81" s="114">
        <f>'Month &amp; Hour Data'!E81</f>
        <v>0</v>
      </c>
      <c r="H81" s="114">
        <f>'Month &amp; Hour Data'!F81</f>
        <v>0</v>
      </c>
      <c r="I81" s="115">
        <f>Population!W10</f>
        <v>444333.3333333335</v>
      </c>
      <c r="J81" s="114">
        <f>'Month &amp; Hour Data'!G81</f>
        <v>352</v>
      </c>
      <c r="K81" s="115">
        <f t="shared" si="3"/>
        <v>374540236.7305446</v>
      </c>
      <c r="L81" s="115">
        <f t="shared" si="4"/>
        <v>10859946.188464642</v>
      </c>
      <c r="M81" s="515">
        <f t="shared" si="5"/>
        <v>0.02986124481004307</v>
      </c>
    </row>
    <row r="82" spans="1:13" ht="12.75">
      <c r="A82" s="112">
        <v>39326</v>
      </c>
      <c r="B82" s="424">
        <f>'Purchased kWh'!S81</f>
        <v>320412435.58792</v>
      </c>
      <c r="C82" s="113">
        <f>'Month &amp; Hour Data'!B82</f>
        <v>36.7</v>
      </c>
      <c r="D82" s="113">
        <f>'Month &amp; Hour Data'!C82</f>
        <v>47.5</v>
      </c>
      <c r="E82" s="478">
        <f>'Month &amp; Hour Data'!H82</f>
        <v>1.145816903087875</v>
      </c>
      <c r="F82" s="114">
        <f>'Month &amp; Hour Data'!D82</f>
        <v>30</v>
      </c>
      <c r="G82" s="114">
        <f>'Month &amp; Hour Data'!E82</f>
        <v>1</v>
      </c>
      <c r="H82" s="114">
        <f>'Month &amp; Hour Data'!F82</f>
        <v>0</v>
      </c>
      <c r="I82" s="115">
        <f>Population!W11</f>
        <v>445750.0000000002</v>
      </c>
      <c r="J82" s="114">
        <f>'Month &amp; Hour Data'!G82</f>
        <v>304</v>
      </c>
      <c r="K82" s="115">
        <f t="shared" si="3"/>
        <v>317197911.4158305</v>
      </c>
      <c r="L82" s="115">
        <f t="shared" si="4"/>
        <v>-3214524.172089517</v>
      </c>
      <c r="M82" s="515">
        <f t="shared" si="5"/>
        <v>-0.010032457592325449</v>
      </c>
    </row>
    <row r="83" spans="1:13" ht="12.75">
      <c r="A83" s="112">
        <v>39356</v>
      </c>
      <c r="B83" s="424">
        <f>'Purchased kWh'!S82</f>
        <v>318245128.16911995</v>
      </c>
      <c r="C83" s="113">
        <f>'Month &amp; Hour Data'!B83</f>
        <v>137.6</v>
      </c>
      <c r="D83" s="113">
        <f>'Month &amp; Hour Data'!C83</f>
        <v>19.8</v>
      </c>
      <c r="E83" s="478">
        <f>'Month &amp; Hour Data'!H83</f>
        <v>1.126550370164278</v>
      </c>
      <c r="F83" s="114">
        <f>'Month &amp; Hour Data'!D83</f>
        <v>31</v>
      </c>
      <c r="G83" s="114">
        <f>'Month &amp; Hour Data'!E83</f>
        <v>1</v>
      </c>
      <c r="H83" s="114">
        <f>'Month &amp; Hour Data'!F83</f>
        <v>0</v>
      </c>
      <c r="I83" s="115">
        <f>Population!W12</f>
        <v>447166.66666666686</v>
      </c>
      <c r="J83" s="114">
        <f>'Month &amp; Hour Data'!G83</f>
        <v>352</v>
      </c>
      <c r="K83" s="115">
        <f t="shared" si="3"/>
        <v>319841430.28344643</v>
      </c>
      <c r="L83" s="115">
        <f t="shared" si="4"/>
        <v>1596302.114326477</v>
      </c>
      <c r="M83" s="515">
        <f t="shared" si="5"/>
        <v>0.0050159514570107715</v>
      </c>
    </row>
    <row r="84" spans="1:13" ht="12.75">
      <c r="A84" s="112">
        <v>39387</v>
      </c>
      <c r="B84" s="424">
        <f>'Purchased kWh'!S83</f>
        <v>323515779.22904</v>
      </c>
      <c r="C84" s="113">
        <f>'Month &amp; Hour Data'!B84</f>
        <v>462.5</v>
      </c>
      <c r="D84" s="113">
        <f>'Month &amp; Hour Data'!C84</f>
        <v>0</v>
      </c>
      <c r="E84" s="478">
        <f>'Month &amp; Hour Data'!H84</f>
        <v>1.1378195137972225</v>
      </c>
      <c r="F84" s="114">
        <f>'Month &amp; Hour Data'!D84</f>
        <v>30</v>
      </c>
      <c r="G84" s="114">
        <f>'Month &amp; Hour Data'!E84</f>
        <v>1</v>
      </c>
      <c r="H84" s="114">
        <f>'Month &amp; Hour Data'!F84</f>
        <v>0</v>
      </c>
      <c r="I84" s="115">
        <f>Population!W13</f>
        <v>448583.33333333355</v>
      </c>
      <c r="J84" s="114">
        <f>'Month &amp; Hour Data'!G84</f>
        <v>352</v>
      </c>
      <c r="K84" s="115">
        <f t="shared" si="3"/>
        <v>323636750.76762843</v>
      </c>
      <c r="L84" s="115">
        <f t="shared" si="4"/>
        <v>120971.53858840466</v>
      </c>
      <c r="M84" s="515">
        <f t="shared" si="5"/>
        <v>0.00037392778453245156</v>
      </c>
    </row>
    <row r="85" spans="1:13" ht="12.75">
      <c r="A85" s="112">
        <v>39417</v>
      </c>
      <c r="B85" s="424">
        <f>'Purchased kWh'!S84</f>
        <v>333331076.53264</v>
      </c>
      <c r="C85" s="113">
        <f>'Month &amp; Hour Data'!B85</f>
        <v>630.7</v>
      </c>
      <c r="D85" s="113">
        <f>'Month &amp; Hour Data'!C85</f>
        <v>0</v>
      </c>
      <c r="E85" s="478">
        <f>'Month &amp; Hour Data'!H85</f>
        <v>1.1143398649878355</v>
      </c>
      <c r="F85" s="114">
        <f>'Month &amp; Hour Data'!D85</f>
        <v>31</v>
      </c>
      <c r="G85" s="114">
        <f>'Month &amp; Hour Data'!E85</f>
        <v>0</v>
      </c>
      <c r="H85" s="114">
        <f>'Month &amp; Hour Data'!F85</f>
        <v>0</v>
      </c>
      <c r="I85" s="115">
        <f>Population!W14</f>
        <v>450000.00000000023</v>
      </c>
      <c r="J85" s="114">
        <f>'Month &amp; Hour Data'!G85</f>
        <v>304</v>
      </c>
      <c r="K85" s="115">
        <f t="shared" si="3"/>
        <v>335907435.36827606</v>
      </c>
      <c r="L85" s="115">
        <f t="shared" si="4"/>
        <v>2576358.8356360793</v>
      </c>
      <c r="M85" s="515">
        <f t="shared" si="5"/>
        <v>0.007729128836218188</v>
      </c>
    </row>
    <row r="86" spans="1:13" ht="12.75">
      <c r="A86" s="112">
        <v>39448</v>
      </c>
      <c r="B86" s="424">
        <f>'Purchased kWh'!S85</f>
        <v>344575662.3916</v>
      </c>
      <c r="C86" s="113">
        <f>'Month &amp; Hour Data'!B86</f>
        <v>626</v>
      </c>
      <c r="D86" s="113">
        <f>'Month &amp; Hour Data'!C86</f>
        <v>0</v>
      </c>
      <c r="E86" s="478">
        <f>'Month &amp; Hour Data'!H86</f>
        <v>1.109135181609561</v>
      </c>
      <c r="F86" s="114">
        <f>'Month &amp; Hour Data'!D86</f>
        <v>31</v>
      </c>
      <c r="G86" s="114">
        <f>'Month &amp; Hour Data'!E86</f>
        <v>0</v>
      </c>
      <c r="H86" s="114">
        <f>'Month &amp; Hour Data'!F86</f>
        <v>0</v>
      </c>
      <c r="I86" s="115">
        <f>Population!X3</f>
        <v>451250.00000000023</v>
      </c>
      <c r="J86" s="114">
        <f>'Month &amp; Hour Data'!G86</f>
        <v>352</v>
      </c>
      <c r="K86" s="115">
        <f t="shared" si="3"/>
        <v>341918109.84063625</v>
      </c>
      <c r="L86" s="115">
        <f t="shared" si="4"/>
        <v>-2657552.5509637594</v>
      </c>
      <c r="M86" s="515">
        <f t="shared" si="5"/>
        <v>-0.0077125370158718</v>
      </c>
    </row>
    <row r="87" spans="1:13" ht="12.75">
      <c r="A87" s="112">
        <v>39479</v>
      </c>
      <c r="B87" s="424">
        <f>'Purchased kWh'!S86</f>
        <v>326113371.71056</v>
      </c>
      <c r="C87" s="113">
        <f>'Month &amp; Hour Data'!B87</f>
        <v>674.7</v>
      </c>
      <c r="D87" s="113">
        <f>'Month &amp; Hour Data'!C87</f>
        <v>0</v>
      </c>
      <c r="E87" s="478">
        <f>'Month &amp; Hour Data'!H87</f>
        <v>1.1223184270476183</v>
      </c>
      <c r="F87" s="114">
        <f>'Month &amp; Hour Data'!D87</f>
        <v>29</v>
      </c>
      <c r="G87" s="114">
        <f>'Month &amp; Hour Data'!E87</f>
        <v>0</v>
      </c>
      <c r="H87" s="114">
        <f>'Month &amp; Hour Data'!F87</f>
        <v>0</v>
      </c>
      <c r="I87" s="115">
        <f>Population!X4</f>
        <v>452500.00000000023</v>
      </c>
      <c r="J87" s="114">
        <f>'Month &amp; Hour Data'!G87</f>
        <v>320</v>
      </c>
      <c r="K87" s="115">
        <f t="shared" si="3"/>
        <v>327746511.3021691</v>
      </c>
      <c r="L87" s="115">
        <f t="shared" si="4"/>
        <v>1633139.5916090608</v>
      </c>
      <c r="M87" s="515">
        <f t="shared" si="5"/>
        <v>0.005007889075638837</v>
      </c>
    </row>
    <row r="88" spans="1:13" ht="12.75">
      <c r="A88" s="112">
        <v>39508</v>
      </c>
      <c r="B88" s="424">
        <f>'Purchased kWh'!S87</f>
        <v>331077485.06296</v>
      </c>
      <c r="C88" s="113">
        <f>'Month &amp; Hour Data'!B88</f>
        <v>610.2</v>
      </c>
      <c r="D88" s="113">
        <f>'Month &amp; Hour Data'!C88</f>
        <v>0</v>
      </c>
      <c r="E88" s="478">
        <f>'Month &amp; Hour Data'!H88</f>
        <v>1.1299016172591316</v>
      </c>
      <c r="F88" s="114">
        <f>'Month &amp; Hour Data'!D88</f>
        <v>31</v>
      </c>
      <c r="G88" s="114">
        <f>'Month &amp; Hour Data'!E88</f>
        <v>1</v>
      </c>
      <c r="H88" s="114">
        <f>'Month &amp; Hour Data'!F88</f>
        <v>0</v>
      </c>
      <c r="I88" s="115">
        <f>Population!X5</f>
        <v>453750.00000000023</v>
      </c>
      <c r="J88" s="114">
        <f>'Month &amp; Hour Data'!G88</f>
        <v>304</v>
      </c>
      <c r="K88" s="115">
        <f t="shared" si="3"/>
        <v>328120501.6749368</v>
      </c>
      <c r="L88" s="115">
        <f t="shared" si="4"/>
        <v>-2956983.3880232573</v>
      </c>
      <c r="M88" s="515">
        <f t="shared" si="5"/>
        <v>-0.008931393771645138</v>
      </c>
    </row>
    <row r="89" spans="1:13" ht="12.75">
      <c r="A89" s="112">
        <v>39539</v>
      </c>
      <c r="B89" s="424">
        <f>'Purchased kWh'!S88</f>
        <v>303230329.28384</v>
      </c>
      <c r="C89" s="113">
        <f>'Month &amp; Hour Data'!B89</f>
        <v>253.9</v>
      </c>
      <c r="D89" s="113">
        <f>'Month &amp; Hour Data'!C89</f>
        <v>0</v>
      </c>
      <c r="E89" s="478">
        <f>'Month &amp; Hour Data'!H89</f>
        <v>1.1265733812242302</v>
      </c>
      <c r="F89" s="114">
        <f>'Month &amp; Hour Data'!D89</f>
        <v>30</v>
      </c>
      <c r="G89" s="114">
        <f>'Month &amp; Hour Data'!E89</f>
        <v>1</v>
      </c>
      <c r="H89" s="114">
        <f>'Month &amp; Hour Data'!F89</f>
        <v>0</v>
      </c>
      <c r="I89" s="115">
        <f>Population!X6</f>
        <v>455000.00000000023</v>
      </c>
      <c r="J89" s="114">
        <f>'Month &amp; Hour Data'!G89</f>
        <v>352</v>
      </c>
      <c r="K89" s="115">
        <f t="shared" si="3"/>
        <v>309541352.73006</v>
      </c>
      <c r="L89" s="115">
        <f t="shared" si="4"/>
        <v>6311023.446219981</v>
      </c>
      <c r="M89" s="515">
        <f t="shared" si="5"/>
        <v>0.02081263922749799</v>
      </c>
    </row>
    <row r="90" spans="1:13" ht="12.75">
      <c r="A90" s="112">
        <v>39569</v>
      </c>
      <c r="B90" s="424">
        <f>'Purchased kWh'!S89</f>
        <v>301056523.36776</v>
      </c>
      <c r="C90" s="113">
        <f>'Month &amp; Hour Data'!B90</f>
        <v>193.5</v>
      </c>
      <c r="D90" s="113">
        <f>'Month &amp; Hour Data'!C90</f>
        <v>2.5</v>
      </c>
      <c r="E90" s="478">
        <f>'Month &amp; Hour Data'!H90</f>
        <v>1.123015034589807</v>
      </c>
      <c r="F90" s="114">
        <f>'Month &amp; Hour Data'!D90</f>
        <v>31</v>
      </c>
      <c r="G90" s="114">
        <f>'Month &amp; Hour Data'!E90</f>
        <v>1</v>
      </c>
      <c r="H90" s="114">
        <f>'Month &amp; Hour Data'!F90</f>
        <v>0</v>
      </c>
      <c r="I90" s="115">
        <f>Population!X7</f>
        <v>456250.00000000023</v>
      </c>
      <c r="J90" s="114">
        <f>'Month &amp; Hour Data'!G90</f>
        <v>336</v>
      </c>
      <c r="K90" s="115">
        <f t="shared" si="3"/>
        <v>311635865.47359776</v>
      </c>
      <c r="L90" s="115">
        <f t="shared" si="4"/>
        <v>10579342.105837762</v>
      </c>
      <c r="M90" s="515">
        <f t="shared" si="5"/>
        <v>0.035140717057023915</v>
      </c>
    </row>
    <row r="91" spans="1:13" ht="12.75">
      <c r="A91" s="112">
        <v>39600</v>
      </c>
      <c r="B91" s="424">
        <f>'Purchased kWh'!S90</f>
        <v>334428490.42672</v>
      </c>
      <c r="C91" s="113">
        <f>'Month &amp; Hour Data'!B91</f>
        <v>22.7</v>
      </c>
      <c r="D91" s="113">
        <f>'Month &amp; Hour Data'!C91</f>
        <v>71.5</v>
      </c>
      <c r="E91" s="478">
        <f>'Month &amp; Hour Data'!H91</f>
        <v>1.1164506067598126</v>
      </c>
      <c r="F91" s="114">
        <f>'Month &amp; Hour Data'!D91</f>
        <v>30</v>
      </c>
      <c r="G91" s="114">
        <f>'Month &amp; Hour Data'!E91</f>
        <v>0</v>
      </c>
      <c r="H91" s="114">
        <f>'Month &amp; Hour Data'!F91</f>
        <v>0</v>
      </c>
      <c r="I91" s="115">
        <f>Population!X8</f>
        <v>457500.00000000023</v>
      </c>
      <c r="J91" s="114">
        <f>'Month &amp; Hour Data'!G91</f>
        <v>336</v>
      </c>
      <c r="K91" s="115">
        <f t="shared" si="3"/>
        <v>334132009.8621918</v>
      </c>
      <c r="L91" s="115">
        <f t="shared" si="4"/>
        <v>-296480.56452822685</v>
      </c>
      <c r="M91" s="515">
        <f t="shared" si="5"/>
        <v>-0.0008865290279244067</v>
      </c>
    </row>
    <row r="92" spans="1:13" ht="12.75">
      <c r="A92" s="112">
        <v>39630</v>
      </c>
      <c r="B92" s="424">
        <f>'Purchased kWh'!S91</f>
        <v>363118366.5624</v>
      </c>
      <c r="C92" s="113">
        <f>'Month &amp; Hour Data'!B92</f>
        <v>1</v>
      </c>
      <c r="D92" s="113">
        <f>'Month &amp; Hour Data'!C92</f>
        <v>111</v>
      </c>
      <c r="E92" s="478">
        <f>'Month &amp; Hour Data'!H92</f>
        <v>1.104627105773475</v>
      </c>
      <c r="F92" s="114">
        <f>'Month &amp; Hour Data'!D92</f>
        <v>31</v>
      </c>
      <c r="G92" s="114">
        <f>'Month &amp; Hour Data'!E92</f>
        <v>0</v>
      </c>
      <c r="H92" s="114">
        <f>'Month &amp; Hour Data'!F92</f>
        <v>0</v>
      </c>
      <c r="I92" s="115">
        <f>Population!X9</f>
        <v>458750.00000000023</v>
      </c>
      <c r="J92" s="114">
        <f>'Month &amp; Hour Data'!G92</f>
        <v>352</v>
      </c>
      <c r="K92" s="115">
        <f t="shared" si="3"/>
        <v>356033365.6231106</v>
      </c>
      <c r="L92" s="115">
        <f t="shared" si="4"/>
        <v>-7085000.939289391</v>
      </c>
      <c r="M92" s="515">
        <f t="shared" si="5"/>
        <v>-0.019511546624210403</v>
      </c>
    </row>
    <row r="93" spans="1:13" ht="12.75">
      <c r="A93" s="112">
        <v>39661</v>
      </c>
      <c r="B93" s="424">
        <f>'Purchased kWh'!S92</f>
        <v>341326026.458</v>
      </c>
      <c r="C93" s="113">
        <f>'Month &amp; Hour Data'!B93</f>
        <v>12.7</v>
      </c>
      <c r="D93" s="113">
        <f>'Month &amp; Hour Data'!C93</f>
        <v>64</v>
      </c>
      <c r="E93" s="478">
        <f>'Month &amp; Hour Data'!H93</f>
        <v>1.1188081944476405</v>
      </c>
      <c r="F93" s="114">
        <f>'Month &amp; Hour Data'!D93</f>
        <v>31</v>
      </c>
      <c r="G93" s="114">
        <f>'Month &amp; Hour Data'!E93</f>
        <v>0</v>
      </c>
      <c r="H93" s="114">
        <f>'Month &amp; Hour Data'!F93</f>
        <v>0</v>
      </c>
      <c r="I93" s="115">
        <f>Population!X10</f>
        <v>460000.00000000023</v>
      </c>
      <c r="J93" s="114">
        <f>'Month &amp; Hour Data'!G93</f>
        <v>320</v>
      </c>
      <c r="K93" s="115">
        <f t="shared" si="3"/>
        <v>336640609.76970476</v>
      </c>
      <c r="L93" s="115">
        <f t="shared" si="4"/>
        <v>-4685416.688295245</v>
      </c>
      <c r="M93" s="515">
        <f t="shared" si="5"/>
        <v>-0.01372710055812806</v>
      </c>
    </row>
    <row r="94" spans="1:13" ht="12.75">
      <c r="A94" s="112">
        <v>39692</v>
      </c>
      <c r="B94" s="424">
        <f>'Purchased kWh'!S93</f>
        <v>317499537.95280004</v>
      </c>
      <c r="C94" s="113">
        <f>'Month &amp; Hour Data'!B94</f>
        <v>59.5</v>
      </c>
      <c r="D94" s="113">
        <f>'Month &amp; Hour Data'!C94</f>
        <v>26.7</v>
      </c>
      <c r="E94" s="478">
        <f>'Month &amp; Hour Data'!H94</f>
        <v>1.142649744472639</v>
      </c>
      <c r="F94" s="114">
        <f>'Month &amp; Hour Data'!D94</f>
        <v>30</v>
      </c>
      <c r="G94" s="114">
        <f>'Month &amp; Hour Data'!E94</f>
        <v>1</v>
      </c>
      <c r="H94" s="114">
        <f>'Month &amp; Hour Data'!F94</f>
        <v>0</v>
      </c>
      <c r="I94" s="115">
        <f>Population!X11</f>
        <v>461250.00000000023</v>
      </c>
      <c r="J94" s="114">
        <f>'Month &amp; Hour Data'!G94</f>
        <v>336</v>
      </c>
      <c r="K94" s="115">
        <f t="shared" si="3"/>
        <v>314208950.44090694</v>
      </c>
      <c r="L94" s="115">
        <f t="shared" si="4"/>
        <v>-3290587.5118930936</v>
      </c>
      <c r="M94" s="515">
        <f t="shared" si="5"/>
        <v>-0.010364070238055833</v>
      </c>
    </row>
    <row r="95" spans="1:13" ht="12.75">
      <c r="A95" s="112">
        <v>39722</v>
      </c>
      <c r="B95" s="424">
        <f>'Purchased kWh'!S94</f>
        <v>310230041.67616</v>
      </c>
      <c r="C95" s="113">
        <f>'Month &amp; Hour Data'!B95</f>
        <v>278.6</v>
      </c>
      <c r="D95" s="113">
        <f>'Month &amp; Hour Data'!C95</f>
        <v>0</v>
      </c>
      <c r="E95" s="478">
        <f>'Month &amp; Hour Data'!H95</f>
        <v>1.106152111473942</v>
      </c>
      <c r="F95" s="114">
        <f>'Month &amp; Hour Data'!D95</f>
        <v>31</v>
      </c>
      <c r="G95" s="114">
        <f>'Month &amp; Hour Data'!E95</f>
        <v>1</v>
      </c>
      <c r="H95" s="114">
        <f>'Month &amp; Hour Data'!F95</f>
        <v>0</v>
      </c>
      <c r="I95" s="115">
        <f>Population!X12</f>
        <v>462500.00000000023</v>
      </c>
      <c r="J95" s="114">
        <f>'Month &amp; Hour Data'!G95</f>
        <v>352</v>
      </c>
      <c r="K95" s="115">
        <f t="shared" si="3"/>
        <v>311665814.54409444</v>
      </c>
      <c r="L95" s="115">
        <f t="shared" si="4"/>
        <v>1435772.8679344654</v>
      </c>
      <c r="M95" s="515">
        <f t="shared" si="5"/>
        <v>0.004628091013291442</v>
      </c>
    </row>
    <row r="96" spans="1:13" ht="12.75">
      <c r="A96" s="112">
        <v>39753</v>
      </c>
      <c r="B96" s="424">
        <f>'Purchased kWh'!S95</f>
        <v>313840849.62728</v>
      </c>
      <c r="C96" s="113">
        <f>'Month &amp; Hour Data'!B96</f>
        <v>451.6</v>
      </c>
      <c r="D96" s="113">
        <f>'Month &amp; Hour Data'!C96</f>
        <v>0</v>
      </c>
      <c r="E96" s="478">
        <f>'Month &amp; Hour Data'!H96</f>
        <v>1.1172162474818579</v>
      </c>
      <c r="F96" s="114">
        <f>'Month &amp; Hour Data'!D96</f>
        <v>30</v>
      </c>
      <c r="G96" s="114">
        <f>'Month &amp; Hour Data'!E96</f>
        <v>1</v>
      </c>
      <c r="H96" s="114">
        <f>'Month &amp; Hour Data'!F96</f>
        <v>0</v>
      </c>
      <c r="I96" s="115">
        <f>Population!X13</f>
        <v>463750.00000000023</v>
      </c>
      <c r="J96" s="114">
        <f>'Month &amp; Hour Data'!G96</f>
        <v>304</v>
      </c>
      <c r="K96" s="115">
        <f t="shared" si="3"/>
        <v>308122104.3805452</v>
      </c>
      <c r="L96" s="115">
        <f t="shared" si="4"/>
        <v>-5718745.246734798</v>
      </c>
      <c r="M96" s="515">
        <f t="shared" si="5"/>
        <v>-0.01822180016886402</v>
      </c>
    </row>
    <row r="97" spans="1:13" ht="12.75">
      <c r="A97" s="112">
        <v>39783</v>
      </c>
      <c r="B97" s="424">
        <f>'Purchased kWh'!S96</f>
        <v>328946879.91896003</v>
      </c>
      <c r="C97" s="113">
        <f>'Month &amp; Hour Data'!B97</f>
        <v>654.6</v>
      </c>
      <c r="D97" s="113">
        <f>'Month &amp; Hour Data'!C97</f>
        <v>0</v>
      </c>
      <c r="E97" s="478">
        <f>'Month &amp; Hour Data'!H97</f>
        <v>1.0941612573243158</v>
      </c>
      <c r="F97" s="114">
        <f>'Month &amp; Hour Data'!D97</f>
        <v>31</v>
      </c>
      <c r="G97" s="114">
        <f>'Month &amp; Hour Data'!E97</f>
        <v>0</v>
      </c>
      <c r="H97" s="114">
        <f>'Month &amp; Hour Data'!F97</f>
        <v>0</v>
      </c>
      <c r="I97" s="115">
        <f>Population!X14</f>
        <v>465000.00000000023</v>
      </c>
      <c r="J97" s="114">
        <f>'Month &amp; Hour Data'!G97</f>
        <v>336</v>
      </c>
      <c r="K97" s="115">
        <f t="shared" si="3"/>
        <v>335662939.4715297</v>
      </c>
      <c r="L97" s="115">
        <f t="shared" si="4"/>
        <v>6716059.552569687</v>
      </c>
      <c r="M97" s="515">
        <f t="shared" si="5"/>
        <v>0.020416851359782676</v>
      </c>
    </row>
    <row r="98" spans="1:13" ht="12.75">
      <c r="A98" s="112">
        <v>39814</v>
      </c>
      <c r="B98" s="424">
        <f>'Purchased kWh'!S97</f>
        <v>340125286.47128</v>
      </c>
      <c r="C98" s="113">
        <f>'Month &amp; Hour Data'!B98</f>
        <v>830.2</v>
      </c>
      <c r="D98" s="113">
        <f>'Month &amp; Hour Data'!C98</f>
        <v>0</v>
      </c>
      <c r="E98" s="478">
        <f>'Month &amp; Hour Data'!H98</f>
        <v>1.0849233627107866</v>
      </c>
      <c r="F98" s="114">
        <f>'Month &amp; Hour Data'!D98</f>
        <v>31</v>
      </c>
      <c r="G98" s="114">
        <f>'Month &amp; Hour Data'!E98</f>
        <v>0</v>
      </c>
      <c r="H98" s="114">
        <f>'Month &amp; Hour Data'!F98</f>
        <v>0</v>
      </c>
      <c r="I98" s="115">
        <f>Population!Y3</f>
        <v>466250.00000000023</v>
      </c>
      <c r="J98" s="114">
        <f>'Month &amp; Hour Data'!G98</f>
        <v>336</v>
      </c>
      <c r="K98" s="115">
        <f t="shared" si="3"/>
        <v>341089255.94290197</v>
      </c>
      <c r="L98" s="115">
        <f t="shared" si="4"/>
        <v>963969.4716219902</v>
      </c>
      <c r="M98" s="515">
        <f t="shared" si="5"/>
        <v>0.002834159969765692</v>
      </c>
    </row>
    <row r="99" spans="1:13" ht="12.75">
      <c r="A99" s="112">
        <v>39845</v>
      </c>
      <c r="B99" s="424">
        <f>'Purchased kWh'!S98</f>
        <v>298423228.43304</v>
      </c>
      <c r="C99" s="113">
        <f>'Month &amp; Hour Data'!B99</f>
        <v>606.4</v>
      </c>
      <c r="D99" s="113">
        <f>'Month &amp; Hour Data'!C99</f>
        <v>0</v>
      </c>
      <c r="E99" s="478">
        <f>'Month &amp; Hour Data'!H99</f>
        <v>1.097817923942171</v>
      </c>
      <c r="F99" s="114">
        <f>'Month &amp; Hour Data'!D99</f>
        <v>28</v>
      </c>
      <c r="G99" s="114">
        <f>'Month &amp; Hour Data'!E99</f>
        <v>0</v>
      </c>
      <c r="H99" s="114">
        <f>'Month &amp; Hour Data'!F99</f>
        <v>0</v>
      </c>
      <c r="I99" s="115">
        <f>Population!Y4</f>
        <v>467500.00000000023</v>
      </c>
      <c r="J99" s="114">
        <f>'Month &amp; Hour Data'!G99</f>
        <v>304</v>
      </c>
      <c r="K99" s="115">
        <f t="shared" si="3"/>
        <v>305462338.83997405</v>
      </c>
      <c r="L99" s="115">
        <f t="shared" si="4"/>
        <v>7039110.406934023</v>
      </c>
      <c r="M99" s="515">
        <f t="shared" si="5"/>
        <v>0.023587675945652645</v>
      </c>
    </row>
    <row r="100" spans="1:13" ht="12.75">
      <c r="A100" s="112">
        <v>39873</v>
      </c>
      <c r="B100" s="424">
        <f>'Purchased kWh'!S99</f>
        <v>317878968.44472</v>
      </c>
      <c r="C100" s="113">
        <f>'Month &amp; Hour Data'!B100</f>
        <v>515.6</v>
      </c>
      <c r="D100" s="113">
        <f>'Month &amp; Hour Data'!C100</f>
        <v>0</v>
      </c>
      <c r="E100" s="478">
        <f>'Month &amp; Hour Data'!H100</f>
        <v>1.105235852904937</v>
      </c>
      <c r="F100" s="114">
        <f>'Month &amp; Hour Data'!D100</f>
        <v>31</v>
      </c>
      <c r="G100" s="114">
        <f>'Month &amp; Hour Data'!E100</f>
        <v>1</v>
      </c>
      <c r="H100" s="114">
        <f>'Month &amp; Hour Data'!F100</f>
        <v>0</v>
      </c>
      <c r="I100" s="115">
        <f>Population!Y5</f>
        <v>468750.00000000023</v>
      </c>
      <c r="J100" s="114">
        <f>'Month &amp; Hour Data'!G100</f>
        <v>352</v>
      </c>
      <c r="K100" s="115">
        <f t="shared" si="3"/>
        <v>323144429.7491319</v>
      </c>
      <c r="L100" s="115">
        <f t="shared" si="4"/>
        <v>5265461.304411948</v>
      </c>
      <c r="M100" s="515">
        <f t="shared" si="5"/>
        <v>0.01656435885071027</v>
      </c>
    </row>
    <row r="101" spans="1:13" ht="12.75">
      <c r="A101" s="112">
        <v>39904</v>
      </c>
      <c r="B101" s="424">
        <f>'Purchased kWh'!S100</f>
        <v>288048156.51208</v>
      </c>
      <c r="C101" s="113">
        <f>'Month &amp; Hour Data'!B101</f>
        <v>295.9</v>
      </c>
      <c r="D101" s="113">
        <f>'Month &amp; Hour Data'!C101</f>
        <v>1.2</v>
      </c>
      <c r="E101" s="478">
        <f>'Month &amp; Hour Data'!H101</f>
        <v>1.091194922505026</v>
      </c>
      <c r="F101" s="114">
        <f>'Month &amp; Hour Data'!D101</f>
        <v>30</v>
      </c>
      <c r="G101" s="114">
        <f>'Month &amp; Hour Data'!E101</f>
        <v>1</v>
      </c>
      <c r="H101" s="114">
        <f>'Month &amp; Hour Data'!F101</f>
        <v>0</v>
      </c>
      <c r="I101" s="115">
        <f>Population!Y6</f>
        <v>470000.00000000023</v>
      </c>
      <c r="J101" s="114">
        <f>'Month &amp; Hour Data'!G101</f>
        <v>320</v>
      </c>
      <c r="K101" s="115">
        <f t="shared" si="3"/>
        <v>294617123.80623627</v>
      </c>
      <c r="L101" s="115">
        <f t="shared" si="4"/>
        <v>6568967.294156253</v>
      </c>
      <c r="M101" s="515">
        <f t="shared" si="5"/>
        <v>0.022805100972346504</v>
      </c>
    </row>
    <row r="102" spans="1:13" ht="12.75">
      <c r="A102" s="112">
        <v>39934</v>
      </c>
      <c r="B102" s="424">
        <f>'Purchased kWh'!S101</f>
        <v>279549260.71288</v>
      </c>
      <c r="C102" s="113">
        <f>'Month &amp; Hour Data'!B102</f>
        <v>158.8</v>
      </c>
      <c r="D102" s="113">
        <f>'Month &amp; Hour Data'!C102</f>
        <v>6.9</v>
      </c>
      <c r="E102" s="478">
        <f>'Month &amp; Hour Data'!H102</f>
        <v>1.0877495392558223</v>
      </c>
      <c r="F102" s="114">
        <f>'Month &amp; Hour Data'!D102</f>
        <v>31</v>
      </c>
      <c r="G102" s="114">
        <f>'Month &amp; Hour Data'!E102</f>
        <v>1</v>
      </c>
      <c r="H102" s="114">
        <f>'Month &amp; Hour Data'!F102</f>
        <v>0</v>
      </c>
      <c r="I102" s="115">
        <f>Population!Y7</f>
        <v>471250.00000000023</v>
      </c>
      <c r="J102" s="114">
        <f>'Month &amp; Hour Data'!G102</f>
        <v>320</v>
      </c>
      <c r="K102" s="115">
        <f t="shared" si="3"/>
        <v>296991504.34692174</v>
      </c>
      <c r="L102" s="115">
        <f t="shared" si="4"/>
        <v>17442243.634041727</v>
      </c>
      <c r="M102" s="515">
        <f t="shared" si="5"/>
        <v>0.06239416834643802</v>
      </c>
    </row>
    <row r="103" spans="1:13" ht="12.75">
      <c r="A103" s="112">
        <v>39965</v>
      </c>
      <c r="B103" s="424">
        <f>'Purchased kWh'!S102</f>
        <v>301280402.76728004</v>
      </c>
      <c r="C103" s="113">
        <f>'Month &amp; Hour Data'!B103</f>
        <v>49.3</v>
      </c>
      <c r="D103" s="113">
        <f>'Month &amp; Hour Data'!C103</f>
        <v>34.2</v>
      </c>
      <c r="E103" s="478">
        <f>'Month &amp; Hour Data'!H103</f>
        <v>1.0813901190508566</v>
      </c>
      <c r="F103" s="114">
        <f>'Month &amp; Hour Data'!D103</f>
        <v>30</v>
      </c>
      <c r="G103" s="114">
        <f>'Month &amp; Hour Data'!E103</f>
        <v>0</v>
      </c>
      <c r="H103" s="114">
        <f>'Month &amp; Hour Data'!F103</f>
        <v>0</v>
      </c>
      <c r="I103" s="115">
        <f>Population!Y8</f>
        <v>472500.00000000023</v>
      </c>
      <c r="J103" s="114">
        <f>'Month &amp; Hour Data'!G103</f>
        <v>352</v>
      </c>
      <c r="K103" s="115">
        <f t="shared" si="3"/>
        <v>310538870.64329755</v>
      </c>
      <c r="L103" s="115">
        <f t="shared" si="4"/>
        <v>9258467.87601751</v>
      </c>
      <c r="M103" s="515">
        <f t="shared" si="5"/>
        <v>0.03073040194774663</v>
      </c>
    </row>
    <row r="104" spans="1:13" ht="12.75">
      <c r="A104" s="112">
        <v>39995</v>
      </c>
      <c r="B104" s="424">
        <f>'Purchased kWh'!S103</f>
        <v>312634481.25512</v>
      </c>
      <c r="C104" s="113">
        <f>'Month &amp; Hour Data'!B104</f>
        <v>6.2</v>
      </c>
      <c r="D104" s="113">
        <f>'Month &amp; Hour Data'!C104</f>
        <v>43.7</v>
      </c>
      <c r="E104" s="478">
        <f>'Month &amp; Hour Data'!H104</f>
        <v>1.070936822088944</v>
      </c>
      <c r="F104" s="114">
        <f>'Month &amp; Hour Data'!D104</f>
        <v>31</v>
      </c>
      <c r="G104" s="114">
        <f>'Month &amp; Hour Data'!E104</f>
        <v>0</v>
      </c>
      <c r="H104" s="114">
        <f>'Month &amp; Hour Data'!F104</f>
        <v>0</v>
      </c>
      <c r="I104" s="115">
        <f>Population!Y9</f>
        <v>473750.00000000023</v>
      </c>
      <c r="J104" s="114">
        <f>'Month &amp; Hour Data'!G104</f>
        <v>352</v>
      </c>
      <c r="K104" s="115">
        <f t="shared" si="3"/>
        <v>316665022.71461856</v>
      </c>
      <c r="L104" s="115">
        <f t="shared" si="4"/>
        <v>4030541.4594985843</v>
      </c>
      <c r="M104" s="515">
        <f t="shared" si="5"/>
        <v>0.012892184647443064</v>
      </c>
    </row>
    <row r="105" spans="1:13" ht="12.75">
      <c r="A105" s="112">
        <v>40026</v>
      </c>
      <c r="B105" s="424">
        <f>'Purchased kWh'!S104</f>
        <v>342969586.97349995</v>
      </c>
      <c r="C105" s="113">
        <f>'Month &amp; Hour Data'!B105</f>
        <v>9.8</v>
      </c>
      <c r="D105" s="113">
        <f>'Month &amp; Hour Data'!C105</f>
        <v>91</v>
      </c>
      <c r="E105" s="478">
        <f>'Month &amp; Hour Data'!H105</f>
        <v>1.0846848844531003</v>
      </c>
      <c r="F105" s="114">
        <f>'Month &amp; Hour Data'!D105</f>
        <v>31</v>
      </c>
      <c r="G105" s="114">
        <f>'Month &amp; Hour Data'!E105</f>
        <v>0</v>
      </c>
      <c r="H105" s="114">
        <f>'Month &amp; Hour Data'!F105</f>
        <v>0</v>
      </c>
      <c r="I105" s="115">
        <f>Population!Y10</f>
        <v>475000.00000000023</v>
      </c>
      <c r="J105" s="114">
        <f>'Month &amp; Hour Data'!G105</f>
        <v>320</v>
      </c>
      <c r="K105" s="115">
        <f t="shared" si="3"/>
        <v>336078428.8259522</v>
      </c>
      <c r="L105" s="115">
        <f t="shared" si="4"/>
        <v>-6891158.1475477815</v>
      </c>
      <c r="M105" s="515">
        <f t="shared" si="5"/>
        <v>-0.020092621647178985</v>
      </c>
    </row>
    <row r="106" spans="1:13" ht="12.75">
      <c r="A106" s="112">
        <v>40057</v>
      </c>
      <c r="B106" s="424">
        <f>'Purchased kWh'!S105</f>
        <v>305441230.4</v>
      </c>
      <c r="C106" s="113">
        <f>'Month &amp; Hour Data'!B106</f>
        <v>55.2</v>
      </c>
      <c r="D106" s="113">
        <f>'Month &amp; Hour Data'!C106</f>
        <v>20.9</v>
      </c>
      <c r="E106" s="478">
        <f>'Month &amp; Hour Data'!H106</f>
        <v>1.1078005401323345</v>
      </c>
      <c r="F106" s="114">
        <f>'Month &amp; Hour Data'!D106</f>
        <v>30</v>
      </c>
      <c r="G106" s="114">
        <f>'Month &amp; Hour Data'!E106</f>
        <v>1</v>
      </c>
      <c r="H106" s="114">
        <f>'Month &amp; Hour Data'!F106</f>
        <v>0</v>
      </c>
      <c r="I106" s="115">
        <f>Population!Y11</f>
        <v>476250.00000000023</v>
      </c>
      <c r="J106" s="114">
        <f>'Month &amp; Hour Data'!G106</f>
        <v>336</v>
      </c>
      <c r="K106" s="115">
        <f t="shared" si="3"/>
        <v>299633118.55247164</v>
      </c>
      <c r="L106" s="115">
        <f t="shared" si="4"/>
        <v>-5808111.847528338</v>
      </c>
      <c r="M106" s="515">
        <f t="shared" si="5"/>
        <v>-0.019015480784706593</v>
      </c>
    </row>
    <row r="107" spans="1:13" ht="12.75">
      <c r="A107" s="112">
        <v>40087</v>
      </c>
      <c r="B107" s="424">
        <f>'Purchased kWh'!S106</f>
        <v>307520270</v>
      </c>
      <c r="C107" s="113">
        <f>'Month &amp; Hour Data'!B107</f>
        <v>287.8</v>
      </c>
      <c r="D107" s="113">
        <f>'Month &amp; Hour Data'!C107</f>
        <v>0</v>
      </c>
      <c r="E107" s="478">
        <f>'Month &amp; Hour Data'!H107</f>
        <v>1.0883038966092158</v>
      </c>
      <c r="F107" s="114">
        <f>'Month &amp; Hour Data'!D107</f>
        <v>31</v>
      </c>
      <c r="G107" s="114">
        <f>'Month &amp; Hour Data'!E107</f>
        <v>1</v>
      </c>
      <c r="H107" s="114">
        <f>'Month &amp; Hour Data'!F107</f>
        <v>0</v>
      </c>
      <c r="I107" s="115">
        <f>Population!Y12</f>
        <v>477500.00000000023</v>
      </c>
      <c r="J107" s="114">
        <f>'Month &amp; Hour Data'!G107</f>
        <v>336</v>
      </c>
      <c r="K107" s="115">
        <f t="shared" si="3"/>
        <v>303470392.8685211</v>
      </c>
      <c r="L107" s="115">
        <f t="shared" si="4"/>
        <v>-4049877.1314789057</v>
      </c>
      <c r="M107" s="515">
        <f t="shared" si="5"/>
        <v>-0.0131694640209535</v>
      </c>
    </row>
    <row r="108" spans="1:13" ht="12.75">
      <c r="A108" s="112">
        <v>40118</v>
      </c>
      <c r="B108" s="424">
        <f>'Purchased kWh'!S107</f>
        <v>303012735.71912</v>
      </c>
      <c r="C108" s="113">
        <f>'Month &amp; Hour Data'!B108</f>
        <v>361.2</v>
      </c>
      <c r="D108" s="113">
        <f>'Month &amp; Hour Data'!C108</f>
        <v>0</v>
      </c>
      <c r="E108" s="478">
        <f>'Month &amp; Hour Data'!H108</f>
        <v>1.0991881279665963</v>
      </c>
      <c r="F108" s="114">
        <f>'Month &amp; Hour Data'!D108</f>
        <v>30</v>
      </c>
      <c r="G108" s="114">
        <f>'Month &amp; Hour Data'!E108</f>
        <v>1</v>
      </c>
      <c r="H108" s="114">
        <f>'Month &amp; Hour Data'!F108</f>
        <v>0</v>
      </c>
      <c r="I108" s="115">
        <f>Population!Y13</f>
        <v>478750.00000000023</v>
      </c>
      <c r="J108" s="114">
        <f>'Month &amp; Hour Data'!G108</f>
        <v>320</v>
      </c>
      <c r="K108" s="115">
        <f t="shared" si="3"/>
        <v>300322276.19577307</v>
      </c>
      <c r="L108" s="115">
        <f t="shared" si="4"/>
        <v>-2690459.5233469605</v>
      </c>
      <c r="M108" s="515">
        <f t="shared" si="5"/>
        <v>-0.008879031163366356</v>
      </c>
    </row>
    <row r="109" spans="1:13" ht="13.5" thickBot="1">
      <c r="A109" s="112">
        <v>40148</v>
      </c>
      <c r="B109" s="424">
        <f>'Purchased kWh'!S108</f>
        <v>331058360.70839995</v>
      </c>
      <c r="C109" s="113">
        <f>'Month &amp; Hour Data'!B109</f>
        <v>631.3</v>
      </c>
      <c r="D109" s="113">
        <f>'Month &amp; Hour Data'!C109</f>
        <v>0</v>
      </c>
      <c r="E109" s="478">
        <f>'Month &amp; Hour Data'!H109</f>
        <v>1.0765054985973712</v>
      </c>
      <c r="F109" s="114">
        <f>'Month &amp; Hour Data'!D109</f>
        <v>31</v>
      </c>
      <c r="G109" s="114">
        <f>'Month &amp; Hour Data'!E109</f>
        <v>0</v>
      </c>
      <c r="H109" s="114">
        <f>'Month &amp; Hour Data'!F109</f>
        <v>0</v>
      </c>
      <c r="I109" s="115">
        <f>Population!Y14</f>
        <v>480000.00000000023</v>
      </c>
      <c r="J109" s="114">
        <f>'Month &amp; Hour Data'!G109</f>
        <v>352</v>
      </c>
      <c r="K109" s="115">
        <f t="shared" si="3"/>
        <v>331298701.18917733</v>
      </c>
      <c r="L109" s="115">
        <f t="shared" si="4"/>
        <v>240340.48077738285</v>
      </c>
      <c r="M109" s="515">
        <f t="shared" si="5"/>
        <v>0.0007259761700719516</v>
      </c>
    </row>
    <row r="110" spans="1:13" ht="12.75">
      <c r="A110" s="112">
        <v>40179</v>
      </c>
      <c r="B110" s="409"/>
      <c r="C110" s="549">
        <f>'Month &amp; Hour Data'!B110</f>
        <v>726.4066666666666</v>
      </c>
      <c r="D110" s="550">
        <f>'Month &amp; Hour Data'!C110</f>
        <v>0</v>
      </c>
      <c r="E110" s="478">
        <f>'Month &amp; Hour Data'!H110</f>
        <v>1.0788981691010793</v>
      </c>
      <c r="F110" s="114">
        <f>'Month &amp; Hour Data'!D110</f>
        <v>31</v>
      </c>
      <c r="G110" s="114">
        <f>'Month &amp; Hour Data'!E110</f>
        <v>0</v>
      </c>
      <c r="H110" s="114">
        <f>'Month &amp; Hour Data'!F110</f>
        <v>0</v>
      </c>
      <c r="I110" s="483">
        <f>Population!Z3</f>
        <v>481333.33333333355</v>
      </c>
      <c r="J110" s="114">
        <f>'Month &amp; Hour Data'!G110</f>
        <v>320</v>
      </c>
      <c r="K110" s="512">
        <f t="shared" si="3"/>
        <v>331487140.65439266</v>
      </c>
      <c r="L110" s="115">
        <f t="shared" si="4"/>
        <v>331487140.65439266</v>
      </c>
      <c r="M110" s="515"/>
    </row>
    <row r="111" spans="1:13" ht="12.75">
      <c r="A111" s="112">
        <v>40210</v>
      </c>
      <c r="B111" s="409"/>
      <c r="C111" s="551">
        <f>'Month &amp; Hour Data'!B111</f>
        <v>639.62</v>
      </c>
      <c r="D111" s="552">
        <f>'Month &amp; Hour Data'!C111</f>
        <v>0</v>
      </c>
      <c r="E111" s="478">
        <f>'Month &amp; Hour Data'!H111</f>
        <v>1.0812961576195552</v>
      </c>
      <c r="F111" s="114">
        <f>'Month &amp; Hour Data'!D111</f>
        <v>28</v>
      </c>
      <c r="G111" s="114">
        <f>'Month &amp; Hour Data'!E111</f>
        <v>0</v>
      </c>
      <c r="H111" s="114">
        <f>'Month &amp; Hour Data'!F111</f>
        <v>0</v>
      </c>
      <c r="I111" s="483">
        <f>Population!Z4</f>
        <v>482666.66666666686</v>
      </c>
      <c r="J111" s="114">
        <f>'Month &amp; Hour Data'!G111</f>
        <v>304</v>
      </c>
      <c r="K111" s="513">
        <f t="shared" si="3"/>
        <v>301601735.1614676</v>
      </c>
      <c r="L111" s="115">
        <f t="shared" si="4"/>
        <v>301601735.1614676</v>
      </c>
      <c r="M111" s="515"/>
    </row>
    <row r="112" spans="1:13" ht="12.75">
      <c r="A112" s="112">
        <v>40238</v>
      </c>
      <c r="B112" s="409"/>
      <c r="C112" s="551">
        <f>'Month &amp; Hour Data'!B112</f>
        <v>559.5466666666666</v>
      </c>
      <c r="D112" s="552">
        <f>'Month &amp; Hour Data'!C112</f>
        <v>0</v>
      </c>
      <c r="E112" s="478">
        <f>'Month &amp; Hour Data'!H112</f>
        <v>1.083699475972764</v>
      </c>
      <c r="F112" s="114">
        <f>'Month &amp; Hour Data'!D112</f>
        <v>31</v>
      </c>
      <c r="G112" s="114">
        <f>'Month &amp; Hour Data'!E112</f>
        <v>1</v>
      </c>
      <c r="H112" s="114">
        <f>'Month &amp; Hour Data'!F112</f>
        <v>0</v>
      </c>
      <c r="I112" s="483">
        <f>Population!Z5</f>
        <v>484000.0000000002</v>
      </c>
      <c r="J112" s="114">
        <f>'Month &amp; Hour Data'!G112</f>
        <v>368</v>
      </c>
      <c r="K112" s="513">
        <f t="shared" si="3"/>
        <v>320732956.73262656</v>
      </c>
      <c r="L112" s="115">
        <f t="shared" si="4"/>
        <v>320732956.73262656</v>
      </c>
      <c r="M112" s="515"/>
    </row>
    <row r="113" spans="1:13" ht="12.75">
      <c r="A113" s="112">
        <v>40269</v>
      </c>
      <c r="B113" s="409"/>
      <c r="C113" s="551">
        <f>'Month &amp; Hour Data'!B113</f>
        <v>331.78000000000003</v>
      </c>
      <c r="D113" s="552">
        <f>'Month &amp; Hour Data'!C113</f>
        <v>1.3266666666666669</v>
      </c>
      <c r="E113" s="478">
        <f>'Month &amp; Hour Data'!H113</f>
        <v>1.0861081360069416</v>
      </c>
      <c r="F113" s="114">
        <f>'Month &amp; Hour Data'!D113</f>
        <v>30</v>
      </c>
      <c r="G113" s="114">
        <f>'Month &amp; Hour Data'!E113</f>
        <v>1</v>
      </c>
      <c r="H113" s="114">
        <f>'Month &amp; Hour Data'!F113</f>
        <v>0</v>
      </c>
      <c r="I113" s="483">
        <f>Population!Z6</f>
        <v>485333.3333333335</v>
      </c>
      <c r="J113" s="114">
        <f>'Month &amp; Hour Data'!G113</f>
        <v>320</v>
      </c>
      <c r="K113" s="513">
        <f t="shared" si="3"/>
        <v>294963923.26128566</v>
      </c>
      <c r="L113" s="115">
        <f t="shared" si="4"/>
        <v>294963923.26128566</v>
      </c>
      <c r="M113" s="515"/>
    </row>
    <row r="114" spans="1:13" ht="12.75">
      <c r="A114" s="112">
        <v>40299</v>
      </c>
      <c r="B114" s="409"/>
      <c r="C114" s="551">
        <f>'Month &amp; Hour Data'!B114</f>
        <v>165.23666666666665</v>
      </c>
      <c r="D114" s="552">
        <f>'Month &amp; Hour Data'!C114</f>
        <v>11.956666666666663</v>
      </c>
      <c r="E114" s="478">
        <f>'Month &amp; Hour Data'!H114</f>
        <v>1.0885221495946538</v>
      </c>
      <c r="F114" s="114">
        <f>'Month &amp; Hour Data'!D114</f>
        <v>31</v>
      </c>
      <c r="G114" s="114">
        <f>'Month &amp; Hour Data'!E114</f>
        <v>1</v>
      </c>
      <c r="H114" s="114">
        <f>'Month &amp; Hour Data'!F114</f>
        <v>0</v>
      </c>
      <c r="I114" s="483">
        <f>Population!Z7</f>
        <v>486666.6666666668</v>
      </c>
      <c r="J114" s="114">
        <f>'Month &amp; Hour Data'!G114</f>
        <v>320</v>
      </c>
      <c r="K114" s="513">
        <f t="shared" si="3"/>
        <v>300007470.8413212</v>
      </c>
      <c r="L114" s="115">
        <f t="shared" si="4"/>
        <v>300007470.8413212</v>
      </c>
      <c r="M114" s="515"/>
    </row>
    <row r="115" spans="1:13" ht="12.75">
      <c r="A115" s="112">
        <v>40330</v>
      </c>
      <c r="B115" s="409"/>
      <c r="C115" s="551">
        <f>'Month &amp; Hour Data'!B115</f>
        <v>41.693333333333335</v>
      </c>
      <c r="D115" s="552">
        <f>'Month &amp; Hour Data'!C115</f>
        <v>55.49</v>
      </c>
      <c r="E115" s="478">
        <f>'Month &amp; Hour Data'!H115</f>
        <v>1.0909415286348552</v>
      </c>
      <c r="F115" s="114">
        <f>'Month &amp; Hour Data'!D115</f>
        <v>30</v>
      </c>
      <c r="G115" s="114">
        <f>'Month &amp; Hour Data'!E115</f>
        <v>0</v>
      </c>
      <c r="H115" s="114">
        <f>'Month &amp; Hour Data'!F115</f>
        <v>0</v>
      </c>
      <c r="I115" s="483">
        <f>Population!Z8</f>
        <v>488000.0000000001</v>
      </c>
      <c r="J115" s="114">
        <f>'Month &amp; Hour Data'!G115</f>
        <v>352</v>
      </c>
      <c r="K115" s="513">
        <f t="shared" si="3"/>
        <v>322726399.40886885</v>
      </c>
      <c r="L115" s="115">
        <f t="shared" si="4"/>
        <v>322726399.40886885</v>
      </c>
      <c r="M115" s="515"/>
    </row>
    <row r="116" spans="1:13" ht="12.75">
      <c r="A116" s="112">
        <v>40360</v>
      </c>
      <c r="B116" s="409"/>
      <c r="C116" s="551">
        <f>'Month &amp; Hour Data'!B116</f>
        <v>5.52</v>
      </c>
      <c r="D116" s="552">
        <f>'Month &amp; Hour Data'!C116</f>
        <v>109.36333333333334</v>
      </c>
      <c r="E116" s="478">
        <f>'Month &amp; Hour Data'!H116</f>
        <v>1.0933662850529466</v>
      </c>
      <c r="F116" s="114">
        <f>'Month &amp; Hour Data'!D116</f>
        <v>31</v>
      </c>
      <c r="G116" s="114">
        <f>'Month &amp; Hour Data'!E116</f>
        <v>0</v>
      </c>
      <c r="H116" s="114">
        <f>'Month &amp; Hour Data'!F116</f>
        <v>0</v>
      </c>
      <c r="I116" s="483">
        <f>Population!Z9</f>
        <v>489333.33333333343</v>
      </c>
      <c r="J116" s="114">
        <f>'Month &amp; Hour Data'!G116</f>
        <v>336</v>
      </c>
      <c r="K116" s="513">
        <f t="shared" si="3"/>
        <v>349560547.9359643</v>
      </c>
      <c r="L116" s="115">
        <f t="shared" si="4"/>
        <v>349560547.9359643</v>
      </c>
      <c r="M116" s="515"/>
    </row>
    <row r="117" spans="1:13" ht="12.75">
      <c r="A117" s="112">
        <v>40391</v>
      </c>
      <c r="B117" s="409"/>
      <c r="C117" s="551">
        <f>'Month &amp; Hour Data'!B117</f>
        <v>11.943333333333335</v>
      </c>
      <c r="D117" s="552">
        <f>'Month &amp; Hour Data'!C117</f>
        <v>89.85333333333331</v>
      </c>
      <c r="E117" s="478">
        <f>'Month &amp; Hour Data'!H117</f>
        <v>1.095796430800835</v>
      </c>
      <c r="F117" s="114">
        <f>'Month &amp; Hour Data'!D117</f>
        <v>31</v>
      </c>
      <c r="G117" s="114">
        <f>'Month &amp; Hour Data'!E117</f>
        <v>0</v>
      </c>
      <c r="H117" s="114">
        <f>'Month &amp; Hour Data'!F117</f>
        <v>0</v>
      </c>
      <c r="I117" s="483">
        <f>Population!Z10</f>
        <v>490666.66666666674</v>
      </c>
      <c r="J117" s="114">
        <f>'Month &amp; Hour Data'!G117</f>
        <v>336</v>
      </c>
      <c r="K117" s="513">
        <f t="shared" si="3"/>
        <v>342615899.8074903</v>
      </c>
      <c r="L117" s="115">
        <f t="shared" si="4"/>
        <v>342615899.8074903</v>
      </c>
      <c r="M117" s="515"/>
    </row>
    <row r="118" spans="1:13" ht="12.75">
      <c r="A118" s="112">
        <v>40422</v>
      </c>
      <c r="B118" s="409"/>
      <c r="C118" s="551">
        <f>'Month &amp; Hour Data'!B118</f>
        <v>81.22666666666667</v>
      </c>
      <c r="D118" s="552">
        <f>'Month &amp; Hour Data'!C118</f>
        <v>28.24333333333333</v>
      </c>
      <c r="E118" s="478">
        <f>'Month &amp; Hour Data'!H118</f>
        <v>1.098231977856992</v>
      </c>
      <c r="F118" s="114">
        <f>'Month &amp; Hour Data'!D118</f>
        <v>30</v>
      </c>
      <c r="G118" s="114">
        <f>'Month &amp; Hour Data'!E118</f>
        <v>1</v>
      </c>
      <c r="H118" s="114">
        <f>'Month &amp; Hour Data'!F118</f>
        <v>0</v>
      </c>
      <c r="I118" s="483">
        <f>Population!Z11</f>
        <v>492000.00000000006</v>
      </c>
      <c r="J118" s="114">
        <f>'Month &amp; Hour Data'!G118</f>
        <v>336</v>
      </c>
      <c r="K118" s="513">
        <f t="shared" si="3"/>
        <v>300939550.79400206</v>
      </c>
      <c r="L118" s="115">
        <f t="shared" si="4"/>
        <v>300939550.79400206</v>
      </c>
      <c r="M118" s="515"/>
    </row>
    <row r="119" spans="1:13" ht="12.75">
      <c r="A119" s="112">
        <v>40452</v>
      </c>
      <c r="B119" s="409"/>
      <c r="C119" s="551">
        <f>'Month &amp; Hour Data'!B119</f>
        <v>264.96333333333337</v>
      </c>
      <c r="D119" s="552">
        <f>'Month &amp; Hour Data'!C119</f>
        <v>2.1333333333333333</v>
      </c>
      <c r="E119" s="478">
        <f>'Month &amp; Hour Data'!H119</f>
        <v>1.1006729382265128</v>
      </c>
      <c r="F119" s="114">
        <f>'Month &amp; Hour Data'!D119</f>
        <v>31</v>
      </c>
      <c r="G119" s="114">
        <f>'Month &amp; Hour Data'!E119</f>
        <v>1</v>
      </c>
      <c r="H119" s="114">
        <f>'Month &amp; Hour Data'!F119</f>
        <v>0</v>
      </c>
      <c r="I119" s="483">
        <f>Population!Z12</f>
        <v>493333.3333333334</v>
      </c>
      <c r="J119" s="114">
        <f>'Month &amp; Hour Data'!G119</f>
        <v>320</v>
      </c>
      <c r="K119" s="513">
        <f t="shared" si="3"/>
        <v>305227908.61238503</v>
      </c>
      <c r="L119" s="115">
        <f t="shared" si="4"/>
        <v>305227908.61238503</v>
      </c>
      <c r="M119" s="515"/>
    </row>
    <row r="120" spans="1:13" ht="12.75">
      <c r="A120" s="112">
        <v>40483</v>
      </c>
      <c r="B120" s="409"/>
      <c r="C120" s="551">
        <f>'Month &amp; Hour Data'!B120</f>
        <v>426.27666666666664</v>
      </c>
      <c r="D120" s="552">
        <f>'Month &amp; Hour Data'!C120</f>
        <v>0</v>
      </c>
      <c r="E120" s="478">
        <f>'Month &amp; Hour Data'!H120</f>
        <v>1.1031193239411752</v>
      </c>
      <c r="F120" s="114">
        <f>'Month &amp; Hour Data'!D120</f>
        <v>30</v>
      </c>
      <c r="G120" s="114">
        <f>'Month &amp; Hour Data'!E120</f>
        <v>1</v>
      </c>
      <c r="H120" s="114">
        <f>'Month &amp; Hour Data'!F120</f>
        <v>0</v>
      </c>
      <c r="I120" s="483">
        <f>Population!Z13</f>
        <v>494666.6666666667</v>
      </c>
      <c r="J120" s="114">
        <f>'Month &amp; Hour Data'!G120</f>
        <v>336</v>
      </c>
      <c r="K120" s="513">
        <f t="shared" si="3"/>
        <v>307918595.507627</v>
      </c>
      <c r="L120" s="115">
        <f t="shared" si="4"/>
        <v>307918595.507627</v>
      </c>
      <c r="M120" s="515"/>
    </row>
    <row r="121" spans="1:13" ht="12.75">
      <c r="A121" s="112">
        <v>40513</v>
      </c>
      <c r="B121" s="409"/>
      <c r="C121" s="551">
        <f>'Month &amp; Hour Data'!B121</f>
        <v>620.89</v>
      </c>
      <c r="D121" s="552">
        <f>'Month &amp; Hour Data'!C121</f>
        <v>0</v>
      </c>
      <c r="E121" s="478">
        <f>'Month &amp; Hour Data'!H121</f>
        <v>1.1055711470594995</v>
      </c>
      <c r="F121" s="114">
        <f>'Month &amp; Hour Data'!D121</f>
        <v>31</v>
      </c>
      <c r="G121" s="114">
        <f>'Month &amp; Hour Data'!E121</f>
        <v>0</v>
      </c>
      <c r="H121" s="114">
        <f>'Month &amp; Hour Data'!F121</f>
        <v>0</v>
      </c>
      <c r="I121" s="483">
        <f>Population!Z14</f>
        <v>496000</v>
      </c>
      <c r="J121" s="114">
        <f>'Month &amp; Hour Data'!G121</f>
        <v>368</v>
      </c>
      <c r="K121" s="513">
        <f t="shared" si="3"/>
        <v>344015329.6332477</v>
      </c>
      <c r="L121" s="115">
        <f t="shared" si="4"/>
        <v>344015329.6332477</v>
      </c>
      <c r="M121" s="515"/>
    </row>
    <row r="122" spans="1:13" ht="12.75">
      <c r="A122" s="112">
        <v>40544</v>
      </c>
      <c r="B122" s="409"/>
      <c r="C122" s="551">
        <f>'Month &amp; Hour Data'!B122</f>
        <v>726.4066666666666</v>
      </c>
      <c r="D122" s="552">
        <f>'Month &amp; Hour Data'!C122</f>
        <v>0</v>
      </c>
      <c r="E122" s="478">
        <f>'Month &amp; Hour Data'!H122</f>
        <v>1.1084769605658817</v>
      </c>
      <c r="F122" s="114">
        <f>'Month &amp; Hour Data'!D122</f>
        <v>31</v>
      </c>
      <c r="G122" s="114">
        <f>'Month &amp; Hour Data'!E122</f>
        <v>0</v>
      </c>
      <c r="H122" s="114">
        <f>'Month &amp; Hour Data'!F122</f>
        <v>0</v>
      </c>
      <c r="I122" s="115">
        <f>Population!AA3</f>
        <v>497250</v>
      </c>
      <c r="J122" s="114">
        <f>'Month &amp; Hour Data'!G122</f>
        <v>320</v>
      </c>
      <c r="K122" s="513">
        <f t="shared" si="3"/>
        <v>342213075.7749833</v>
      </c>
      <c r="L122" s="115">
        <f t="shared" si="4"/>
        <v>342213075.7749833</v>
      </c>
      <c r="M122" s="515"/>
    </row>
    <row r="123" spans="1:13" ht="12.75">
      <c r="A123" s="112">
        <v>40575</v>
      </c>
      <c r="B123" s="409"/>
      <c r="C123" s="551">
        <f>'Month &amp; Hour Data'!B123</f>
        <v>639.62</v>
      </c>
      <c r="D123" s="552">
        <f>'Month &amp; Hour Data'!C123</f>
        <v>0</v>
      </c>
      <c r="E123" s="478">
        <f>'Month &amp; Hour Data'!H123</f>
        <v>1.111390411529298</v>
      </c>
      <c r="F123" s="114">
        <f>'Month &amp; Hour Data'!D123</f>
        <v>28</v>
      </c>
      <c r="G123" s="114">
        <f>'Month &amp; Hour Data'!E123</f>
        <v>0</v>
      </c>
      <c r="H123" s="114">
        <f>'Month &amp; Hour Data'!F123</f>
        <v>0</v>
      </c>
      <c r="I123" s="115">
        <f>Population!AA4</f>
        <v>498500</v>
      </c>
      <c r="J123" s="114">
        <f>'Month &amp; Hour Data'!G123</f>
        <v>304</v>
      </c>
      <c r="K123" s="513">
        <f t="shared" si="3"/>
        <v>312507174.53937846</v>
      </c>
      <c r="L123" s="115">
        <f t="shared" si="4"/>
        <v>312507174.53937846</v>
      </c>
      <c r="M123" s="515"/>
    </row>
    <row r="124" spans="1:13" ht="12.75">
      <c r="A124" s="112">
        <v>40603</v>
      </c>
      <c r="B124" s="409"/>
      <c r="C124" s="551">
        <f>'Month &amp; Hour Data'!B124</f>
        <v>559.5466666666666</v>
      </c>
      <c r="D124" s="552">
        <f>'Month &amp; Hour Data'!C124</f>
        <v>0</v>
      </c>
      <c r="E124" s="478">
        <f>'Month &amp; Hour Data'!H124</f>
        <v>1.1143115200235592</v>
      </c>
      <c r="F124" s="114">
        <f>'Month &amp; Hour Data'!D124</f>
        <v>31</v>
      </c>
      <c r="G124" s="114">
        <f>'Month &amp; Hour Data'!E124</f>
        <v>1</v>
      </c>
      <c r="H124" s="114">
        <f>'Month &amp; Hour Data'!F124</f>
        <v>0</v>
      </c>
      <c r="I124" s="115">
        <f>Population!AA5</f>
        <v>499750</v>
      </c>
      <c r="J124" s="114">
        <f>'Month &amp; Hour Data'!G124</f>
        <v>368</v>
      </c>
      <c r="K124" s="513">
        <f t="shared" si="3"/>
        <v>331818718.6977335</v>
      </c>
      <c r="L124" s="115">
        <f t="shared" si="4"/>
        <v>331818718.6977335</v>
      </c>
      <c r="M124" s="515"/>
    </row>
    <row r="125" spans="1:13" ht="12.75">
      <c r="A125" s="112">
        <v>40634</v>
      </c>
      <c r="B125" s="409"/>
      <c r="C125" s="551">
        <f>'Month &amp; Hour Data'!B125</f>
        <v>331.78000000000003</v>
      </c>
      <c r="D125" s="552">
        <f>'Month &amp; Hour Data'!C125</f>
        <v>1.3266666666666669</v>
      </c>
      <c r="E125" s="478">
        <f>'Month &amp; Hour Data'!H125</f>
        <v>1.1172403061752363</v>
      </c>
      <c r="F125" s="114">
        <f>'Month &amp; Hour Data'!D125</f>
        <v>30</v>
      </c>
      <c r="G125" s="114">
        <f>'Month &amp; Hour Data'!E125</f>
        <v>1</v>
      </c>
      <c r="H125" s="114">
        <f>'Month &amp; Hour Data'!F125</f>
        <v>0</v>
      </c>
      <c r="I125" s="115">
        <f>Population!AA6</f>
        <v>501000</v>
      </c>
      <c r="J125" s="114">
        <f>'Month &amp; Hour Data'!G125</f>
        <v>304</v>
      </c>
      <c r="K125" s="513">
        <f t="shared" si="3"/>
        <v>303548753.3253379</v>
      </c>
      <c r="L125" s="115">
        <f t="shared" si="4"/>
        <v>303548753.3253379</v>
      </c>
      <c r="M125" s="515"/>
    </row>
    <row r="126" spans="1:13" ht="12.75">
      <c r="A126" s="112">
        <v>40664</v>
      </c>
      <c r="B126" s="409"/>
      <c r="C126" s="551">
        <f>'Month &amp; Hour Data'!B126</f>
        <v>165.23666666666665</v>
      </c>
      <c r="D126" s="552">
        <f>'Month &amp; Hour Data'!C126</f>
        <v>11.956666666666663</v>
      </c>
      <c r="E126" s="478">
        <f>'Month &amp; Hour Data'!H126</f>
        <v>1.1201767901638005</v>
      </c>
      <c r="F126" s="114">
        <f>'Month &amp; Hour Data'!D126</f>
        <v>31</v>
      </c>
      <c r="G126" s="114">
        <f>'Month &amp; Hour Data'!E126</f>
        <v>1</v>
      </c>
      <c r="H126" s="114">
        <f>'Month &amp; Hour Data'!F126</f>
        <v>0</v>
      </c>
      <c r="I126" s="115">
        <f>Population!AA7</f>
        <v>502250</v>
      </c>
      <c r="J126" s="114">
        <f>'Month &amp; Hour Data'!G126</f>
        <v>336</v>
      </c>
      <c r="K126" s="513">
        <f t="shared" si="3"/>
        <v>314138420.35317844</v>
      </c>
      <c r="L126" s="115">
        <f t="shared" si="4"/>
        <v>314138420.35317844</v>
      </c>
      <c r="M126" s="515"/>
    </row>
    <row r="127" spans="1:13" ht="12.75">
      <c r="A127" s="112">
        <v>40695</v>
      </c>
      <c r="B127" s="409"/>
      <c r="C127" s="551">
        <f>'Month &amp; Hour Data'!B127</f>
        <v>41.693333333333335</v>
      </c>
      <c r="D127" s="552">
        <f>'Month &amp; Hour Data'!C127</f>
        <v>55.49</v>
      </c>
      <c r="E127" s="478">
        <f>'Month &amp; Hour Data'!H127</f>
        <v>1.1231209922217607</v>
      </c>
      <c r="F127" s="114">
        <f>'Month &amp; Hour Data'!D127</f>
        <v>30</v>
      </c>
      <c r="G127" s="114">
        <f>'Month &amp; Hour Data'!E127</f>
        <v>0</v>
      </c>
      <c r="H127" s="114">
        <f>'Month &amp; Hour Data'!F127</f>
        <v>0</v>
      </c>
      <c r="I127" s="115">
        <f>Population!AA8</f>
        <v>503500</v>
      </c>
      <c r="J127" s="114">
        <f>'Month &amp; Hour Data'!G127</f>
        <v>352</v>
      </c>
      <c r="K127" s="513">
        <f t="shared" si="3"/>
        <v>334358068.2720775</v>
      </c>
      <c r="L127" s="115">
        <f t="shared" si="4"/>
        <v>334358068.2720775</v>
      </c>
      <c r="M127" s="515"/>
    </row>
    <row r="128" spans="1:13" ht="12.75">
      <c r="A128" s="112">
        <v>40725</v>
      </c>
      <c r="B128" s="409"/>
      <c r="C128" s="551">
        <f>'Month &amp; Hour Data'!B128</f>
        <v>5.52</v>
      </c>
      <c r="D128" s="552">
        <f>'Month &amp; Hour Data'!C128</f>
        <v>109.36333333333334</v>
      </c>
      <c r="E128" s="478">
        <f>'Month &amp; Hour Data'!H128</f>
        <v>1.126072932634804</v>
      </c>
      <c r="F128" s="114">
        <f>'Month &amp; Hour Data'!D128</f>
        <v>31</v>
      </c>
      <c r="G128" s="114">
        <f>'Month &amp; Hour Data'!E128</f>
        <v>0</v>
      </c>
      <c r="H128" s="114">
        <f>'Month &amp; Hour Data'!F128</f>
        <v>0</v>
      </c>
      <c r="I128" s="115">
        <f>Population!AA9</f>
        <v>504750</v>
      </c>
      <c r="J128" s="114">
        <f>'Month &amp; Hour Data'!G128</f>
        <v>320</v>
      </c>
      <c r="K128" s="513">
        <f t="shared" si="3"/>
        <v>358693766.1807689</v>
      </c>
      <c r="L128" s="115">
        <f t="shared" si="4"/>
        <v>358693766.1807689</v>
      </c>
      <c r="M128" s="515"/>
    </row>
    <row r="129" spans="1:13" ht="12.75">
      <c r="A129" s="112">
        <v>40756</v>
      </c>
      <c r="B129" s="409"/>
      <c r="C129" s="551">
        <f>'Month &amp; Hour Data'!B129</f>
        <v>11.943333333333335</v>
      </c>
      <c r="D129" s="552">
        <f>'Month &amp; Hour Data'!C129</f>
        <v>89.85333333333331</v>
      </c>
      <c r="E129" s="478">
        <f>'Month &amp; Hour Data'!H129</f>
        <v>1.1290326317419348</v>
      </c>
      <c r="F129" s="114">
        <f>'Month &amp; Hour Data'!D129</f>
        <v>31</v>
      </c>
      <c r="G129" s="114">
        <f>'Month &amp; Hour Data'!E129</f>
        <v>0</v>
      </c>
      <c r="H129" s="114">
        <f>'Month &amp; Hour Data'!F129</f>
        <v>0</v>
      </c>
      <c r="I129" s="115">
        <f>Population!AA10</f>
        <v>506000</v>
      </c>
      <c r="J129" s="114">
        <f>'Month &amp; Hour Data'!G129</f>
        <v>352</v>
      </c>
      <c r="K129" s="513">
        <f t="shared" si="3"/>
        <v>357297727.6002597</v>
      </c>
      <c r="L129" s="115">
        <f t="shared" si="4"/>
        <v>357297727.6002597</v>
      </c>
      <c r="M129" s="515"/>
    </row>
    <row r="130" spans="1:13" ht="12.75">
      <c r="A130" s="112">
        <v>40787</v>
      </c>
      <c r="B130" s="409"/>
      <c r="C130" s="551">
        <f>'Month &amp; Hour Data'!B130</f>
        <v>81.22666666666667</v>
      </c>
      <c r="D130" s="552">
        <f>'Month &amp; Hour Data'!C130</f>
        <v>28.24333333333333</v>
      </c>
      <c r="E130" s="478">
        <f>'Month &amp; Hour Data'!H130</f>
        <v>1.132000109935616</v>
      </c>
      <c r="F130" s="114">
        <f>'Month &amp; Hour Data'!D130</f>
        <v>30</v>
      </c>
      <c r="G130" s="114">
        <f>'Month &amp; Hour Data'!E130</f>
        <v>1</v>
      </c>
      <c r="H130" s="114">
        <f>'Month &amp; Hour Data'!F130</f>
        <v>0</v>
      </c>
      <c r="I130" s="115">
        <f>Population!AA11</f>
        <v>507250</v>
      </c>
      <c r="J130" s="114">
        <f>'Month &amp; Hour Data'!G130</f>
        <v>336</v>
      </c>
      <c r="K130" s="513">
        <f t="shared" si="3"/>
        <v>313124596.8840699</v>
      </c>
      <c r="L130" s="115">
        <f t="shared" si="4"/>
        <v>313124596.8840699</v>
      </c>
      <c r="M130" s="515"/>
    </row>
    <row r="131" spans="1:13" ht="12.75">
      <c r="A131" s="112">
        <v>40817</v>
      </c>
      <c r="B131" s="409"/>
      <c r="C131" s="551">
        <f>'Month &amp; Hour Data'!B131</f>
        <v>264.96333333333337</v>
      </c>
      <c r="D131" s="552">
        <f>'Month &amp; Hour Data'!C131</f>
        <v>2.1333333333333333</v>
      </c>
      <c r="E131" s="478">
        <f>'Month &amp; Hour Data'!H131</f>
        <v>1.1349753876619078</v>
      </c>
      <c r="F131" s="114">
        <f>'Month &amp; Hour Data'!D131</f>
        <v>31</v>
      </c>
      <c r="G131" s="114">
        <f>'Month &amp; Hour Data'!E131</f>
        <v>1</v>
      </c>
      <c r="H131" s="114">
        <f>'Month &amp; Hour Data'!F131</f>
        <v>0</v>
      </c>
      <c r="I131" s="115">
        <f>Population!AA12</f>
        <v>508500</v>
      </c>
      <c r="J131" s="114">
        <f>'Month &amp; Hour Data'!G131</f>
        <v>336</v>
      </c>
      <c r="K131" s="513">
        <f>$P$18+(C131*$P$19)+(D131*$P$20)+(E131*$P$21)+(F131*$P$22)+(G131*$P$23)+(H131*$P$24)+(I131*$P$25)+(J131*$P$26)</f>
        <v>320281163.3625055</v>
      </c>
      <c r="L131" s="115">
        <f>K131-B131</f>
        <v>320281163.3625055</v>
      </c>
      <c r="M131" s="515"/>
    </row>
    <row r="132" spans="1:13" ht="12.75">
      <c r="A132" s="112">
        <v>40848</v>
      </c>
      <c r="B132" s="409"/>
      <c r="C132" s="551">
        <f>'Month &amp; Hour Data'!B132</f>
        <v>426.27666666666664</v>
      </c>
      <c r="D132" s="552">
        <f>'Month &amp; Hour Data'!C132</f>
        <v>0</v>
      </c>
      <c r="E132" s="478">
        <f>'Month &amp; Hour Data'!H132</f>
        <v>1.1379584854206104</v>
      </c>
      <c r="F132" s="114">
        <f>'Month &amp; Hour Data'!D132</f>
        <v>30</v>
      </c>
      <c r="G132" s="114">
        <f>'Month &amp; Hour Data'!E132</f>
        <v>1</v>
      </c>
      <c r="H132" s="114">
        <f>'Month &amp; Hour Data'!F132</f>
        <v>0</v>
      </c>
      <c r="I132" s="115">
        <f>Population!AA13</f>
        <v>509750</v>
      </c>
      <c r="J132" s="114">
        <f>'Month &amp; Hour Data'!G132</f>
        <v>352</v>
      </c>
      <c r="K132" s="513">
        <f>$P$18+(C132*$P$19)+(D132*$P$20)+(E132*$P$21)+(F132*$P$22)+(G132*$P$23)+(H132*$P$24)+(I132*$P$25)+(J132*$P$26)</f>
        <v>323158825.0700527</v>
      </c>
      <c r="L132" s="115">
        <f>K132-B132</f>
        <v>323158825.0700527</v>
      </c>
      <c r="M132" s="515"/>
    </row>
    <row r="133" spans="1:13" ht="13.5" thickBot="1">
      <c r="A133" s="112">
        <v>40878</v>
      </c>
      <c r="B133" s="409"/>
      <c r="C133" s="551">
        <f>'Month &amp; Hour Data'!B133</f>
        <v>620.89</v>
      </c>
      <c r="D133" s="552">
        <f>'Month &amp; Hour Data'!C133</f>
        <v>0</v>
      </c>
      <c r="E133" s="478">
        <f>'Month &amp; Hour Data'!H133</f>
        <v>1.1409494237654036</v>
      </c>
      <c r="F133" s="114">
        <f>'Month &amp; Hour Data'!D133</f>
        <v>31</v>
      </c>
      <c r="G133" s="114">
        <f>'Month &amp; Hour Data'!E133</f>
        <v>0</v>
      </c>
      <c r="H133" s="114">
        <f>'Month &amp; Hour Data'!F133</f>
        <v>0</v>
      </c>
      <c r="I133" s="115">
        <f>Population!AA14</f>
        <v>511000</v>
      </c>
      <c r="J133" s="114">
        <f>'Month &amp; Hour Data'!G133</f>
        <v>336</v>
      </c>
      <c r="K133" s="514">
        <f>$P$18+(C133*$P$19)+(D133*$P$20)+(E133*$P$21)+(F133*$P$22)+(G133*$P$23)+(H133*$P$24)+(I133*$P$25)+(J133*$P$26)</f>
        <v>351397151.688449</v>
      </c>
      <c r="L133" s="115">
        <f>K133-B133</f>
        <v>351397151.688449</v>
      </c>
      <c r="M133" s="515"/>
    </row>
    <row r="134" spans="1:6" ht="13.5" thickBot="1">
      <c r="A134" s="121"/>
      <c r="C134" s="707" t="s">
        <v>66</v>
      </c>
      <c r="D134" s="708"/>
      <c r="F134" s="114"/>
    </row>
    <row r="135" spans="1:6" ht="13.5" thickBot="1">
      <c r="A135" s="121"/>
      <c r="C135" s="484"/>
      <c r="D135" s="484"/>
      <c r="F135" s="115"/>
    </row>
    <row r="136" spans="1:6" ht="14.25" customHeight="1">
      <c r="A136" s="486"/>
      <c r="B136" s="487" t="s">
        <v>178</v>
      </c>
      <c r="C136" s="488" t="s">
        <v>179</v>
      </c>
      <c r="D136" s="488" t="s">
        <v>180</v>
      </c>
      <c r="E136" s="489" t="s">
        <v>181</v>
      </c>
      <c r="F136" s="490"/>
    </row>
    <row r="137" spans="1:13" ht="12.75">
      <c r="A137" s="491">
        <v>2001</v>
      </c>
      <c r="B137" s="492">
        <f>SUM(B2:B13)</f>
        <v>3232193977.6353197</v>
      </c>
      <c r="C137" s="424">
        <f>SUM(K2:K13)</f>
        <v>3252396515.479288</v>
      </c>
      <c r="D137" s="493">
        <f>C137-B137</f>
        <v>20202537.84396839</v>
      </c>
      <c r="E137" s="494">
        <f>D137/B137</f>
        <v>0.006250410087933093</v>
      </c>
      <c r="F137" s="490"/>
      <c r="K137" s="110"/>
      <c r="L137" s="495"/>
      <c r="M137" s="496"/>
    </row>
    <row r="138" spans="1:13" ht="12.75">
      <c r="A138" s="470">
        <v>2002</v>
      </c>
      <c r="B138" s="492">
        <f>SUM(B14:B25)</f>
        <v>3441504116.9482536</v>
      </c>
      <c r="C138" s="424">
        <f>SUM(K14:K25)</f>
        <v>3478598924.8765364</v>
      </c>
      <c r="D138" s="493">
        <f aca="true" t="shared" si="6" ref="D138:D145">C138-B138</f>
        <v>37094807.92828274</v>
      </c>
      <c r="E138" s="494">
        <f aca="true" t="shared" si="7" ref="E138:E145">D138/B138</f>
        <v>0.010778661500244398</v>
      </c>
      <c r="F138" s="490"/>
      <c r="K138" s="110"/>
      <c r="L138" s="495"/>
      <c r="M138" s="496"/>
    </row>
    <row r="139" spans="1:13" ht="12.75">
      <c r="A139" s="491">
        <v>2003</v>
      </c>
      <c r="B139" s="492">
        <f>SUM(B26:B37)</f>
        <v>3438503350.56392</v>
      </c>
      <c r="C139" s="424">
        <f>SUM(K26:K37)</f>
        <v>3454916498.841749</v>
      </c>
      <c r="D139" s="493">
        <f t="shared" si="6"/>
        <v>16413148.27782917</v>
      </c>
      <c r="E139" s="494">
        <f t="shared" si="7"/>
        <v>0.004773340783610808</v>
      </c>
      <c r="F139" s="490"/>
      <c r="K139" s="110"/>
      <c r="L139" s="495"/>
      <c r="M139" s="496"/>
    </row>
    <row r="140" spans="1:13" ht="12.75">
      <c r="A140" s="470">
        <v>2004</v>
      </c>
      <c r="B140" s="492">
        <f>SUM(B38:B49)</f>
        <v>3606734354.93256</v>
      </c>
      <c r="C140" s="424">
        <f>SUM(K38:K49)</f>
        <v>3546950265.4681444</v>
      </c>
      <c r="D140" s="493">
        <f t="shared" si="6"/>
        <v>-59784089.46441555</v>
      </c>
      <c r="E140" s="494">
        <f t="shared" si="7"/>
        <v>-0.016575684145591425</v>
      </c>
      <c r="F140" s="490"/>
      <c r="K140" s="110"/>
      <c r="L140" s="495"/>
      <c r="M140" s="496"/>
    </row>
    <row r="141" spans="1:13" ht="12.75">
      <c r="A141" s="491">
        <v>2005</v>
      </c>
      <c r="B141" s="492">
        <f>SUM(B50:B61)</f>
        <v>3848828345.2662396</v>
      </c>
      <c r="C141" s="424">
        <f>SUM(K50:K61)</f>
        <v>3794122111.992237</v>
      </c>
      <c r="D141" s="493">
        <f t="shared" si="6"/>
        <v>-54706233.27400255</v>
      </c>
      <c r="E141" s="494">
        <f t="shared" si="7"/>
        <v>-0.014213736848328655</v>
      </c>
      <c r="F141" s="490"/>
      <c r="K141" s="110"/>
      <c r="L141" s="495"/>
      <c r="M141" s="496"/>
    </row>
    <row r="142" spans="1:13" ht="12.75">
      <c r="A142" s="470">
        <v>2006</v>
      </c>
      <c r="B142" s="492">
        <f>SUM(B62:B73)</f>
        <v>3854274113.720393</v>
      </c>
      <c r="C142" s="424">
        <f>SUM(K62:K73)</f>
        <v>3833699583.407424</v>
      </c>
      <c r="D142" s="493">
        <f t="shared" si="6"/>
        <v>-20574530.312969208</v>
      </c>
      <c r="E142" s="494">
        <f t="shared" si="7"/>
        <v>-0.0053381076970442426</v>
      </c>
      <c r="F142" s="490"/>
      <c r="K142" s="110"/>
      <c r="L142" s="495"/>
      <c r="M142" s="496"/>
    </row>
    <row r="143" spans="1:13" ht="12.75">
      <c r="A143" s="491">
        <v>2007</v>
      </c>
      <c r="B143" s="492">
        <f>SUM(B74:B85)</f>
        <v>3958591767.66456</v>
      </c>
      <c r="C143" s="424">
        <f>SUM(K74:K85)</f>
        <v>3988592060.7138667</v>
      </c>
      <c r="D143" s="493">
        <f t="shared" si="6"/>
        <v>30000293.04930687</v>
      </c>
      <c r="E143" s="494">
        <f t="shared" si="7"/>
        <v>0.007578526609983344</v>
      </c>
      <c r="F143" s="490"/>
      <c r="K143" s="110"/>
      <c r="L143" s="495"/>
      <c r="M143" s="496"/>
    </row>
    <row r="144" spans="1:13" ht="12.75">
      <c r="A144" s="470">
        <v>2008</v>
      </c>
      <c r="B144" s="492">
        <f>SUM(B86:B97)</f>
        <v>3915443564.4390407</v>
      </c>
      <c r="C144" s="424">
        <f>SUM(K86:K97)</f>
        <v>3915428135.1134834</v>
      </c>
      <c r="D144" s="493">
        <f t="shared" si="6"/>
        <v>-15429.325557231903</v>
      </c>
      <c r="E144" s="494">
        <f t="shared" si="7"/>
        <v>-3.940632856354919E-06</v>
      </c>
      <c r="F144" s="490"/>
      <c r="K144" s="110"/>
      <c r="L144" s="495"/>
      <c r="M144" s="496"/>
    </row>
    <row r="145" spans="1:11" ht="13.5" thickBot="1">
      <c r="A145" s="491">
        <v>2009</v>
      </c>
      <c r="B145" s="474">
        <f>SUM(B98:B109)</f>
        <v>3727941968.39742</v>
      </c>
      <c r="C145" s="428">
        <f>SUM(K98:K109)</f>
        <v>3759311463.674978</v>
      </c>
      <c r="D145" s="493">
        <f t="shared" si="6"/>
        <v>31369495.27755785</v>
      </c>
      <c r="E145" s="494">
        <f t="shared" si="7"/>
        <v>0.008414695170548235</v>
      </c>
      <c r="F145" s="498"/>
      <c r="G145" s="499"/>
      <c r="H145" s="499"/>
      <c r="K145" s="110"/>
    </row>
    <row r="146" spans="1:11" ht="12.75">
      <c r="A146" s="500">
        <v>2010</v>
      </c>
      <c r="B146" s="475"/>
      <c r="C146" s="501">
        <f>SUM(K110:K121)</f>
        <v>3821797458.3506794</v>
      </c>
      <c r="D146" s="502"/>
      <c r="E146" s="503"/>
      <c r="F146" s="504"/>
      <c r="G146" s="505"/>
      <c r="H146" s="505"/>
      <c r="K146" s="110"/>
    </row>
    <row r="147" spans="1:11" ht="13.5" thickBot="1">
      <c r="A147" s="506">
        <v>2011</v>
      </c>
      <c r="B147" s="474"/>
      <c r="C147" s="507">
        <f>SUM(K122:K133)</f>
        <v>3962537441.748795</v>
      </c>
      <c r="D147" s="497"/>
      <c r="E147" s="508"/>
      <c r="F147" s="504"/>
      <c r="G147" s="505"/>
      <c r="H147" s="505"/>
      <c r="K147" s="110"/>
    </row>
    <row r="148" spans="6:11" ht="13.5" thickBot="1">
      <c r="F148" s="114"/>
      <c r="I148" s="485"/>
      <c r="K148" s="110"/>
    </row>
    <row r="149" spans="1:12" ht="13.5" thickBot="1">
      <c r="A149" s="509" t="s">
        <v>182</v>
      </c>
      <c r="B149" s="510">
        <f>SUM(B2:B109)</f>
        <v>33024015559.56771</v>
      </c>
      <c r="C149" s="511">
        <f>SUM(K2:K109)</f>
        <v>33024015559.567707</v>
      </c>
      <c r="D149" s="690">
        <f>B149-C149</f>
        <v>0</v>
      </c>
      <c r="F149" s="114"/>
      <c r="K149" s="110"/>
      <c r="L149" s="110"/>
    </row>
    <row r="150" ht="12.75">
      <c r="F150" s="114"/>
    </row>
    <row r="151" spans="6:12" ht="12.75">
      <c r="F151" s="114"/>
      <c r="K151" s="110"/>
      <c r="L151" s="485"/>
    </row>
    <row r="152" ht="12.75">
      <c r="F152" s="114"/>
    </row>
    <row r="153" ht="12.75">
      <c r="F153" s="114"/>
    </row>
    <row r="154" ht="12.75">
      <c r="F154" s="114"/>
    </row>
    <row r="155" ht="12.75">
      <c r="F155" s="114"/>
    </row>
    <row r="156" ht="12.75">
      <c r="F156" s="114"/>
    </row>
    <row r="157" ht="12.75">
      <c r="F157" s="114"/>
    </row>
    <row r="158" ht="12.75">
      <c r="F158" s="114"/>
    </row>
    <row r="159" ht="12.75">
      <c r="F159" s="114"/>
    </row>
    <row r="160" ht="12.75">
      <c r="F160" s="114"/>
    </row>
    <row r="161" ht="12.75">
      <c r="F161" s="114"/>
    </row>
    <row r="162" ht="12.75">
      <c r="F162" s="114"/>
    </row>
    <row r="163" ht="12.75">
      <c r="F163" s="114"/>
    </row>
    <row r="164" ht="12.75">
      <c r="F164" s="114"/>
    </row>
    <row r="165" ht="12.75">
      <c r="F165" s="114"/>
    </row>
    <row r="166" ht="12.75">
      <c r="F166" s="114"/>
    </row>
    <row r="167" ht="12.75">
      <c r="F167" s="114"/>
    </row>
    <row r="168" ht="12.75">
      <c r="F168" s="114"/>
    </row>
    <row r="169" ht="12.75">
      <c r="F169" s="114"/>
    </row>
    <row r="170" ht="12.75">
      <c r="F170" s="114"/>
    </row>
    <row r="171" ht="12.75">
      <c r="F171" s="114"/>
    </row>
    <row r="172" ht="12.75">
      <c r="F172" s="114"/>
    </row>
    <row r="173" ht="12.75">
      <c r="F173" s="114"/>
    </row>
    <row r="174" ht="12.75">
      <c r="F174" s="114"/>
    </row>
    <row r="175" ht="12.75">
      <c r="F175" s="114"/>
    </row>
    <row r="176" ht="12.75">
      <c r="F176" s="114"/>
    </row>
    <row r="177" ht="12.75">
      <c r="F177" s="114"/>
    </row>
  </sheetData>
  <sheetProtection/>
  <mergeCells count="1">
    <mergeCell ref="C134:D134"/>
  </mergeCells>
  <printOptions/>
  <pageMargins left="0.7" right="0.7" top="0.75" bottom="0.75" header="0.3" footer="0.3"/>
  <pageSetup horizontalDpi="600" verticalDpi="600" orientation="portrait" scale="66" r:id="rId1"/>
  <rowBreaks count="1" manualBreakCount="1">
    <brk id="73" max="22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V64"/>
  <sheetViews>
    <sheetView showGridLines="0" view="pageBreakPreview" zoomScale="60" zoomScaleNormal="80" zoomScalePageLayoutView="0" workbookViewId="0" topLeftCell="A1">
      <pane xSplit="2" ySplit="3" topLeftCell="I2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57" sqref="Q57"/>
    </sheetView>
  </sheetViews>
  <sheetFormatPr defaultColWidth="9.140625" defaultRowHeight="12.75"/>
  <cols>
    <col min="1" max="1" width="4.140625" style="0" bestFit="1" customWidth="1"/>
    <col min="2" max="2" width="50.7109375" style="0" bestFit="1" customWidth="1"/>
    <col min="3" max="3" width="13.57421875" style="91" customWidth="1"/>
    <col min="4" max="4" width="21.28125" style="91" customWidth="1"/>
    <col min="5" max="5" width="14.00390625" style="91" bestFit="1" customWidth="1"/>
    <col min="6" max="6" width="13.57421875" style="91" customWidth="1"/>
    <col min="7" max="7" width="12.8515625" style="91" customWidth="1"/>
    <col min="8" max="15" width="18.00390625" style="369" customWidth="1"/>
    <col min="16" max="20" width="18.00390625" style="0" customWidth="1"/>
  </cols>
  <sheetData>
    <row r="1" spans="1:16" ht="15.75" customHeight="1">
      <c r="A1" s="408"/>
      <c r="B1" s="408"/>
      <c r="C1" s="714" t="s">
        <v>216</v>
      </c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15"/>
      <c r="P1" s="709"/>
    </row>
    <row r="2" spans="1:16" ht="42" customHeight="1">
      <c r="A2" s="408"/>
      <c r="B2" s="410"/>
      <c r="C2" s="411" t="s">
        <v>132</v>
      </c>
      <c r="D2" s="411" t="s">
        <v>133</v>
      </c>
      <c r="E2" s="411" t="s">
        <v>72</v>
      </c>
      <c r="F2" s="411" t="s">
        <v>134</v>
      </c>
      <c r="G2" s="411" t="s">
        <v>135</v>
      </c>
      <c r="H2" s="412" t="s">
        <v>136</v>
      </c>
      <c r="I2" s="412" t="s">
        <v>88</v>
      </c>
      <c r="J2" s="413" t="s">
        <v>77</v>
      </c>
      <c r="K2" s="413" t="s">
        <v>76</v>
      </c>
      <c r="L2" s="413" t="s">
        <v>89</v>
      </c>
      <c r="M2" s="413" t="s">
        <v>79</v>
      </c>
      <c r="N2" s="413" t="s">
        <v>80</v>
      </c>
      <c r="O2" s="413" t="s">
        <v>137</v>
      </c>
      <c r="P2" s="710"/>
    </row>
    <row r="3" spans="9:15" ht="13.5" thickBot="1">
      <c r="I3" s="110"/>
      <c r="J3" s="110"/>
      <c r="K3" s="110"/>
      <c r="L3" s="110"/>
      <c r="M3" s="110"/>
      <c r="N3" s="110"/>
      <c r="O3" s="110"/>
    </row>
    <row r="4" spans="1:22" ht="12.75">
      <c r="A4" s="711"/>
      <c r="B4" s="34">
        <v>2003</v>
      </c>
      <c r="C4" s="414">
        <f>'Power Purchased Model'!B139</f>
        <v>3438503350.56392</v>
      </c>
      <c r="D4" s="414">
        <f>'Power Purchased Model'!C139</f>
        <v>3454916498.841749</v>
      </c>
      <c r="E4" s="415">
        <f>D4-C4</f>
        <v>16413148.27782917</v>
      </c>
      <c r="F4" s="416">
        <f aca="true" t="shared" si="0" ref="F4:F10">E4/D4</f>
        <v>0.004750664244224609</v>
      </c>
      <c r="G4" s="417">
        <f aca="true" t="shared" si="1" ref="G4:G10">1+(C4-H4)/H4</f>
        <v>1.032739591981669</v>
      </c>
      <c r="H4" s="418">
        <f aca="true" t="shared" si="2" ref="H4:H10">SUM(I4:O4)</f>
        <v>3329496978</v>
      </c>
      <c r="I4" s="418">
        <f>kWh!D79</f>
        <v>918500653</v>
      </c>
      <c r="J4" s="418">
        <f>kWh!F79</f>
        <v>261424109.25028968</v>
      </c>
      <c r="K4" s="418">
        <f>kWh!E79</f>
        <v>7522731.749710311</v>
      </c>
      <c r="L4" s="418">
        <f>kWh!G79</f>
        <v>996032849</v>
      </c>
      <c r="M4" s="418">
        <f>kWh!H79</f>
        <v>845121401</v>
      </c>
      <c r="N4" s="418">
        <f>kWh!I79</f>
        <v>281784328</v>
      </c>
      <c r="O4" s="419">
        <f>kWh!J79</f>
        <v>19110906</v>
      </c>
      <c r="P4" s="420"/>
      <c r="Q4" s="420"/>
      <c r="R4" s="420"/>
      <c r="S4" s="420"/>
      <c r="T4" s="420"/>
      <c r="U4" s="420"/>
      <c r="V4" s="420"/>
    </row>
    <row r="5" spans="1:17" ht="12.75">
      <c r="A5" s="712"/>
      <c r="B5" s="9">
        <v>2004</v>
      </c>
      <c r="C5" s="392">
        <f>'Power Purchased Model'!B140</f>
        <v>3606734354.93256</v>
      </c>
      <c r="D5" s="392">
        <f>'Power Purchased Model'!C140</f>
        <v>3546950265.4681444</v>
      </c>
      <c r="E5" s="421">
        <f aca="true" t="shared" si="3" ref="E5:E10">D5-C5</f>
        <v>-59784089.46441555</v>
      </c>
      <c r="F5" s="422">
        <f t="shared" si="0"/>
        <v>-0.016855068436242914</v>
      </c>
      <c r="G5" s="423">
        <f t="shared" si="1"/>
        <v>1.0354822863429196</v>
      </c>
      <c r="H5" s="424">
        <f t="shared" si="2"/>
        <v>3483144427.000001</v>
      </c>
      <c r="I5" s="424">
        <f>kWh!M79</f>
        <v>933248820.2898715</v>
      </c>
      <c r="J5" s="424">
        <f>kWh!O79</f>
        <v>264116354.38468543</v>
      </c>
      <c r="K5" s="424">
        <f>kWh!N79</f>
        <v>5817641.87455742</v>
      </c>
      <c r="L5" s="424">
        <f>kWh!P79</f>
        <v>1045707603.4846358</v>
      </c>
      <c r="M5" s="424">
        <f>kWh!Q79</f>
        <v>922964133.891856</v>
      </c>
      <c r="N5" s="424">
        <f>kWh!R79</f>
        <v>290325101.76705635</v>
      </c>
      <c r="O5" s="425">
        <f>kWh!S79</f>
        <v>20964771.307337914</v>
      </c>
      <c r="P5" s="420"/>
      <c r="Q5" s="420"/>
    </row>
    <row r="6" spans="1:17" ht="12.75">
      <c r="A6" s="712"/>
      <c r="B6" s="9">
        <v>2005</v>
      </c>
      <c r="C6" s="392">
        <f>'Power Purchased Model'!B141</f>
        <v>3848828345.2662396</v>
      </c>
      <c r="D6" s="392">
        <f>'Power Purchased Model'!C141</f>
        <v>3794122111.992237</v>
      </c>
      <c r="E6" s="421">
        <f t="shared" si="3"/>
        <v>-54706233.27400255</v>
      </c>
      <c r="F6" s="422">
        <f t="shared" si="0"/>
        <v>-0.014418680174022423</v>
      </c>
      <c r="G6" s="423">
        <f t="shared" si="1"/>
        <v>1.0336569278041452</v>
      </c>
      <c r="H6" s="424">
        <f t="shared" si="2"/>
        <v>3723506554</v>
      </c>
      <c r="I6" s="424">
        <f>kWh!V79</f>
        <v>1066310557</v>
      </c>
      <c r="J6" s="424">
        <f>kWh!X79</f>
        <v>288084105.89146394</v>
      </c>
      <c r="K6" s="424">
        <f>kWh!W79</f>
        <v>5528171.108536116</v>
      </c>
      <c r="L6" s="424">
        <f>kWh!Y79</f>
        <v>1083191856</v>
      </c>
      <c r="M6" s="424">
        <f>kWh!Z79</f>
        <v>954061083</v>
      </c>
      <c r="N6" s="424">
        <f>kWh!AA79</f>
        <v>304422360</v>
      </c>
      <c r="O6" s="425">
        <f>kWh!AB79</f>
        <v>21908421</v>
      </c>
      <c r="P6" s="420"/>
      <c r="Q6" s="420"/>
    </row>
    <row r="7" spans="1:17" ht="12.75">
      <c r="A7" s="712"/>
      <c r="B7" s="9">
        <v>2006</v>
      </c>
      <c r="C7" s="392">
        <f>'Power Purchased Model'!B142</f>
        <v>3854274113.720393</v>
      </c>
      <c r="D7" s="392">
        <f>'Power Purchased Model'!C142</f>
        <v>3833699583.407424</v>
      </c>
      <c r="E7" s="421">
        <f t="shared" si="3"/>
        <v>-20574530.312969208</v>
      </c>
      <c r="F7" s="422">
        <f t="shared" si="0"/>
        <v>-0.005366756018655587</v>
      </c>
      <c r="G7" s="423">
        <f t="shared" si="1"/>
        <v>1.0364509528140264</v>
      </c>
      <c r="H7" s="424">
        <f t="shared" si="2"/>
        <v>3718723113.0000005</v>
      </c>
      <c r="I7" s="424">
        <f>kWh!AE79</f>
        <v>1041609066.9531491</v>
      </c>
      <c r="J7" s="424">
        <f>kWh!AG79</f>
        <v>282703765.9841937</v>
      </c>
      <c r="K7" s="424">
        <f>kWh!AF79</f>
        <v>5294846.640991666</v>
      </c>
      <c r="L7" s="424">
        <f>kWh!AH79</f>
        <v>1080817873.5867229</v>
      </c>
      <c r="M7" s="424">
        <f>kWh!AI79</f>
        <v>950418593.1900728</v>
      </c>
      <c r="N7" s="424">
        <f>kWh!AJ79</f>
        <v>334087721.73003125</v>
      </c>
      <c r="O7" s="425">
        <f>kWh!AK79</f>
        <v>23791244.91483907</v>
      </c>
      <c r="P7" s="420"/>
      <c r="Q7" s="420"/>
    </row>
    <row r="8" spans="1:17" ht="12.75">
      <c r="A8" s="712"/>
      <c r="B8" s="9">
        <v>2007</v>
      </c>
      <c r="C8" s="392">
        <f>'Power Purchased Model'!B143</f>
        <v>3958591767.66456</v>
      </c>
      <c r="D8" s="392">
        <f>'Power Purchased Model'!C143</f>
        <v>3988592060.7138667</v>
      </c>
      <c r="E8" s="421">
        <f t="shared" si="3"/>
        <v>30000293.04930687</v>
      </c>
      <c r="F8" s="422">
        <f t="shared" si="0"/>
        <v>0.007521524536138575</v>
      </c>
      <c r="G8" s="423">
        <f t="shared" si="1"/>
        <v>1.031151801944402</v>
      </c>
      <c r="H8" s="424">
        <f t="shared" si="2"/>
        <v>3839000000.0000005</v>
      </c>
      <c r="I8" s="424">
        <f>kWh!AN79</f>
        <v>1102238845.1530476</v>
      </c>
      <c r="J8" s="424">
        <f>kWh!AP79</f>
        <v>298781693.0369566</v>
      </c>
      <c r="K8" s="424">
        <f>kWh!AO79</f>
        <v>5047284.347783278</v>
      </c>
      <c r="L8" s="424">
        <f>kWh!AQ79</f>
        <v>1109791373.6344707</v>
      </c>
      <c r="M8" s="424">
        <f>kWh!AR79</f>
        <v>942048351.1472753</v>
      </c>
      <c r="N8" s="424">
        <f>kWh!AS79</f>
        <v>355306259.56106627</v>
      </c>
      <c r="O8" s="425">
        <f>kWh!AT79</f>
        <v>25786193.119400337</v>
      </c>
      <c r="P8" s="420"/>
      <c r="Q8" s="420"/>
    </row>
    <row r="9" spans="1:17" ht="12.75">
      <c r="A9" s="712"/>
      <c r="B9" s="9">
        <v>2008</v>
      </c>
      <c r="C9" s="392">
        <f>'Power Purchased Model'!B144</f>
        <v>3915443564.4390407</v>
      </c>
      <c r="D9" s="392">
        <f>'Power Purchased Model'!C144</f>
        <v>3915428135.1134834</v>
      </c>
      <c r="E9" s="421">
        <f t="shared" si="3"/>
        <v>-15429.325557231903</v>
      </c>
      <c r="F9" s="422">
        <f t="shared" si="0"/>
        <v>-3.940648385003421E-06</v>
      </c>
      <c r="G9" s="423">
        <f t="shared" si="1"/>
        <v>1.0326180671041978</v>
      </c>
      <c r="H9" s="424">
        <f t="shared" si="2"/>
        <v>3791763566</v>
      </c>
      <c r="I9" s="424">
        <f>kWh!AW79</f>
        <v>1093569511.9108763</v>
      </c>
      <c r="J9" s="424">
        <f>kWh!AY79</f>
        <v>288052193.27834255</v>
      </c>
      <c r="K9" s="424">
        <f>kWh!AX79</f>
        <v>5109078.339598986</v>
      </c>
      <c r="L9" s="424">
        <f>kWh!AZ79</f>
        <v>1116951693.2864387</v>
      </c>
      <c r="M9" s="424">
        <f>kWh!BA79</f>
        <v>872587042.1161599</v>
      </c>
      <c r="N9" s="424">
        <f>kWh!BB79</f>
        <v>388700963.20286673</v>
      </c>
      <c r="O9" s="425">
        <f>kWh!BC79</f>
        <v>26793083.865717456</v>
      </c>
      <c r="P9" s="420"/>
      <c r="Q9" s="420"/>
    </row>
    <row r="10" spans="1:17" ht="12.75">
      <c r="A10" s="712"/>
      <c r="B10" s="9">
        <v>2009</v>
      </c>
      <c r="C10" s="392">
        <f>'Power Purchased Model'!B145</f>
        <v>3727941968.39742</v>
      </c>
      <c r="D10" s="392">
        <f>'Power Purchased Model'!C145</f>
        <v>3759311463.674978</v>
      </c>
      <c r="E10" s="421">
        <f t="shared" si="3"/>
        <v>31369495.27755785</v>
      </c>
      <c r="F10" s="422">
        <f t="shared" si="0"/>
        <v>0.008344478924045329</v>
      </c>
      <c r="G10" s="423">
        <f t="shared" si="1"/>
        <v>1.0322069657989377</v>
      </c>
      <c r="H10" s="424">
        <f t="shared" si="2"/>
        <v>3611622564</v>
      </c>
      <c r="I10" s="424">
        <f>kWh!BF79</f>
        <v>1088557819</v>
      </c>
      <c r="J10" s="424">
        <f>kWh!BH79</f>
        <v>278899780.4499807</v>
      </c>
      <c r="K10" s="424">
        <f>kWh!BG79</f>
        <v>5104984.550019313</v>
      </c>
      <c r="L10" s="424">
        <f>kWh!BI79</f>
        <v>1081007720</v>
      </c>
      <c r="M10" s="424">
        <f>kWh!BJ79</f>
        <v>788185444</v>
      </c>
      <c r="N10" s="424">
        <f>kWh!BK79</f>
        <v>342523390</v>
      </c>
      <c r="O10" s="425">
        <f>kWh!BL79</f>
        <v>27343426</v>
      </c>
      <c r="P10" s="420"/>
      <c r="Q10" s="420"/>
    </row>
    <row r="11" spans="1:17" ht="12.75">
      <c r="A11" s="712"/>
      <c r="B11" s="9">
        <v>2010</v>
      </c>
      <c r="C11" s="424"/>
      <c r="D11" s="392">
        <f>'Power Purchased Model'!C146</f>
        <v>3821797458.3506794</v>
      </c>
      <c r="E11" s="421"/>
      <c r="F11" s="422"/>
      <c r="G11" s="426"/>
      <c r="H11" s="555">
        <f>D11/G13</f>
        <v>3698071300.2417655</v>
      </c>
      <c r="I11" s="392"/>
      <c r="J11" s="392"/>
      <c r="K11" s="392"/>
      <c r="L11" s="392"/>
      <c r="M11" s="392"/>
      <c r="N11" s="392"/>
      <c r="O11" s="427"/>
      <c r="P11" s="420"/>
      <c r="Q11" s="420"/>
    </row>
    <row r="12" spans="1:17" ht="13.5" thickBot="1">
      <c r="A12" s="713"/>
      <c r="B12" s="178">
        <v>2011</v>
      </c>
      <c r="C12" s="428"/>
      <c r="D12" s="393">
        <f>'Power Purchased Model'!C147-64010000</f>
        <v>3898527441.748795</v>
      </c>
      <c r="E12" s="429"/>
      <c r="F12" s="430"/>
      <c r="G12" s="431"/>
      <c r="H12" s="557">
        <f>D12/G13</f>
        <v>3772317241.4683456</v>
      </c>
      <c r="I12" s="393"/>
      <c r="J12" s="393"/>
      <c r="K12" s="393"/>
      <c r="L12" s="393"/>
      <c r="M12" s="393"/>
      <c r="N12" s="393"/>
      <c r="O12" s="432"/>
      <c r="P12" s="420"/>
      <c r="Q12" s="420"/>
    </row>
    <row r="13" spans="1:15" ht="13.5" thickBot="1">
      <c r="A13" s="433"/>
      <c r="B13" s="434" t="s">
        <v>56</v>
      </c>
      <c r="C13" s="424"/>
      <c r="D13" s="392"/>
      <c r="E13" s="421"/>
      <c r="F13" s="422"/>
      <c r="G13" s="559">
        <f>(SUM(C4:C10))/(SUM(H4:H10))</f>
        <v>1.0334569422987667</v>
      </c>
      <c r="H13" s="424"/>
      <c r="I13" s="392"/>
      <c r="J13" s="392"/>
      <c r="K13" s="392"/>
      <c r="L13" s="392"/>
      <c r="M13" s="392"/>
      <c r="N13" s="392"/>
      <c r="O13" s="392"/>
    </row>
    <row r="14" spans="1:15" ht="12.75">
      <c r="A14" s="433"/>
      <c r="B14" s="435"/>
      <c r="C14" s="424"/>
      <c r="D14" s="392"/>
      <c r="E14" s="421"/>
      <c r="F14" s="422"/>
      <c r="G14" s="423"/>
      <c r="H14" s="436"/>
      <c r="I14" s="392"/>
      <c r="J14" s="392"/>
      <c r="K14" s="392"/>
      <c r="L14" s="392"/>
      <c r="M14" s="392"/>
      <c r="N14" s="392"/>
      <c r="O14" s="392"/>
    </row>
    <row r="15" ht="12" customHeight="1" thickBot="1"/>
    <row r="16" spans="1:15" ht="12.75">
      <c r="A16" s="711"/>
      <c r="B16" s="34">
        <f aca="true" t="shared" si="4" ref="B16:B23">B4</f>
        <v>2003</v>
      </c>
      <c r="C16" s="437"/>
      <c r="D16" s="438"/>
      <c r="E16" s="438"/>
      <c r="F16" s="438"/>
      <c r="G16" s="438"/>
      <c r="H16" s="439">
        <f>H4/Customers!K15</f>
        <v>33038.235160936885</v>
      </c>
      <c r="I16" s="414">
        <f>I4/Customers!D15</f>
        <v>10019.533472963096</v>
      </c>
      <c r="J16" s="414">
        <f>J4/Customers!F15</f>
        <v>40146.5211733082</v>
      </c>
      <c r="K16" s="414">
        <f>K4/Customers!E15</f>
        <v>6807.902035936933</v>
      </c>
      <c r="L16" s="414">
        <f>L4/Customers!G15</f>
        <v>733770.8998710786</v>
      </c>
      <c r="M16" s="414">
        <f>M4/Customers!H15</f>
        <v>6711751.6955658505</v>
      </c>
      <c r="N16" s="414">
        <f>N4/Customers!I15</f>
        <v>70446082</v>
      </c>
      <c r="O16" s="396">
        <f>O4/Customers!J15</f>
        <v>9555453</v>
      </c>
    </row>
    <row r="17" spans="1:15" ht="12.75">
      <c r="A17" s="712"/>
      <c r="B17" s="9">
        <f t="shared" si="4"/>
        <v>2004</v>
      </c>
      <c r="C17" s="440"/>
      <c r="D17" s="441"/>
      <c r="E17" s="441"/>
      <c r="F17" s="441"/>
      <c r="G17" s="441"/>
      <c r="H17" s="442">
        <f>H5/Customers!T15</f>
        <v>32354.542285345393</v>
      </c>
      <c r="I17" s="392">
        <f>I5/Customers!M15</f>
        <v>9488.623502634566</v>
      </c>
      <c r="J17" s="392">
        <f>J5/Customers!O15</f>
        <v>39727.19954644988</v>
      </c>
      <c r="K17" s="392">
        <f>K5/Customers!N15</f>
        <v>5148.355641201257</v>
      </c>
      <c r="L17" s="392">
        <f>L5/Customers!P15</f>
        <v>750507.849390887</v>
      </c>
      <c r="M17" s="392">
        <f>M5/Customers!Q15</f>
        <v>7423304.02593986</v>
      </c>
      <c r="N17" s="392">
        <f>N5/Customers!R15</f>
        <v>94159492.46499124</v>
      </c>
      <c r="O17" s="427">
        <f>O5/Customers!S15</f>
        <v>10482385.653668957</v>
      </c>
    </row>
    <row r="18" spans="1:15" ht="12.75">
      <c r="A18" s="712"/>
      <c r="B18" s="9">
        <f t="shared" si="4"/>
        <v>2005</v>
      </c>
      <c r="C18" s="440"/>
      <c r="D18" s="441"/>
      <c r="E18" s="441"/>
      <c r="F18" s="441"/>
      <c r="G18" s="441"/>
      <c r="H18" s="442">
        <f>H6/Customers!AC15</f>
        <v>32559.115325171584</v>
      </c>
      <c r="I18" s="392">
        <f>I6/Customers!V15</f>
        <v>10172.632112686806</v>
      </c>
      <c r="J18" s="392">
        <f>J6/Customers!X15</f>
        <v>41801.80496611327</v>
      </c>
      <c r="K18" s="392">
        <f>K6/Customers!W15</f>
        <v>4769.776625139013</v>
      </c>
      <c r="L18" s="392">
        <f>L6/Customers!Y15</f>
        <v>794274.5048579285</v>
      </c>
      <c r="M18" s="392">
        <f>M6/Customers!Z15</f>
        <v>7917519.3609958505</v>
      </c>
      <c r="N18" s="392">
        <f>N6/Customers!AA15</f>
        <v>101474120</v>
      </c>
      <c r="O18" s="427">
        <f>O6/Customers!AB15</f>
        <v>10954210.5</v>
      </c>
    </row>
    <row r="19" spans="1:15" ht="12.75">
      <c r="A19" s="712"/>
      <c r="B19" s="9">
        <f t="shared" si="4"/>
        <v>2006</v>
      </c>
      <c r="C19" s="440"/>
      <c r="D19" s="441"/>
      <c r="E19" s="441"/>
      <c r="F19" s="441"/>
      <c r="G19" s="441"/>
      <c r="H19" s="442">
        <f>H7/Customers!AL15</f>
        <v>31096.339320133295</v>
      </c>
      <c r="I19" s="392">
        <f>I7/Customers!AE15</f>
        <v>9488.308090587068</v>
      </c>
      <c r="J19" s="392">
        <f>J7/Customers!AG15</f>
        <v>39956.246959039905</v>
      </c>
      <c r="K19" s="392">
        <f>K7/Customers!AF15</f>
        <v>4386.782635452913</v>
      </c>
      <c r="L19" s="392">
        <f>L7/Customers!AH15</f>
        <v>770865.6453516003</v>
      </c>
      <c r="M19" s="392">
        <f>M7/Customers!AI15</f>
        <v>8009145.44823095</v>
      </c>
      <c r="N19" s="392">
        <f>N7/Customers!AJ15</f>
        <v>85298992.78213564</v>
      </c>
      <c r="O19" s="427">
        <f>O7/Customers!AK15</f>
        <v>11895622.457419535</v>
      </c>
    </row>
    <row r="20" spans="1:15" ht="12.75">
      <c r="A20" s="712"/>
      <c r="B20" s="9">
        <f t="shared" si="4"/>
        <v>2007</v>
      </c>
      <c r="C20" s="440"/>
      <c r="D20" s="441"/>
      <c r="E20" s="441"/>
      <c r="F20" s="441"/>
      <c r="G20" s="441"/>
      <c r="H20" s="442">
        <f>H8/Customers!AU15</f>
        <v>30908.88962692351</v>
      </c>
      <c r="I20" s="392">
        <f>I8/Customers!AN15</f>
        <v>9658.693599972961</v>
      </c>
      <c r="J20" s="392">
        <f>J8/Customers!AP15</f>
        <v>40960.79509714709</v>
      </c>
      <c r="K20" s="392">
        <f>K8/Customers!AO15</f>
        <v>4037.827478226622</v>
      </c>
      <c r="L20" s="392">
        <f>L8/Customers!AQ15</f>
        <v>783289.9943308816</v>
      </c>
      <c r="M20" s="392">
        <f>M8/Customers!AR15</f>
        <v>8063181.322230603</v>
      </c>
      <c r="N20" s="392">
        <f>N8/Customers!AS15</f>
        <v>72265679.91072534</v>
      </c>
      <c r="O20" s="427">
        <f>O8/Customers!AT15</f>
        <v>12893096.559700169</v>
      </c>
    </row>
    <row r="21" spans="1:15" ht="15.75" customHeight="1">
      <c r="A21" s="712"/>
      <c r="B21" s="9">
        <f t="shared" si="4"/>
        <v>2008</v>
      </c>
      <c r="C21" s="440"/>
      <c r="D21" s="441"/>
      <c r="E21" s="441"/>
      <c r="F21" s="441"/>
      <c r="G21" s="441"/>
      <c r="H21" s="442">
        <f>H9/Customers!BD15</f>
        <v>29307.50568068002</v>
      </c>
      <c r="I21" s="392">
        <f>I9/Customers!AW15</f>
        <v>9185.028657071025</v>
      </c>
      <c r="J21" s="392">
        <f>J9/Customers!AY15</f>
        <v>38733.612569784185</v>
      </c>
      <c r="K21" s="392">
        <f>K9/Customers!AX15</f>
        <v>4032.4217360686553</v>
      </c>
      <c r="L21" s="392">
        <f>L9/Customers!AZ15</f>
        <v>749045.5079600572</v>
      </c>
      <c r="M21" s="392">
        <f>M9/Customers!BA15</f>
        <v>7543980.191205993</v>
      </c>
      <c r="N21" s="392">
        <f>N9/Customers!BB15</f>
        <v>64783493.86714446</v>
      </c>
      <c r="O21" s="427">
        <f>O9/Customers!BC15</f>
        <v>13396541.932858728</v>
      </c>
    </row>
    <row r="22" spans="1:15" ht="15" customHeight="1">
      <c r="A22" s="712"/>
      <c r="B22" s="9">
        <f t="shared" si="4"/>
        <v>2009</v>
      </c>
      <c r="C22" s="440"/>
      <c r="D22" s="441"/>
      <c r="E22" s="441"/>
      <c r="F22" s="441"/>
      <c r="G22" s="441"/>
      <c r="H22" s="442">
        <f>H10/Customers!BM15</f>
        <v>27459.555121896825</v>
      </c>
      <c r="I22" s="392">
        <f>I10/Customers!BF15</f>
        <v>8993.310678903126</v>
      </c>
      <c r="J22" s="392">
        <f>J10/Customers!BH15</f>
        <v>37044.63296695742</v>
      </c>
      <c r="K22" s="392">
        <f>K10/Customers!BG15</f>
        <v>3988.269179702588</v>
      </c>
      <c r="L22" s="392">
        <f>L10/Customers!BI15</f>
        <v>695778.4080669384</v>
      </c>
      <c r="M22" s="392">
        <f>M10/Customers!BJ15</f>
        <v>6918965.126554498</v>
      </c>
      <c r="N22" s="392">
        <f>N10/Customers!BK15</f>
        <v>57087231.666666664</v>
      </c>
      <c r="O22" s="427">
        <f>O10/Customers!BL15</f>
        <v>13671713</v>
      </c>
    </row>
    <row r="23" spans="1:15" ht="14.25" customHeight="1">
      <c r="A23" s="712"/>
      <c r="B23" s="9">
        <f t="shared" si="4"/>
        <v>2010</v>
      </c>
      <c r="C23" s="440"/>
      <c r="D23" s="441"/>
      <c r="E23" s="441"/>
      <c r="F23" s="441"/>
      <c r="G23" s="441"/>
      <c r="H23" s="442"/>
      <c r="I23" s="424">
        <f aca="true" t="shared" si="5" ref="I23:O23">I22*I35</f>
        <v>8832.797608871992</v>
      </c>
      <c r="J23" s="424">
        <f t="shared" si="5"/>
        <v>36551.47096202351</v>
      </c>
      <c r="K23" s="424">
        <f t="shared" si="5"/>
        <v>3648.2085474002206</v>
      </c>
      <c r="L23" s="424">
        <f t="shared" si="5"/>
        <v>689640.3936425935</v>
      </c>
      <c r="M23" s="424">
        <f t="shared" si="5"/>
        <v>6954117.402977558</v>
      </c>
      <c r="N23" s="424">
        <f t="shared" si="5"/>
        <v>55121285.814603195</v>
      </c>
      <c r="O23" s="425">
        <f t="shared" si="5"/>
        <v>14512811.07405136</v>
      </c>
    </row>
    <row r="24" spans="1:15" ht="20.25" customHeight="1" thickBot="1">
      <c r="A24" s="713"/>
      <c r="B24" s="178">
        <v>2011</v>
      </c>
      <c r="C24" s="443"/>
      <c r="D24" s="444"/>
      <c r="E24" s="444"/>
      <c r="F24" s="444"/>
      <c r="G24" s="444"/>
      <c r="H24" s="445"/>
      <c r="I24" s="428">
        <f aca="true" t="shared" si="6" ref="I24:O24">I23*I35</f>
        <v>8675.149384343333</v>
      </c>
      <c r="J24" s="428">
        <f t="shared" si="6"/>
        <v>36064.87424721752</v>
      </c>
      <c r="K24" s="428">
        <f t="shared" si="6"/>
        <v>3337.143258298461</v>
      </c>
      <c r="L24" s="428">
        <f t="shared" si="6"/>
        <v>683556.527522704</v>
      </c>
      <c r="M24" s="428">
        <f t="shared" si="6"/>
        <v>6989448.2729496695</v>
      </c>
      <c r="N24" s="428">
        <f t="shared" si="6"/>
        <v>53223042.37129924</v>
      </c>
      <c r="O24" s="446">
        <f t="shared" si="6"/>
        <v>15405654.38077202</v>
      </c>
    </row>
    <row r="25" spans="1:15" ht="12.75">
      <c r="A25" s="447"/>
      <c r="I25" s="110"/>
      <c r="J25" s="110"/>
      <c r="K25" s="110"/>
      <c r="L25" s="110"/>
      <c r="M25" s="110"/>
      <c r="N25" s="110"/>
      <c r="O25" s="110"/>
    </row>
    <row r="26" spans="1:15" ht="7.5" customHeight="1" thickBot="1">
      <c r="A26" s="448"/>
      <c r="I26" s="110"/>
      <c r="J26" s="110"/>
      <c r="K26" s="110"/>
      <c r="L26" s="110"/>
      <c r="M26" s="110"/>
      <c r="N26" s="110"/>
      <c r="O26" s="110"/>
    </row>
    <row r="27" spans="1:15" ht="12.75">
      <c r="A27" s="711" t="s">
        <v>138</v>
      </c>
      <c r="B27" s="449">
        <v>2003</v>
      </c>
      <c r="C27" s="438"/>
      <c r="D27" s="438"/>
      <c r="E27" s="450"/>
      <c r="F27" s="438"/>
      <c r="G27" s="438"/>
      <c r="H27" s="439"/>
      <c r="I27" s="451"/>
      <c r="J27" s="451"/>
      <c r="K27" s="451"/>
      <c r="L27" s="451"/>
      <c r="M27" s="451"/>
      <c r="N27" s="451"/>
      <c r="O27" s="452"/>
    </row>
    <row r="28" spans="1:15" ht="12.75">
      <c r="A28" s="712"/>
      <c r="B28" s="453">
        <v>2004</v>
      </c>
      <c r="C28" s="441"/>
      <c r="D28" s="441"/>
      <c r="E28" s="454"/>
      <c r="F28" s="441"/>
      <c r="G28" s="441"/>
      <c r="H28" s="455">
        <f aca="true" t="shared" si="7" ref="H28:O33">H17/H16</f>
        <v>0.9793060109820919</v>
      </c>
      <c r="I28" s="423">
        <f t="shared" si="7"/>
        <v>0.9470125059453968</v>
      </c>
      <c r="J28" s="423">
        <f t="shared" si="7"/>
        <v>0.9895552188682014</v>
      </c>
      <c r="K28" s="423">
        <f t="shared" si="7"/>
        <v>0.7562323332540019</v>
      </c>
      <c r="L28" s="423">
        <f t="shared" si="7"/>
        <v>1.022809502969863</v>
      </c>
      <c r="M28" s="423">
        <f t="shared" si="7"/>
        <v>1.1060158901355215</v>
      </c>
      <c r="N28" s="423">
        <f t="shared" si="7"/>
        <v>1.3366178755688818</v>
      </c>
      <c r="O28" s="456">
        <f t="shared" si="7"/>
        <v>1.0970056211535923</v>
      </c>
    </row>
    <row r="29" spans="1:15" ht="15.75" customHeight="1">
      <c r="A29" s="712"/>
      <c r="B29" s="453">
        <v>2005</v>
      </c>
      <c r="C29" s="441"/>
      <c r="D29" s="441"/>
      <c r="E29" s="454"/>
      <c r="F29" s="441"/>
      <c r="G29" s="441"/>
      <c r="H29" s="455">
        <f t="shared" si="7"/>
        <v>1.006322853774966</v>
      </c>
      <c r="I29" s="423">
        <f t="shared" si="7"/>
        <v>1.072087232659439</v>
      </c>
      <c r="J29" s="423">
        <f t="shared" si="7"/>
        <v>1.0522212852491077</v>
      </c>
      <c r="K29" s="423">
        <f t="shared" si="7"/>
        <v>0.9264660325653201</v>
      </c>
      <c r="L29" s="423">
        <f t="shared" si="7"/>
        <v>1.0583160529267783</v>
      </c>
      <c r="M29" s="423">
        <f t="shared" si="7"/>
        <v>1.0665761948222803</v>
      </c>
      <c r="N29" s="423">
        <f t="shared" si="7"/>
        <v>1.0776833789511806</v>
      </c>
      <c r="O29" s="456">
        <f t="shared" si="7"/>
        <v>1.0450112085091907</v>
      </c>
    </row>
    <row r="30" spans="1:15" ht="17.25" customHeight="1">
      <c r="A30" s="712"/>
      <c r="B30" s="453">
        <v>2006</v>
      </c>
      <c r="C30" s="441"/>
      <c r="D30" s="441"/>
      <c r="E30" s="454"/>
      <c r="F30" s="441"/>
      <c r="G30" s="441"/>
      <c r="H30" s="455">
        <f t="shared" si="7"/>
        <v>0.9550732263321844</v>
      </c>
      <c r="I30" s="423">
        <f t="shared" si="7"/>
        <v>0.9327289127809624</v>
      </c>
      <c r="J30" s="423">
        <f t="shared" si="7"/>
        <v>0.955849801017696</v>
      </c>
      <c r="K30" s="423">
        <f t="shared" si="7"/>
        <v>0.9197039987852812</v>
      </c>
      <c r="L30" s="423">
        <f t="shared" si="7"/>
        <v>0.9705279983643497</v>
      </c>
      <c r="M30" s="423">
        <f t="shared" si="7"/>
        <v>1.011572575077805</v>
      </c>
      <c r="N30" s="423">
        <f t="shared" si="7"/>
        <v>0.840598497253641</v>
      </c>
      <c r="O30" s="456">
        <f t="shared" si="7"/>
        <v>1.0859406487961443</v>
      </c>
    </row>
    <row r="31" spans="1:15" ht="14.25" customHeight="1">
      <c r="A31" s="712"/>
      <c r="B31" s="453">
        <v>2007</v>
      </c>
      <c r="C31" s="441"/>
      <c r="D31" s="441"/>
      <c r="E31" s="454"/>
      <c r="F31" s="441"/>
      <c r="G31" s="441"/>
      <c r="H31" s="455">
        <f t="shared" si="7"/>
        <v>0.9939719691350157</v>
      </c>
      <c r="I31" s="423">
        <f t="shared" si="7"/>
        <v>1.0179574174614887</v>
      </c>
      <c r="J31" s="423">
        <f t="shared" si="7"/>
        <v>1.0251412035554033</v>
      </c>
      <c r="K31" s="423">
        <f t="shared" si="7"/>
        <v>0.9204530549551008</v>
      </c>
      <c r="L31" s="423">
        <f t="shared" si="7"/>
        <v>1.016117398737642</v>
      </c>
      <c r="M31" s="423">
        <f t="shared" si="7"/>
        <v>1.0067467714688072</v>
      </c>
      <c r="N31" s="423">
        <f t="shared" si="7"/>
        <v>0.8472043754994972</v>
      </c>
      <c r="O31" s="456">
        <f t="shared" si="7"/>
        <v>1.0838521990632353</v>
      </c>
    </row>
    <row r="32" spans="1:15" ht="14.25" customHeight="1">
      <c r="A32" s="712"/>
      <c r="B32" s="453">
        <v>2008</v>
      </c>
      <c r="C32" s="441"/>
      <c r="D32" s="441"/>
      <c r="E32" s="454"/>
      <c r="F32" s="441"/>
      <c r="G32" s="441"/>
      <c r="H32" s="455">
        <f t="shared" si="7"/>
        <v>0.9481901819970723</v>
      </c>
      <c r="I32" s="423">
        <f t="shared" si="7"/>
        <v>0.9509597299055783</v>
      </c>
      <c r="J32" s="423">
        <f t="shared" si="7"/>
        <v>0.9456264820523947</v>
      </c>
      <c r="K32" s="423">
        <f t="shared" si="7"/>
        <v>0.9986612250802896</v>
      </c>
      <c r="L32" s="423">
        <f t="shared" si="7"/>
        <v>0.9562812156178793</v>
      </c>
      <c r="M32" s="423">
        <f t="shared" si="7"/>
        <v>0.9356084019104041</v>
      </c>
      <c r="N32" s="423">
        <f t="shared" si="7"/>
        <v>0.8964628015286906</v>
      </c>
      <c r="O32" s="456">
        <f t="shared" si="7"/>
        <v>1.0390476694894362</v>
      </c>
    </row>
    <row r="33" spans="1:15" ht="19.5" customHeight="1" thickBot="1">
      <c r="A33" s="713"/>
      <c r="B33" s="457">
        <v>2009</v>
      </c>
      <c r="C33" s="444"/>
      <c r="D33" s="444"/>
      <c r="E33" s="458"/>
      <c r="F33" s="444"/>
      <c r="G33" s="444"/>
      <c r="H33" s="459">
        <f t="shared" si="7"/>
        <v>0.9369461673430164</v>
      </c>
      <c r="I33" s="460">
        <f t="shared" si="7"/>
        <v>0.9791271224809619</v>
      </c>
      <c r="J33" s="460">
        <f t="shared" si="7"/>
        <v>0.9563949889831777</v>
      </c>
      <c r="K33" s="460">
        <f>K22/K21</f>
        <v>0.9890506104629044</v>
      </c>
      <c r="L33" s="460">
        <f t="shared" si="7"/>
        <v>0.9288866973674458</v>
      </c>
      <c r="M33" s="460">
        <f t="shared" si="7"/>
        <v>0.9171504896871184</v>
      </c>
      <c r="N33" s="460">
        <f t="shared" si="7"/>
        <v>0.8812002604203318</v>
      </c>
      <c r="O33" s="461">
        <f t="shared" si="7"/>
        <v>1.0205404550308868</v>
      </c>
    </row>
    <row r="34" spans="2:15" ht="13.5" thickBot="1">
      <c r="B34" s="462"/>
      <c r="E34" s="369"/>
      <c r="I34" s="463"/>
      <c r="J34" s="463"/>
      <c r="K34" s="463"/>
      <c r="L34" s="463"/>
      <c r="M34" s="463"/>
      <c r="N34" s="463"/>
      <c r="O34" s="463"/>
    </row>
    <row r="35" spans="2:15" ht="13.5" thickBot="1">
      <c r="B35" s="5" t="s">
        <v>129</v>
      </c>
      <c r="E35" s="369"/>
      <c r="H35" s="464">
        <f aca="true" t="shared" si="8" ref="H35:O35">GEOMEAN(H28:H33)</f>
        <v>0.9696450307661005</v>
      </c>
      <c r="I35" s="465">
        <f t="shared" si="8"/>
        <v>0.9821519487358896</v>
      </c>
      <c r="J35" s="465">
        <f t="shared" si="8"/>
        <v>0.9866873561583457</v>
      </c>
      <c r="K35" s="465">
        <f t="shared" si="8"/>
        <v>0.9147347841933461</v>
      </c>
      <c r="L35" s="465">
        <f t="shared" si="8"/>
        <v>0.9911782050819916</v>
      </c>
      <c r="M35" s="465">
        <f t="shared" si="8"/>
        <v>1.005080568521461</v>
      </c>
      <c r="N35" s="465">
        <f t="shared" si="8"/>
        <v>0.9655624244744839</v>
      </c>
      <c r="O35" s="466">
        <f t="shared" si="8"/>
        <v>1.0615210452451247</v>
      </c>
    </row>
    <row r="36" spans="5:15" ht="13.5" thickBot="1">
      <c r="E36" s="369"/>
      <c r="I36" s="463"/>
      <c r="J36" s="463"/>
      <c r="K36" s="463"/>
      <c r="L36" s="463"/>
      <c r="M36" s="463"/>
      <c r="N36" s="463"/>
      <c r="O36" s="463"/>
    </row>
    <row r="37" spans="2:16" ht="13.5" thickBot="1">
      <c r="B37" s="33" t="s">
        <v>139</v>
      </c>
      <c r="C37" s="638"/>
      <c r="D37" s="635"/>
      <c r="E37" s="635"/>
      <c r="F37" s="635"/>
      <c r="G37" s="635"/>
      <c r="H37" s="414"/>
      <c r="I37" s="414"/>
      <c r="J37" s="414"/>
      <c r="K37" s="414"/>
      <c r="L37" s="414"/>
      <c r="M37" s="414"/>
      <c r="N37" s="414"/>
      <c r="O37" s="396"/>
      <c r="P37" s="691" t="s">
        <v>103</v>
      </c>
    </row>
    <row r="38" spans="2:16" ht="12.75">
      <c r="B38" s="101">
        <v>2010</v>
      </c>
      <c r="C38" s="639"/>
      <c r="D38" s="636"/>
      <c r="E38" s="636"/>
      <c r="F38" s="636"/>
      <c r="G38" s="636"/>
      <c r="H38" s="645">
        <f>SUM(I38:O38)</f>
        <v>3559417347.6541348</v>
      </c>
      <c r="I38" s="414">
        <f>I23*'Rate Class Customer Model'!C14</f>
        <v>1080927480.46796</v>
      </c>
      <c r="J38" s="414">
        <f>J23*'Rate Class Customer Model'!D14</f>
        <v>282469634.5891085</v>
      </c>
      <c r="K38" s="414">
        <f>K23*'Rate Class Customer Model'!E14</f>
        <v>4695741.550408275</v>
      </c>
      <c r="L38" s="414">
        <f>L23*'Rate Class Customer Model'!F14</f>
        <v>1064591726.7462685</v>
      </c>
      <c r="M38" s="414">
        <f>M23*'Rate Class Customer Model'!G14</f>
        <v>766979427.2646674</v>
      </c>
      <c r="N38" s="414">
        <f>N23*'Rate Class Customer Model'!H14</f>
        <v>330727714.88761914</v>
      </c>
      <c r="O38" s="396">
        <f>O23*'Rate Class Customer Model'!I14</f>
        <v>29025622.14810272</v>
      </c>
      <c r="P38" s="648">
        <f>SUM(I38:O38)</f>
        <v>3559417347.6541348</v>
      </c>
    </row>
    <row r="39" spans="2:16" ht="13.5" thickBot="1">
      <c r="B39" s="101">
        <v>2011</v>
      </c>
      <c r="C39" s="639"/>
      <c r="D39" s="636"/>
      <c r="E39" s="636"/>
      <c r="F39" s="636"/>
      <c r="G39" s="636"/>
      <c r="H39" s="646">
        <f>SUM(I39:O39)</f>
        <v>3513496706.2092285</v>
      </c>
      <c r="I39" s="393">
        <f>I24*'Rate Class Customer Model'!C15</f>
        <v>1072768739.9380033</v>
      </c>
      <c r="J39" s="393">
        <f>J24*'Rate Class Customer Model'!D15</f>
        <v>284658377.46030164</v>
      </c>
      <c r="K39" s="393">
        <f>K24*'Rate Class Customer Model'!E15</f>
        <v>4339638.351086987</v>
      </c>
      <c r="L39" s="393">
        <f>L24*'Rate Class Customer Model'!F15</f>
        <v>1061025380.668489</v>
      </c>
      <c r="M39" s="393">
        <f>M24*'Rate Class Customer Model'!G15</f>
        <v>740555006.8020078</v>
      </c>
      <c r="N39" s="393">
        <f>N24*'Rate Class Customer Model'!H15</f>
        <v>319338254.2277954</v>
      </c>
      <c r="O39" s="432">
        <f>O24*'Rate Class Customer Model'!I15</f>
        <v>30811308.76154404</v>
      </c>
      <c r="P39" s="649">
        <f>SUM(I39:O39)</f>
        <v>3513496706.2092285</v>
      </c>
    </row>
    <row r="40" spans="2:16" ht="13.5" thickBot="1">
      <c r="B40" s="101"/>
      <c r="C40" s="639"/>
      <c r="D40" s="636"/>
      <c r="E40" s="636"/>
      <c r="F40" s="636"/>
      <c r="G40" s="636"/>
      <c r="H40" s="647"/>
      <c r="I40" s="392"/>
      <c r="J40" s="392"/>
      <c r="K40" s="392"/>
      <c r="L40" s="392"/>
      <c r="M40" s="392"/>
      <c r="N40" s="392"/>
      <c r="O40" s="427"/>
      <c r="P40" s="5"/>
    </row>
    <row r="41" spans="2:16" ht="13.5" thickBot="1">
      <c r="B41" s="101" t="s">
        <v>140</v>
      </c>
      <c r="C41" s="639"/>
      <c r="D41" s="636"/>
      <c r="E41" s="636"/>
      <c r="F41" s="636"/>
      <c r="G41" s="636"/>
      <c r="H41" s="647"/>
      <c r="I41" s="392"/>
      <c r="J41" s="392"/>
      <c r="K41" s="392"/>
      <c r="L41" s="392"/>
      <c r="M41" s="392"/>
      <c r="N41" s="392"/>
      <c r="O41" s="427"/>
      <c r="P41" s="691" t="s">
        <v>103</v>
      </c>
    </row>
    <row r="42" spans="2:16" ht="12.75">
      <c r="B42" s="101">
        <v>2010</v>
      </c>
      <c r="C42" s="639"/>
      <c r="D42" s="636"/>
      <c r="E42" s="636"/>
      <c r="F42" s="636"/>
      <c r="G42" s="636"/>
      <c r="H42" s="468">
        <f>H11</f>
        <v>3698071300.2417655</v>
      </c>
      <c r="I42" s="418">
        <f>I38+I50</f>
        <v>1099386750.7095263</v>
      </c>
      <c r="J42" s="418">
        <f aca="true" t="shared" si="9" ref="J42:O43">J38+J50</f>
        <v>285620803.02129936</v>
      </c>
      <c r="K42" s="418">
        <f t="shared" si="9"/>
        <v>5013040.354278895</v>
      </c>
      <c r="L42" s="418">
        <f t="shared" si="9"/>
        <v>1097553563.9581668</v>
      </c>
      <c r="M42" s="418">
        <f t="shared" si="9"/>
        <v>816592993.5144728</v>
      </c>
      <c r="N42" s="418">
        <f t="shared" si="9"/>
        <v>365387028.7308235</v>
      </c>
      <c r="O42" s="419">
        <f t="shared" si="9"/>
        <v>28517119.953197297</v>
      </c>
      <c r="P42" s="648">
        <f>SUM(I42:O42)</f>
        <v>3698071300.241765</v>
      </c>
    </row>
    <row r="43" spans="2:16" ht="13.5" thickBot="1">
      <c r="B43" s="101">
        <v>2011</v>
      </c>
      <c r="C43" s="639"/>
      <c r="D43" s="636"/>
      <c r="E43" s="636"/>
      <c r="F43" s="636"/>
      <c r="G43" s="636"/>
      <c r="H43" s="469">
        <f>H12</f>
        <v>3772317241.4683456</v>
      </c>
      <c r="I43" s="428">
        <f>I39+I51</f>
        <v>1107769580.6095057</v>
      </c>
      <c r="J43" s="428">
        <f t="shared" si="9"/>
        <v>290725436.40759933</v>
      </c>
      <c r="K43" s="428">
        <f t="shared" si="9"/>
        <v>4899875.861946859</v>
      </c>
      <c r="L43" s="428">
        <f t="shared" si="9"/>
        <v>1123789074.0502443</v>
      </c>
      <c r="M43" s="428">
        <f t="shared" si="9"/>
        <v>832077627.8246802</v>
      </c>
      <c r="N43" s="428">
        <f t="shared" si="9"/>
        <v>383275616.1508369</v>
      </c>
      <c r="O43" s="446">
        <f t="shared" si="9"/>
        <v>29780030.56353198</v>
      </c>
      <c r="P43" s="649">
        <f>SUM(I43:O43)</f>
        <v>3772317241.4683456</v>
      </c>
    </row>
    <row r="44" spans="2:16" ht="13.5" thickBot="1">
      <c r="B44" s="101"/>
      <c r="C44" s="639"/>
      <c r="D44" s="636"/>
      <c r="E44" s="636"/>
      <c r="F44" s="636"/>
      <c r="G44" s="636"/>
      <c r="H44" s="505"/>
      <c r="I44" s="424"/>
      <c r="J44" s="424"/>
      <c r="K44" s="424"/>
      <c r="L44" s="424"/>
      <c r="M44" s="424"/>
      <c r="N44" s="424"/>
      <c r="O44" s="425"/>
      <c r="P44" s="5"/>
    </row>
    <row r="45" spans="2:16" ht="13.5" thickBot="1">
      <c r="B45" s="470" t="s">
        <v>141</v>
      </c>
      <c r="C45" s="639"/>
      <c r="D45" s="636"/>
      <c r="E45" s="636"/>
      <c r="F45" s="636"/>
      <c r="G45" s="636"/>
      <c r="H45" s="471"/>
      <c r="I45" s="472">
        <v>726.5961957764595</v>
      </c>
      <c r="J45" s="472">
        <v>474.65165437326385</v>
      </c>
      <c r="K45" s="472">
        <v>2875.0102616299823</v>
      </c>
      <c r="L45" s="472">
        <v>1317.3569690877387</v>
      </c>
      <c r="M45" s="472">
        <v>2752.275349200101</v>
      </c>
      <c r="N45" s="472">
        <v>4458.867021031637</v>
      </c>
      <c r="O45" s="473">
        <v>-745.3949470407152</v>
      </c>
      <c r="P45" s="691" t="s">
        <v>103</v>
      </c>
    </row>
    <row r="46" spans="2:16" ht="12.75">
      <c r="B46" s="101">
        <v>2010</v>
      </c>
      <c r="C46" s="640"/>
      <c r="D46" s="641"/>
      <c r="E46" s="641"/>
      <c r="F46" s="636"/>
      <c r="G46" s="636"/>
      <c r="H46" s="645">
        <f>H42-H38</f>
        <v>138653952.58763075</v>
      </c>
      <c r="I46" s="418">
        <f>I38*I45</f>
        <v>785397795218.2528</v>
      </c>
      <c r="J46" s="418">
        <f aca="true" t="shared" si="10" ref="J46:O46">J38*J45</f>
        <v>134074679367.93167</v>
      </c>
      <c r="K46" s="418">
        <f t="shared" si="10"/>
        <v>13500305143.386074</v>
      </c>
      <c r="L46" s="418">
        <f t="shared" si="10"/>
        <v>1402447330462.3464</v>
      </c>
      <c r="M46" s="418">
        <f t="shared" si="10"/>
        <v>2110938571004.156</v>
      </c>
      <c r="N46" s="418">
        <f t="shared" si="10"/>
        <v>1474670900853.5588</v>
      </c>
      <c r="O46" s="419">
        <f t="shared" si="10"/>
        <v>-21635552083.908836</v>
      </c>
      <c r="P46" s="648">
        <f>SUM(I46:O46)</f>
        <v>5899394029965.723</v>
      </c>
    </row>
    <row r="47" spans="2:16" ht="13.5" thickBot="1">
      <c r="B47" s="101">
        <v>2011</v>
      </c>
      <c r="C47" s="639"/>
      <c r="D47" s="636"/>
      <c r="E47" s="636"/>
      <c r="F47" s="636"/>
      <c r="G47" s="636"/>
      <c r="H47" s="553">
        <f>H43-H39</f>
        <v>258820535.25911713</v>
      </c>
      <c r="I47" s="428">
        <f>I39*I45</f>
        <v>779469685386.8591</v>
      </c>
      <c r="J47" s="428">
        <f aca="true" t="shared" si="11" ref="J47:O47">J39*J45</f>
        <v>135113569792.74118</v>
      </c>
      <c r="K47" s="428">
        <f t="shared" si="11"/>
        <v>12476504791.138103</v>
      </c>
      <c r="L47" s="428">
        <f t="shared" si="11"/>
        <v>1397749179602.6047</v>
      </c>
      <c r="M47" s="428">
        <f t="shared" si="11"/>
        <v>2038211289947.8792</v>
      </c>
      <c r="N47" s="428">
        <f t="shared" si="11"/>
        <v>1423886810330.1338</v>
      </c>
      <c r="O47" s="446">
        <f t="shared" si="11"/>
        <v>-22966593862.566246</v>
      </c>
      <c r="P47" s="649">
        <f>SUM(I47:O47)</f>
        <v>5763940445988.79</v>
      </c>
    </row>
    <row r="48" spans="2:16" ht="12" customHeight="1" thickBot="1">
      <c r="B48" s="101"/>
      <c r="C48" s="639"/>
      <c r="D48" s="636"/>
      <c r="E48" s="636"/>
      <c r="F48" s="636"/>
      <c r="G48" s="636"/>
      <c r="H48" s="505"/>
      <c r="I48" s="424"/>
      <c r="J48" s="424"/>
      <c r="K48" s="424"/>
      <c r="L48" s="424"/>
      <c r="M48" s="424"/>
      <c r="N48" s="424"/>
      <c r="O48" s="425"/>
      <c r="P48" s="5"/>
    </row>
    <row r="49" spans="2:16" ht="13.5" thickBot="1">
      <c r="B49" s="101" t="s">
        <v>142</v>
      </c>
      <c r="C49" s="639"/>
      <c r="D49" s="636"/>
      <c r="E49" s="636"/>
      <c r="F49" s="636"/>
      <c r="G49" s="636"/>
      <c r="H49" s="505"/>
      <c r="I49" s="424"/>
      <c r="J49" s="424"/>
      <c r="K49" s="424"/>
      <c r="L49" s="424"/>
      <c r="M49" s="424"/>
      <c r="N49" s="424"/>
      <c r="O49" s="425"/>
      <c r="P49" s="691" t="s">
        <v>103</v>
      </c>
    </row>
    <row r="50" spans="2:16" ht="12.75">
      <c r="B50" s="101">
        <v>2010</v>
      </c>
      <c r="C50" s="639"/>
      <c r="D50" s="636"/>
      <c r="E50" s="636"/>
      <c r="F50" s="636"/>
      <c r="G50" s="636"/>
      <c r="H50" s="487">
        <f>SUM(I50:O50)</f>
        <v>138653952.58763075</v>
      </c>
      <c r="I50" s="418">
        <f aca="true" t="shared" si="12" ref="I50:O50">I46/$P$46*$H$46</f>
        <v>18459270.2415665</v>
      </c>
      <c r="J50" s="418">
        <f t="shared" si="12"/>
        <v>3151168.432190824</v>
      </c>
      <c r="K50" s="418">
        <f t="shared" si="12"/>
        <v>317298.80387062</v>
      </c>
      <c r="L50" s="418">
        <f t="shared" si="12"/>
        <v>32961837.211898413</v>
      </c>
      <c r="M50" s="418">
        <f t="shared" si="12"/>
        <v>49613566.249805465</v>
      </c>
      <c r="N50" s="418">
        <f t="shared" si="12"/>
        <v>34659313.84320435</v>
      </c>
      <c r="O50" s="419">
        <f t="shared" si="12"/>
        <v>-508502.19490542175</v>
      </c>
      <c r="P50" s="648">
        <f>SUM(I50:O50)</f>
        <v>138653952.58763075</v>
      </c>
    </row>
    <row r="51" spans="2:16" ht="13.5" thickBot="1">
      <c r="B51" s="101">
        <v>2011</v>
      </c>
      <c r="C51" s="639"/>
      <c r="D51" s="636"/>
      <c r="E51" s="636"/>
      <c r="F51" s="636"/>
      <c r="G51" s="636"/>
      <c r="H51" s="553">
        <f>SUM(I51,J51,K51,L51,M51,N51,O51)</f>
        <v>258820535.25911713</v>
      </c>
      <c r="I51" s="428">
        <f aca="true" t="shared" si="13" ref="I51:O51">I47/$P$47*$H$47</f>
        <v>35000840.67150246</v>
      </c>
      <c r="J51" s="428">
        <f t="shared" si="13"/>
        <v>6067058.947297694</v>
      </c>
      <c r="K51" s="428">
        <f t="shared" si="13"/>
        <v>560237.5108598726</v>
      </c>
      <c r="L51" s="428">
        <f t="shared" si="13"/>
        <v>62763693.38175525</v>
      </c>
      <c r="M51" s="428">
        <f t="shared" si="13"/>
        <v>91522621.02267246</v>
      </c>
      <c r="N51" s="428">
        <f t="shared" si="13"/>
        <v>63937361.92304145</v>
      </c>
      <c r="O51" s="446">
        <f t="shared" si="13"/>
        <v>-1031278.1980120601</v>
      </c>
      <c r="P51" s="649">
        <f>SUM(I51:O51)</f>
        <v>258820535.25911713</v>
      </c>
    </row>
    <row r="52" spans="2:15" ht="13.5" thickBot="1">
      <c r="B52" s="69"/>
      <c r="C52" s="642"/>
      <c r="D52" s="637"/>
      <c r="E52" s="637"/>
      <c r="F52" s="637"/>
      <c r="G52" s="637"/>
      <c r="H52" s="445"/>
      <c r="I52" s="393"/>
      <c r="J52" s="393"/>
      <c r="K52" s="393"/>
      <c r="L52" s="393"/>
      <c r="M52" s="393"/>
      <c r="N52" s="393"/>
      <c r="O52" s="432"/>
    </row>
    <row r="53" ht="13.5" thickBot="1"/>
    <row r="54" spans="2:15" ht="12.75">
      <c r="B54" s="33" t="s">
        <v>143</v>
      </c>
      <c r="C54" s="635"/>
      <c r="D54" s="635"/>
      <c r="E54" s="635"/>
      <c r="F54" s="635"/>
      <c r="G54" s="635"/>
      <c r="H54" s="414"/>
      <c r="I54" s="630">
        <f>I8/$H$8</f>
        <v>0.2871161357522916</v>
      </c>
      <c r="J54" s="630">
        <f aca="true" t="shared" si="14" ref="J54:O54">J8/$H$8</f>
        <v>0.07782800027011111</v>
      </c>
      <c r="K54" s="630">
        <f t="shared" si="14"/>
        <v>0.0013147393456064802</v>
      </c>
      <c r="L54" s="630">
        <f t="shared" si="14"/>
        <v>0.2890834523663638</v>
      </c>
      <c r="M54" s="630">
        <f t="shared" si="14"/>
        <v>0.24538899482867288</v>
      </c>
      <c r="N54" s="630">
        <f t="shared" si="14"/>
        <v>0.09255177378511753</v>
      </c>
      <c r="O54" s="631">
        <f t="shared" si="14"/>
        <v>0.006716903651836503</v>
      </c>
    </row>
    <row r="55" spans="2:15" ht="12.75">
      <c r="B55" s="101" t="s">
        <v>144</v>
      </c>
      <c r="C55" s="636"/>
      <c r="D55" s="636"/>
      <c r="E55" s="636"/>
      <c r="F55" s="636"/>
      <c r="G55" s="636"/>
      <c r="H55" s="632"/>
      <c r="I55" s="392">
        <f>I54*$H$12</f>
        <v>1083093149.2021358</v>
      </c>
      <c r="J55" s="392">
        <f aca="true" t="shared" si="15" ref="J55:O55">J54*$H$12</f>
        <v>293591907.2879432</v>
      </c>
      <c r="K55" s="392">
        <f t="shared" si="15"/>
        <v>4959613.901468135</v>
      </c>
      <c r="L55" s="392">
        <f t="shared" si="15"/>
        <v>1090514491.5848274</v>
      </c>
      <c r="M55" s="392">
        <f t="shared" si="15"/>
        <v>925685136.0587894</v>
      </c>
      <c r="N55" s="392">
        <f t="shared" si="15"/>
        <v>349134651.97807693</v>
      </c>
      <c r="O55" s="427">
        <f t="shared" si="15"/>
        <v>25338291.455104534</v>
      </c>
    </row>
    <row r="56" spans="2:15" ht="12.75">
      <c r="B56" s="101"/>
      <c r="C56" s="636"/>
      <c r="D56" s="636"/>
      <c r="E56" s="636"/>
      <c r="F56" s="636"/>
      <c r="G56" s="636"/>
      <c r="H56" s="392"/>
      <c r="I56" s="392"/>
      <c r="J56" s="392"/>
      <c r="K56" s="392"/>
      <c r="L56" s="392"/>
      <c r="M56" s="392"/>
      <c r="N56" s="392"/>
      <c r="O56" s="427"/>
    </row>
    <row r="57" spans="2:15" ht="12.75">
      <c r="B57" s="634" t="s">
        <v>148</v>
      </c>
      <c r="C57" s="636"/>
      <c r="D57" s="636"/>
      <c r="E57" s="636"/>
      <c r="F57" s="636"/>
      <c r="G57" s="636"/>
      <c r="H57" s="392"/>
      <c r="I57" s="392"/>
      <c r="J57" s="392"/>
      <c r="K57" s="392"/>
      <c r="L57" s="392">
        <f>36000000</f>
        <v>36000000</v>
      </c>
      <c r="M57" s="392">
        <f>-36000000</f>
        <v>-36000000</v>
      </c>
      <c r="N57" s="392"/>
      <c r="O57" s="427"/>
    </row>
    <row r="58" spans="2:15" ht="12.75">
      <c r="B58" s="470" t="s">
        <v>146</v>
      </c>
      <c r="C58" s="636"/>
      <c r="D58" s="636"/>
      <c r="E58" s="636"/>
      <c r="F58" s="636"/>
      <c r="G58" s="636"/>
      <c r="H58" s="392"/>
      <c r="I58" s="392"/>
      <c r="J58" s="392">
        <f>-3689500</f>
        <v>-3689500</v>
      </c>
      <c r="K58" s="392"/>
      <c r="L58" s="392"/>
      <c r="M58" s="392"/>
      <c r="N58" s="392"/>
      <c r="O58" s="427">
        <v>3689500</v>
      </c>
    </row>
    <row r="59" spans="2:15" ht="12.75">
      <c r="B59" s="470" t="s">
        <v>147</v>
      </c>
      <c r="C59" s="636"/>
      <c r="D59" s="636"/>
      <c r="E59" s="636"/>
      <c r="F59" s="636"/>
      <c r="G59" s="636"/>
      <c r="H59" s="392"/>
      <c r="I59" s="392">
        <v>14000000</v>
      </c>
      <c r="J59" s="633">
        <v>-3000000</v>
      </c>
      <c r="K59" s="392"/>
      <c r="L59" s="392">
        <v>-6000000</v>
      </c>
      <c r="M59" s="392">
        <v>-5000000</v>
      </c>
      <c r="N59" s="392"/>
      <c r="O59" s="427"/>
    </row>
    <row r="60" spans="2:15" ht="12.75">
      <c r="B60" s="101" t="s">
        <v>145</v>
      </c>
      <c r="C60" s="636"/>
      <c r="D60" s="636"/>
      <c r="E60" s="636"/>
      <c r="F60" s="636"/>
      <c r="G60" s="636"/>
      <c r="H60" s="392"/>
      <c r="I60" s="392"/>
      <c r="J60" s="392"/>
      <c r="K60" s="392"/>
      <c r="L60" s="392"/>
      <c r="M60" s="392">
        <v>-45000000</v>
      </c>
      <c r="N60" s="392">
        <v>45000000</v>
      </c>
      <c r="O60" s="427"/>
    </row>
    <row r="61" spans="2:15" ht="12.75">
      <c r="B61" s="36"/>
      <c r="C61" s="636"/>
      <c r="D61" s="636"/>
      <c r="E61" s="636"/>
      <c r="F61" s="636"/>
      <c r="G61" s="636"/>
      <c r="H61" s="392"/>
      <c r="I61" s="392"/>
      <c r="J61" s="392"/>
      <c r="K61" s="392"/>
      <c r="L61" s="392"/>
      <c r="M61" s="392"/>
      <c r="N61" s="392"/>
      <c r="O61" s="427"/>
    </row>
    <row r="62" spans="2:15" ht="12.75">
      <c r="B62" s="470"/>
      <c r="C62" s="636"/>
      <c r="D62" s="636"/>
      <c r="E62" s="636"/>
      <c r="F62" s="636"/>
      <c r="G62" s="636"/>
      <c r="H62" s="392"/>
      <c r="I62" s="392"/>
      <c r="J62" s="392"/>
      <c r="K62" s="392"/>
      <c r="L62" s="392"/>
      <c r="M62" s="392"/>
      <c r="N62" s="392"/>
      <c r="O62" s="427"/>
    </row>
    <row r="63" spans="2:15" ht="12.75">
      <c r="B63" s="470" t="s">
        <v>149</v>
      </c>
      <c r="C63" s="636"/>
      <c r="D63" s="636"/>
      <c r="E63" s="636"/>
      <c r="F63" s="636"/>
      <c r="G63" s="636"/>
      <c r="H63" s="392"/>
      <c r="I63" s="392">
        <f>SUM(I55:I62)</f>
        <v>1097093149.2021358</v>
      </c>
      <c r="J63" s="643">
        <f aca="true" t="shared" si="16" ref="J63:O63">SUM(J55:J62)</f>
        <v>286902407.2879432</v>
      </c>
      <c r="K63" s="643">
        <f t="shared" si="16"/>
        <v>4959613.901468135</v>
      </c>
      <c r="L63" s="643">
        <f t="shared" si="16"/>
        <v>1120514491.5848274</v>
      </c>
      <c r="M63" s="643">
        <f t="shared" si="16"/>
        <v>839685136.0587894</v>
      </c>
      <c r="N63" s="643">
        <f t="shared" si="16"/>
        <v>394134651.97807693</v>
      </c>
      <c r="O63" s="644">
        <f t="shared" si="16"/>
        <v>29027791.455104534</v>
      </c>
    </row>
    <row r="64" spans="2:15" ht="13.5" thickBot="1">
      <c r="B64" s="69"/>
      <c r="C64" s="637"/>
      <c r="D64" s="637"/>
      <c r="E64" s="637"/>
      <c r="F64" s="637"/>
      <c r="G64" s="637"/>
      <c r="H64" s="393"/>
      <c r="I64" s="393"/>
      <c r="J64" s="393"/>
      <c r="K64" s="393"/>
      <c r="L64" s="393"/>
      <c r="M64" s="393"/>
      <c r="N64" s="393"/>
      <c r="O64" s="432"/>
    </row>
  </sheetData>
  <sheetProtection/>
  <mergeCells count="5">
    <mergeCell ref="P1:P2"/>
    <mergeCell ref="A4:A12"/>
    <mergeCell ref="A16:A24"/>
    <mergeCell ref="A27:A33"/>
    <mergeCell ref="C1:O1"/>
  </mergeCells>
  <printOptions/>
  <pageMargins left="0.7" right="0.7" top="0.75" bottom="0.75" header="0.3" footer="0.3"/>
  <pageSetup horizontalDpi="600" verticalDpi="600" orientation="landscape" paperSize="5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F40"/>
  <sheetViews>
    <sheetView showGridLines="0" view="pageBreakPreview" zoomScale="60" zoomScalePageLayoutView="0" workbookViewId="0" topLeftCell="A1">
      <selection activeCell="I6" sqref="H6:I6"/>
    </sheetView>
  </sheetViews>
  <sheetFormatPr defaultColWidth="9.140625" defaultRowHeight="12.75"/>
  <cols>
    <col min="1" max="1" width="23.00390625" style="30" bestFit="1" customWidth="1"/>
    <col min="2" max="2" width="13.28125" style="369" bestFit="1" customWidth="1"/>
    <col min="3" max="5" width="17.7109375" style="369" customWidth="1"/>
    <col min="6" max="6" width="13.140625" style="369" bestFit="1" customWidth="1"/>
  </cols>
  <sheetData>
    <row r="1" spans="2:6" ht="16.5" thickBot="1">
      <c r="B1" s="716" t="s">
        <v>217</v>
      </c>
      <c r="C1" s="716"/>
      <c r="D1" s="716"/>
      <c r="E1" s="716"/>
      <c r="F1" s="716"/>
    </row>
    <row r="2" spans="1:6" ht="42" customHeight="1" thickBot="1">
      <c r="A2" s="379"/>
      <c r="B2" s="380" t="s">
        <v>78</v>
      </c>
      <c r="C2" s="381" t="s">
        <v>79</v>
      </c>
      <c r="D2" s="381" t="s">
        <v>92</v>
      </c>
      <c r="E2" s="381" t="s">
        <v>81</v>
      </c>
      <c r="F2" s="382" t="s">
        <v>82</v>
      </c>
    </row>
    <row r="3" spans="1:6" ht="12.75">
      <c r="A3" s="383">
        <v>2003</v>
      </c>
      <c r="B3" s="384">
        <f>KW!C16</f>
        <v>2726683</v>
      </c>
      <c r="C3" s="385">
        <f>KW!D16</f>
        <v>1956285</v>
      </c>
      <c r="D3" s="385">
        <f>KW!E16</f>
        <v>531189</v>
      </c>
      <c r="E3" s="385">
        <f>KW!F16</f>
        <v>58415</v>
      </c>
      <c r="F3" s="386">
        <f aca="true" t="shared" si="0" ref="F3:F9">SUM(B3:E3)</f>
        <v>5272572</v>
      </c>
    </row>
    <row r="4" spans="1:6" ht="12.75">
      <c r="A4" s="383">
        <v>2004</v>
      </c>
      <c r="B4" s="387">
        <f>KW!I16</f>
        <v>2792673</v>
      </c>
      <c r="C4" s="388">
        <f>KW!J16</f>
        <v>2104962</v>
      </c>
      <c r="D4" s="388">
        <f>KW!K16</f>
        <v>505001</v>
      </c>
      <c r="E4" s="388">
        <f>KW!L16</f>
        <v>60474</v>
      </c>
      <c r="F4" s="389">
        <f t="shared" si="0"/>
        <v>5463110</v>
      </c>
    </row>
    <row r="5" spans="1:6" ht="12.75">
      <c r="A5" s="383">
        <v>2005</v>
      </c>
      <c r="B5" s="387">
        <f>KW!O16</f>
        <v>2901457</v>
      </c>
      <c r="C5" s="388">
        <f>KW!P16</f>
        <v>2167872</v>
      </c>
      <c r="D5" s="388">
        <f>KW!Q16</f>
        <v>515785</v>
      </c>
      <c r="E5" s="388">
        <f>KW!R16</f>
        <v>65522</v>
      </c>
      <c r="F5" s="389">
        <f t="shared" si="0"/>
        <v>5650636</v>
      </c>
    </row>
    <row r="6" spans="1:6" ht="12.75">
      <c r="A6" s="383">
        <v>2006</v>
      </c>
      <c r="B6" s="387">
        <f>KW!U16</f>
        <v>2962866</v>
      </c>
      <c r="C6" s="388">
        <f>KW!V16</f>
        <v>2137488</v>
      </c>
      <c r="D6" s="388">
        <f>KW!W16</f>
        <v>589471</v>
      </c>
      <c r="E6" s="388">
        <f>KW!X16</f>
        <v>70150</v>
      </c>
      <c r="F6" s="389">
        <f t="shared" si="0"/>
        <v>5759975</v>
      </c>
    </row>
    <row r="7" spans="1:6" ht="12.75">
      <c r="A7" s="383">
        <v>2007</v>
      </c>
      <c r="B7" s="387">
        <f>KW!AA16</f>
        <v>3039974</v>
      </c>
      <c r="C7" s="388">
        <f>KW!AB16</f>
        <v>2106615</v>
      </c>
      <c r="D7" s="388">
        <f>KW!AC16</f>
        <v>639861</v>
      </c>
      <c r="E7" s="388">
        <f>KW!AD16</f>
        <v>76385</v>
      </c>
      <c r="F7" s="389">
        <f t="shared" si="0"/>
        <v>5862835</v>
      </c>
    </row>
    <row r="8" spans="1:6" ht="12.75">
      <c r="A8" s="383">
        <v>2008</v>
      </c>
      <c r="B8" s="387">
        <f>KW!AG16</f>
        <v>3064109</v>
      </c>
      <c r="C8" s="388">
        <f>KW!AH16</f>
        <v>1976551</v>
      </c>
      <c r="D8" s="388">
        <f>KW!AI16</f>
        <v>712935</v>
      </c>
      <c r="E8" s="388">
        <f>KW!AJ16</f>
        <v>79929</v>
      </c>
      <c r="F8" s="389">
        <f t="shared" si="0"/>
        <v>5833524</v>
      </c>
    </row>
    <row r="9" spans="1:6" ht="12.75">
      <c r="A9" s="383">
        <v>2009</v>
      </c>
      <c r="B9" s="387">
        <f>KW!AM16</f>
        <v>3049119</v>
      </c>
      <c r="C9" s="388">
        <f>KW!AN16</f>
        <v>1839970</v>
      </c>
      <c r="D9" s="388">
        <f>KW!AO16</f>
        <v>696851</v>
      </c>
      <c r="E9" s="388">
        <f>KW!AP16</f>
        <v>81921</v>
      </c>
      <c r="F9" s="389">
        <f t="shared" si="0"/>
        <v>5667861</v>
      </c>
    </row>
    <row r="10" spans="1:6" ht="12.75">
      <c r="A10" s="383">
        <v>2010</v>
      </c>
      <c r="B10" s="554">
        <f>'Rate Class Energy Model'!L42*'Rate Class Load Model'!B29</f>
        <v>3008017.2379130363</v>
      </c>
      <c r="C10" s="555">
        <f>'Rate Class Energy Model'!M42*'Rate Class Load Model'!C29</f>
        <v>1844198.136368158</v>
      </c>
      <c r="D10" s="555">
        <f>'Rate Class Energy Model'!N42*'Rate Class Load Model'!D29</f>
        <v>664898.687305483</v>
      </c>
      <c r="E10" s="555">
        <f>'Rate Class Energy Model'!O42*'Rate Class Load Model'!E29</f>
        <v>84877.64649331334</v>
      </c>
      <c r="F10" s="556">
        <f>SUM(B10:E10)</f>
        <v>5601991.70807999</v>
      </c>
    </row>
    <row r="11" spans="1:6" ht="13.5" thickBot="1">
      <c r="A11" s="390">
        <v>2011</v>
      </c>
      <c r="B11" s="469">
        <f>'Rate Class Energy Model'!L43*'Rate Class Load Model'!B29</f>
        <v>3079919.7574746404</v>
      </c>
      <c r="C11" s="557">
        <f>'Rate Class Energy Model'!M43*'Rate Class Load Model'!C29</f>
        <v>1879168.7202012665</v>
      </c>
      <c r="D11" s="557">
        <f>'Rate Class Energy Model'!N43*'Rate Class Load Model'!D29</f>
        <v>697450.7413141615</v>
      </c>
      <c r="E11" s="557">
        <f>'Rate Class Energy Model'!O43*'Rate Class Load Model'!E29</f>
        <v>88636.54222025098</v>
      </c>
      <c r="F11" s="558">
        <f>SUM(B11:E11)</f>
        <v>5745175.76121032</v>
      </c>
    </row>
    <row r="12" spans="1:6" ht="13.5" thickBot="1">
      <c r="A12" s="391"/>
      <c r="B12" s="392"/>
      <c r="C12" s="392"/>
      <c r="D12" s="392"/>
      <c r="E12" s="392"/>
      <c r="F12" s="392"/>
    </row>
    <row r="13" spans="1:6" ht="12.75">
      <c r="A13" s="33" t="s">
        <v>130</v>
      </c>
      <c r="B13" s="394"/>
      <c r="C13" s="395"/>
      <c r="D13" s="395"/>
      <c r="E13" s="652"/>
      <c r="F13" s="392"/>
    </row>
    <row r="14" spans="1:6" ht="12.75">
      <c r="A14" s="383">
        <v>2003</v>
      </c>
      <c r="B14" s="397">
        <f>B3/'Rate Class Energy Model'!L4</f>
        <v>0.0027375432474315915</v>
      </c>
      <c r="C14" s="398">
        <f>C3/'Rate Class Energy Model'!M4</f>
        <v>0.002314797610952938</v>
      </c>
      <c r="D14" s="398">
        <f>D3/'Rate Class Energy Model'!N4</f>
        <v>0.0018850906427982752</v>
      </c>
      <c r="E14" s="402">
        <f>E3/'Rate Class Energy Model'!O4</f>
        <v>0.0030566316426861185</v>
      </c>
      <c r="F14" s="398"/>
    </row>
    <row r="15" spans="1:6" ht="12.75">
      <c r="A15" s="383">
        <v>2004</v>
      </c>
      <c r="B15" s="397">
        <f>B4/'Rate Class Energy Model'!L5</f>
        <v>0.0026706059998931925</v>
      </c>
      <c r="C15" s="398">
        <f>C4/'Rate Class Energy Model'!M5</f>
        <v>0.00228065416921893</v>
      </c>
      <c r="D15" s="398">
        <f>D4/'Rate Class Energy Model'!N5</f>
        <v>0.0017394327838906255</v>
      </c>
      <c r="E15" s="402">
        <f>E4/'Rate Class Energy Model'!O5</f>
        <v>0.0028845532876780487</v>
      </c>
      <c r="F15" s="398"/>
    </row>
    <row r="16" spans="1:6" ht="12.75">
      <c r="A16" s="383">
        <v>2005</v>
      </c>
      <c r="B16" s="397">
        <f>B5/'Rate Class Energy Model'!L6</f>
        <v>0.0026786178126509104</v>
      </c>
      <c r="C16" s="398">
        <f>C5/'Rate Class Energy Model'!M6</f>
        <v>0.0022722570269643836</v>
      </c>
      <c r="D16" s="398">
        <f>D5/'Rate Class Energy Model'!N6</f>
        <v>0.0016943072118618357</v>
      </c>
      <c r="E16" s="402">
        <f>E5/'Rate Class Energy Model'!O6</f>
        <v>0.0029907221519980833</v>
      </c>
      <c r="F16" s="398"/>
    </row>
    <row r="17" spans="1:6" ht="12.75">
      <c r="A17" s="383">
        <v>2006</v>
      </c>
      <c r="B17" s="397">
        <f>B6/'Rate Class Energy Model'!L7</f>
        <v>0.0027413184703983942</v>
      </c>
      <c r="C17" s="398">
        <f>C6/'Rate Class Energy Model'!M7</f>
        <v>0.0022489964057053405</v>
      </c>
      <c r="D17" s="398">
        <f>D6/'Rate Class Energy Model'!N7</f>
        <v>0.0017644198264680263</v>
      </c>
      <c r="E17" s="402">
        <f>E6/'Rate Class Energy Model'!O7</f>
        <v>0.002948563652347846</v>
      </c>
      <c r="F17" s="398"/>
    </row>
    <row r="18" spans="1:6" ht="12.75">
      <c r="A18" s="383">
        <v>2007</v>
      </c>
      <c r="B18" s="397">
        <f>B7/'Rate Class Energy Model'!L8</f>
        <v>0.0027392301582272603</v>
      </c>
      <c r="C18" s="398">
        <f>C7/'Rate Class Energy Model'!M8</f>
        <v>0.0022362068756178544</v>
      </c>
      <c r="D18" s="398">
        <f>D7/'Rate Class Energy Model'!N8</f>
        <v>0.0018008717346845039</v>
      </c>
      <c r="E18" s="402">
        <f>E7/'Rate Class Energy Model'!O8</f>
        <v>0.0029622441609083996</v>
      </c>
      <c r="F18" s="398"/>
    </row>
    <row r="19" spans="1:6" s="30" customFormat="1" ht="12.75">
      <c r="A19" s="383">
        <v>2008</v>
      </c>
      <c r="B19" s="397">
        <f>B8/'Rate Class Energy Model'!L9</f>
        <v>0.0027432779935042534</v>
      </c>
      <c r="C19" s="398">
        <f>C8/'Rate Class Energy Model'!M9</f>
        <v>0.002265161989119796</v>
      </c>
      <c r="D19" s="398">
        <f>D8/'Rate Class Energy Model'!N9</f>
        <v>0.0018341477575086749</v>
      </c>
      <c r="E19" s="402">
        <f>E8/'Rate Class Energy Model'!O9</f>
        <v>0.0029831952305524457</v>
      </c>
      <c r="F19" s="398"/>
    </row>
    <row r="20" spans="1:6" s="30" customFormat="1" ht="13.5" thickBot="1">
      <c r="A20" s="390">
        <v>2009</v>
      </c>
      <c r="B20" s="399">
        <f>B9/'Rate Class Energy Model'!L10</f>
        <v>0.002820626479892299</v>
      </c>
      <c r="C20" s="400">
        <f>C9/'Rate Class Energy Model'!M10</f>
        <v>0.0023344379346340732</v>
      </c>
      <c r="D20" s="400">
        <f>D9/'Rate Class Energy Model'!N10</f>
        <v>0.0020344625223988355</v>
      </c>
      <c r="E20" s="650">
        <f>E9/'Rate Class Energy Model'!O10</f>
        <v>0.0029960035000734728</v>
      </c>
      <c r="F20" s="398"/>
    </row>
    <row r="21" ht="13.5" thickBot="1">
      <c r="F21" s="392"/>
    </row>
    <row r="22" spans="1:6" ht="12.75">
      <c r="A22" s="33" t="s">
        <v>131</v>
      </c>
      <c r="B22" s="394"/>
      <c r="C22" s="395"/>
      <c r="D22" s="395"/>
      <c r="E22" s="652"/>
      <c r="F22" s="392"/>
    </row>
    <row r="23" spans="1:6" ht="12.75">
      <c r="A23" s="383">
        <v>2003</v>
      </c>
      <c r="B23" s="401" t="e">
        <v>#N/A</v>
      </c>
      <c r="C23" s="398"/>
      <c r="D23" s="398"/>
      <c r="E23" s="402"/>
      <c r="F23" s="398"/>
    </row>
    <row r="24" spans="1:6" ht="12.75">
      <c r="A24" s="383">
        <v>2004</v>
      </c>
      <c r="B24" s="401">
        <f>B14</f>
        <v>0.0027375432474315915</v>
      </c>
      <c r="C24" s="403">
        <f>C14</f>
        <v>0.002314797610952938</v>
      </c>
      <c r="D24" s="403">
        <f>D14</f>
        <v>0.0018850906427982752</v>
      </c>
      <c r="E24" s="653">
        <f>E14</f>
        <v>0.0030566316426861185</v>
      </c>
      <c r="F24" s="398"/>
    </row>
    <row r="25" spans="1:6" ht="12.75">
      <c r="A25" s="383">
        <v>2005</v>
      </c>
      <c r="B25" s="401">
        <f aca="true" t="shared" si="1" ref="B25:E29">0.7*B15+0.3*B24</f>
        <v>0.002690687174154712</v>
      </c>
      <c r="C25" s="403">
        <f t="shared" si="1"/>
        <v>0.0022908972017391324</v>
      </c>
      <c r="D25" s="403">
        <f t="shared" si="1"/>
        <v>0.0017831301415629204</v>
      </c>
      <c r="E25" s="653">
        <f t="shared" si="1"/>
        <v>0.0029361767941804696</v>
      </c>
      <c r="F25" s="398"/>
    </row>
    <row r="26" spans="1:6" ht="12.75">
      <c r="A26" s="383">
        <v>2006</v>
      </c>
      <c r="B26" s="401">
        <f t="shared" si="1"/>
        <v>0.002682238621102051</v>
      </c>
      <c r="C26" s="403">
        <f t="shared" si="1"/>
        <v>0.002277849079396808</v>
      </c>
      <c r="D26" s="403">
        <f t="shared" si="1"/>
        <v>0.0017209540907721609</v>
      </c>
      <c r="E26" s="653">
        <f t="shared" si="1"/>
        <v>0.002974358544652799</v>
      </c>
      <c r="F26" s="398"/>
    </row>
    <row r="27" spans="1:6" ht="12.75">
      <c r="A27" s="383">
        <v>2007</v>
      </c>
      <c r="B27" s="401">
        <f t="shared" si="1"/>
        <v>0.002723594515609491</v>
      </c>
      <c r="C27" s="403">
        <f t="shared" si="1"/>
        <v>0.0022576522078127806</v>
      </c>
      <c r="D27" s="403">
        <f t="shared" si="1"/>
        <v>0.0017513801057592667</v>
      </c>
      <c r="E27" s="653">
        <f t="shared" si="1"/>
        <v>0.002956302120039332</v>
      </c>
      <c r="F27" s="398"/>
    </row>
    <row r="28" spans="1:6" ht="12.75">
      <c r="A28" s="383">
        <v>2008</v>
      </c>
      <c r="B28" s="401">
        <f t="shared" si="1"/>
        <v>0.002734539465441929</v>
      </c>
      <c r="C28" s="403">
        <f t="shared" si="1"/>
        <v>0.002242640475276332</v>
      </c>
      <c r="D28" s="403">
        <f t="shared" si="1"/>
        <v>0.0017860242460069327</v>
      </c>
      <c r="E28" s="653">
        <f t="shared" si="1"/>
        <v>0.002960461548647679</v>
      </c>
      <c r="F28" s="398"/>
    </row>
    <row r="29" spans="1:6" ht="13.5" thickBot="1">
      <c r="A29" s="69">
        <v>2009</v>
      </c>
      <c r="B29" s="404">
        <f t="shared" si="1"/>
        <v>0.002740656435085556</v>
      </c>
      <c r="C29" s="405">
        <f t="shared" si="1"/>
        <v>0.0022584055349667564</v>
      </c>
      <c r="D29" s="405">
        <f t="shared" si="1"/>
        <v>0.001819710704058152</v>
      </c>
      <c r="E29" s="654">
        <f t="shared" si="1"/>
        <v>0.0029763751259810154</v>
      </c>
      <c r="F29" s="651"/>
    </row>
    <row r="34" ht="12.75">
      <c r="E34" s="406"/>
    </row>
    <row r="39" spans="2:5" ht="12.75">
      <c r="B39" s="407"/>
      <c r="C39" s="407"/>
      <c r="D39" s="407"/>
      <c r="E39" s="407"/>
    </row>
    <row r="40" spans="2:5" ht="12.75">
      <c r="B40" s="407"/>
      <c r="C40" s="407"/>
      <c r="D40" s="407"/>
      <c r="E40" s="407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2:K62"/>
  <sheetViews>
    <sheetView showGridLines="0" view="pageBreakPreview" zoomScale="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6" sqref="K16"/>
    </sheetView>
  </sheetViews>
  <sheetFormatPr defaultColWidth="9.140625" defaultRowHeight="12.75"/>
  <cols>
    <col min="1" max="1" width="3.28125" style="0" bestFit="1" customWidth="1"/>
    <col min="2" max="2" width="33.57421875" style="0" bestFit="1" customWidth="1"/>
    <col min="3" max="3" width="8.8515625" style="373" bestFit="1" customWidth="1"/>
    <col min="4" max="5" width="8.7109375" style="373" bestFit="1" customWidth="1"/>
    <col min="6" max="6" width="8.421875" style="373" bestFit="1" customWidth="1"/>
    <col min="7" max="7" width="12.8515625" style="373" bestFit="1" customWidth="1"/>
    <col min="8" max="9" width="8.7109375" style="373" bestFit="1" customWidth="1"/>
    <col min="10" max="10" width="10.140625" style="373" bestFit="1" customWidth="1"/>
    <col min="11" max="11" width="10.7109375" style="369" bestFit="1" customWidth="1"/>
    <col min="12" max="13" width="9.140625" style="369" customWidth="1"/>
  </cols>
  <sheetData>
    <row r="2" spans="3:10" ht="42" customHeight="1" thickBot="1">
      <c r="C2" s="366" t="s">
        <v>75</v>
      </c>
      <c r="D2" s="367" t="s">
        <v>77</v>
      </c>
      <c r="E2" s="367" t="s">
        <v>76</v>
      </c>
      <c r="F2" s="367" t="s">
        <v>78</v>
      </c>
      <c r="G2" s="367" t="s">
        <v>79</v>
      </c>
      <c r="H2" s="367" t="s">
        <v>80</v>
      </c>
      <c r="I2" s="367" t="s">
        <v>81</v>
      </c>
      <c r="J2" s="368" t="s">
        <v>82</v>
      </c>
    </row>
    <row r="3" spans="1:10" ht="12.75">
      <c r="A3" s="717" t="s">
        <v>127</v>
      </c>
      <c r="B3" s="684">
        <v>1999</v>
      </c>
      <c r="C3" s="655"/>
      <c r="D3" s="656"/>
      <c r="E3" s="656"/>
      <c r="F3" s="656"/>
      <c r="G3" s="656"/>
      <c r="H3" s="657"/>
      <c r="I3" s="657"/>
      <c r="J3" s="658"/>
    </row>
    <row r="4" spans="1:10" ht="12.75">
      <c r="A4" s="718"/>
      <c r="B4" s="383">
        <v>2000</v>
      </c>
      <c r="C4" s="659"/>
      <c r="D4" s="660"/>
      <c r="E4" s="660"/>
      <c r="F4" s="660"/>
      <c r="G4" s="661"/>
      <c r="H4" s="660"/>
      <c r="I4" s="660"/>
      <c r="J4" s="662"/>
    </row>
    <row r="5" spans="1:10" ht="12.75">
      <c r="A5" s="718"/>
      <c r="B5" s="383">
        <v>2001</v>
      </c>
      <c r="C5" s="663"/>
      <c r="D5" s="661"/>
      <c r="E5" s="661"/>
      <c r="F5" s="661"/>
      <c r="G5" s="661"/>
      <c r="H5" s="660"/>
      <c r="I5" s="660"/>
      <c r="J5" s="662"/>
    </row>
    <row r="6" spans="1:10" ht="12.75">
      <c r="A6" s="718"/>
      <c r="B6" s="383">
        <v>2002</v>
      </c>
      <c r="C6" s="664"/>
      <c r="D6" s="371"/>
      <c r="E6" s="371"/>
      <c r="F6" s="371"/>
      <c r="G6" s="661"/>
      <c r="H6" s="660"/>
      <c r="I6" s="660"/>
      <c r="J6" s="662"/>
    </row>
    <row r="7" spans="1:11" ht="12.75">
      <c r="A7" s="718"/>
      <c r="B7" s="383">
        <v>2003</v>
      </c>
      <c r="C7" s="665">
        <f>Customers!D15</f>
        <v>91671</v>
      </c>
      <c r="D7" s="666">
        <f>Customers!F15</f>
        <v>6511.75</v>
      </c>
      <c r="E7" s="666">
        <f>Customers!E15</f>
        <v>1105</v>
      </c>
      <c r="F7" s="666">
        <f>Customers!G15</f>
        <v>1357.4166666666667</v>
      </c>
      <c r="G7" s="666">
        <f>Customers!H15</f>
        <v>125.91666666666667</v>
      </c>
      <c r="H7" s="666">
        <f>Customers!I15</f>
        <v>4</v>
      </c>
      <c r="I7" s="666">
        <f>Customers!J15</f>
        <v>2</v>
      </c>
      <c r="J7" s="667">
        <f aca="true" t="shared" si="0" ref="J7:J15">SUM(C7:I7)</f>
        <v>100777.08333333334</v>
      </c>
      <c r="K7"/>
    </row>
    <row r="8" spans="1:11" ht="12.75">
      <c r="A8" s="718"/>
      <c r="B8" s="383">
        <v>2004</v>
      </c>
      <c r="C8" s="665">
        <f>Customers!M15</f>
        <v>98354.5</v>
      </c>
      <c r="D8" s="666">
        <f>Customers!O15</f>
        <v>6648.25</v>
      </c>
      <c r="E8" s="666">
        <f>Customers!N15</f>
        <v>1130</v>
      </c>
      <c r="F8" s="666">
        <f>Customers!P15</f>
        <v>1393.3333333333333</v>
      </c>
      <c r="G8" s="666">
        <f>Customers!Q15</f>
        <v>124.33333333333333</v>
      </c>
      <c r="H8" s="666">
        <f>Customers!R15</f>
        <v>3.0833333333333335</v>
      </c>
      <c r="I8" s="666">
        <f>Customers!S15</f>
        <v>2</v>
      </c>
      <c r="J8" s="667">
        <f t="shared" si="0"/>
        <v>107655.49999999999</v>
      </c>
      <c r="K8"/>
    </row>
    <row r="9" spans="1:11" ht="12.75">
      <c r="A9" s="718"/>
      <c r="B9" s="383">
        <v>2005</v>
      </c>
      <c r="C9" s="665">
        <f>Customers!V15</f>
        <v>104821.5</v>
      </c>
      <c r="D9" s="666">
        <f>Customers!X15</f>
        <v>6891.666666666667</v>
      </c>
      <c r="E9" s="666">
        <f>Customers!W15</f>
        <v>1159</v>
      </c>
      <c r="F9" s="666">
        <f>Customers!Y15</f>
        <v>1363.75</v>
      </c>
      <c r="G9" s="666">
        <f>Customers!Z15</f>
        <v>120.5</v>
      </c>
      <c r="H9" s="666">
        <f>Customers!AA15</f>
        <v>3</v>
      </c>
      <c r="I9" s="666">
        <f>Customers!AB15</f>
        <v>2</v>
      </c>
      <c r="J9" s="667">
        <f t="shared" si="0"/>
        <v>114361.41666666667</v>
      </c>
      <c r="K9"/>
    </row>
    <row r="10" spans="1:11" ht="12.75">
      <c r="A10" s="718"/>
      <c r="B10" s="383">
        <v>2006</v>
      </c>
      <c r="C10" s="665">
        <f>Customers!AE15</f>
        <v>109778.16666666667</v>
      </c>
      <c r="D10" s="666">
        <f>Customers!AG15</f>
        <v>7075.333333333333</v>
      </c>
      <c r="E10" s="666">
        <f>Customers!AF15</f>
        <v>1207</v>
      </c>
      <c r="F10" s="666">
        <f>Customers!AH15</f>
        <v>1402.0833333333333</v>
      </c>
      <c r="G10" s="666">
        <f>Customers!AI15</f>
        <v>118.66666666666667</v>
      </c>
      <c r="H10" s="666">
        <f>Customers!AJ15</f>
        <v>3.9166666666666665</v>
      </c>
      <c r="I10" s="666">
        <f>Customers!AK15</f>
        <v>2</v>
      </c>
      <c r="J10" s="667">
        <f t="shared" si="0"/>
        <v>119587.16666666667</v>
      </c>
      <c r="K10"/>
    </row>
    <row r="11" spans="1:11" ht="12.75">
      <c r="A11" s="718"/>
      <c r="B11" s="383">
        <v>2007</v>
      </c>
      <c r="C11" s="665">
        <f>Customers!AN15</f>
        <v>114118.83333333333</v>
      </c>
      <c r="D11" s="666">
        <f>Customers!AP15</f>
        <v>7294.333333333333</v>
      </c>
      <c r="E11" s="666">
        <f>Customers!AO15</f>
        <v>1250</v>
      </c>
      <c r="F11" s="666">
        <f>Customers!AQ15</f>
        <v>1416.8333333333333</v>
      </c>
      <c r="G11" s="666">
        <f>Customers!AR15</f>
        <v>116.83333333333333</v>
      </c>
      <c r="H11" s="666">
        <f>Customers!AS15</f>
        <v>4.916666666666667</v>
      </c>
      <c r="I11" s="666">
        <f>Customers!AT15</f>
        <v>2</v>
      </c>
      <c r="J11" s="667">
        <f t="shared" si="0"/>
        <v>124203.74999999999</v>
      </c>
      <c r="K11"/>
    </row>
    <row r="12" spans="1:11" ht="12.75">
      <c r="A12" s="718"/>
      <c r="B12" s="383">
        <v>2008</v>
      </c>
      <c r="C12" s="665">
        <f>Customers!AW15</f>
        <v>119060</v>
      </c>
      <c r="D12" s="666">
        <f>Customers!AY15</f>
        <v>7436.75</v>
      </c>
      <c r="E12" s="666">
        <f>Customers!AX15</f>
        <v>1267</v>
      </c>
      <c r="F12" s="666">
        <f>Customers!AZ15</f>
        <v>1491.1666666666667</v>
      </c>
      <c r="G12" s="666">
        <f>Customers!BA15</f>
        <v>115.66666666666667</v>
      </c>
      <c r="H12" s="666">
        <f>Customers!BB15</f>
        <v>6</v>
      </c>
      <c r="I12" s="666">
        <f>Customers!BC15</f>
        <v>2</v>
      </c>
      <c r="J12" s="667">
        <f t="shared" si="0"/>
        <v>129378.58333333334</v>
      </c>
      <c r="K12"/>
    </row>
    <row r="13" spans="1:11" ht="12.75">
      <c r="A13" s="718"/>
      <c r="B13" s="383">
        <v>2009</v>
      </c>
      <c r="C13" s="668">
        <f>Customers!BF15</f>
        <v>121040.83333333333</v>
      </c>
      <c r="D13" s="669">
        <f>Customers!BH15</f>
        <v>7528.75</v>
      </c>
      <c r="E13" s="669">
        <f>Customers!BG15</f>
        <v>1280</v>
      </c>
      <c r="F13" s="669">
        <f>Customers!BI15</f>
        <v>1553.6666666666667</v>
      </c>
      <c r="G13" s="669">
        <f>Customers!BJ15</f>
        <v>113.91666666666667</v>
      </c>
      <c r="H13" s="669">
        <f>Customers!BK15</f>
        <v>6</v>
      </c>
      <c r="I13" s="669">
        <f>Customers!BL15</f>
        <v>2</v>
      </c>
      <c r="J13" s="667">
        <f t="shared" si="0"/>
        <v>131525.16666666666</v>
      </c>
      <c r="K13"/>
    </row>
    <row r="14" spans="1:10" ht="12.75">
      <c r="A14" s="718"/>
      <c r="B14" s="383">
        <v>2010</v>
      </c>
      <c r="C14" s="668">
        <f>Customers!D47</f>
        <v>122376.57063286903</v>
      </c>
      <c r="D14" s="669">
        <f>Customers!F47</f>
        <v>7727.996361147564</v>
      </c>
      <c r="E14" s="669">
        <f>Customers!E47</f>
        <v>1287.1362723368832</v>
      </c>
      <c r="F14" s="669">
        <f>Customers!G47</f>
        <v>1543.6910838752199</v>
      </c>
      <c r="G14" s="669">
        <f>Customers!H47</f>
        <v>110.29141195348073</v>
      </c>
      <c r="H14" s="669">
        <f>Customers!I47</f>
        <v>6</v>
      </c>
      <c r="I14" s="669">
        <f>Customers!J47</f>
        <v>2</v>
      </c>
      <c r="J14" s="667">
        <f t="shared" si="0"/>
        <v>133053.6857621822</v>
      </c>
    </row>
    <row r="15" spans="1:10" ht="13.5" thickBot="1">
      <c r="A15" s="719"/>
      <c r="B15" s="390">
        <v>2011</v>
      </c>
      <c r="C15" s="670">
        <f>Customers!M47</f>
        <v>123659.97314975421</v>
      </c>
      <c r="D15" s="671">
        <f>Customers!O47</f>
        <v>7892.95355666639</v>
      </c>
      <c r="E15" s="671">
        <f>Customers!N47</f>
        <v>1300.4051714878062</v>
      </c>
      <c r="F15" s="671">
        <f>Customers!P47</f>
        <v>1552.2130766767457</v>
      </c>
      <c r="G15" s="671">
        <f>Customers!Q47</f>
        <v>105.9532852783358</v>
      </c>
      <c r="H15" s="671">
        <f>Customers!R47</f>
        <v>6</v>
      </c>
      <c r="I15" s="671">
        <f>Customers!S47</f>
        <v>2</v>
      </c>
      <c r="J15" s="672">
        <f t="shared" si="0"/>
        <v>134519.4982398635</v>
      </c>
    </row>
    <row r="16" ht="12.75" customHeight="1">
      <c r="B16" s="372"/>
    </row>
    <row r="17" spans="2:10" ht="13.5" thickBot="1">
      <c r="B17" s="178"/>
      <c r="C17" s="687"/>
      <c r="D17" s="687"/>
      <c r="E17" s="688"/>
      <c r="F17" s="687"/>
      <c r="G17" s="687"/>
      <c r="H17" s="689"/>
      <c r="I17" s="689"/>
      <c r="J17" s="689"/>
    </row>
    <row r="18" spans="1:10" ht="12.75" customHeight="1">
      <c r="A18" s="711" t="s">
        <v>128</v>
      </c>
      <c r="B18" s="383">
        <v>1999</v>
      </c>
      <c r="C18" s="685"/>
      <c r="D18" s="686"/>
      <c r="E18" s="686"/>
      <c r="F18" s="686"/>
      <c r="G18" s="686"/>
      <c r="H18" s="686"/>
      <c r="I18" s="660"/>
      <c r="J18" s="662"/>
    </row>
    <row r="19" spans="1:10" ht="12.75">
      <c r="A19" s="712"/>
      <c r="B19" s="383">
        <v>2000</v>
      </c>
      <c r="C19" s="673"/>
      <c r="D19" s="674"/>
      <c r="E19" s="674"/>
      <c r="F19" s="674"/>
      <c r="G19" s="674"/>
      <c r="H19" s="674"/>
      <c r="I19" s="675"/>
      <c r="J19" s="676"/>
    </row>
    <row r="20" spans="1:10" ht="12.75">
      <c r="A20" s="712"/>
      <c r="B20" s="383">
        <v>2001</v>
      </c>
      <c r="C20" s="673"/>
      <c r="D20" s="674"/>
      <c r="E20" s="674"/>
      <c r="F20" s="674"/>
      <c r="G20" s="674"/>
      <c r="H20" s="674"/>
      <c r="I20" s="675"/>
      <c r="J20" s="676"/>
    </row>
    <row r="21" spans="1:10" ht="12.75">
      <c r="A21" s="712"/>
      <c r="B21" s="383">
        <v>2002</v>
      </c>
      <c r="C21" s="673"/>
      <c r="D21" s="674"/>
      <c r="E21" s="674"/>
      <c r="F21" s="674"/>
      <c r="G21" s="674"/>
      <c r="H21" s="674"/>
      <c r="I21" s="675"/>
      <c r="J21" s="676"/>
    </row>
    <row r="22" spans="1:10" ht="12.75">
      <c r="A22" s="712"/>
      <c r="B22" s="383">
        <v>2003</v>
      </c>
      <c r="C22" s="673"/>
      <c r="D22" s="674"/>
      <c r="E22" s="674"/>
      <c r="F22" s="674"/>
      <c r="G22" s="674"/>
      <c r="H22" s="674"/>
      <c r="I22" s="675"/>
      <c r="J22" s="676"/>
    </row>
    <row r="23" spans="1:10" ht="12.75">
      <c r="A23" s="712"/>
      <c r="B23" s="383">
        <v>2004</v>
      </c>
      <c r="C23" s="673">
        <f aca="true" t="shared" si="1" ref="C23:J30">C8/C7</f>
        <v>1.0729074625563155</v>
      </c>
      <c r="D23" s="674">
        <f t="shared" si="1"/>
        <v>1.0209621069604944</v>
      </c>
      <c r="E23" s="674">
        <f t="shared" si="1"/>
        <v>1.0226244343891402</v>
      </c>
      <c r="F23" s="674">
        <f t="shared" si="1"/>
        <v>1.0264595739456073</v>
      </c>
      <c r="G23" s="674">
        <f t="shared" si="1"/>
        <v>0.987425545996029</v>
      </c>
      <c r="H23" s="674">
        <f t="shared" si="1"/>
        <v>0.7708333333333334</v>
      </c>
      <c r="I23" s="674">
        <f t="shared" si="1"/>
        <v>1</v>
      </c>
      <c r="J23" s="677">
        <f t="shared" si="1"/>
        <v>1.0682537779339711</v>
      </c>
    </row>
    <row r="24" spans="1:10" ht="12.75">
      <c r="A24" s="712"/>
      <c r="B24" s="383">
        <v>2005</v>
      </c>
      <c r="C24" s="673">
        <f t="shared" si="1"/>
        <v>1.0657519483094318</v>
      </c>
      <c r="D24" s="674">
        <f t="shared" si="1"/>
        <v>1.0366136451948509</v>
      </c>
      <c r="E24" s="674">
        <f t="shared" si="1"/>
        <v>1.0256637168141594</v>
      </c>
      <c r="F24" s="674">
        <f t="shared" si="1"/>
        <v>0.9787679425837321</v>
      </c>
      <c r="G24" s="674">
        <f t="shared" si="1"/>
        <v>0.9691689008042896</v>
      </c>
      <c r="H24" s="674">
        <f t="shared" si="1"/>
        <v>0.9729729729729729</v>
      </c>
      <c r="I24" s="674">
        <f t="shared" si="1"/>
        <v>1</v>
      </c>
      <c r="J24" s="677">
        <f t="shared" si="1"/>
        <v>1.0622905161990488</v>
      </c>
    </row>
    <row r="25" spans="1:10" ht="12.75">
      <c r="A25" s="712"/>
      <c r="B25" s="383">
        <v>2006</v>
      </c>
      <c r="C25" s="673">
        <f t="shared" si="1"/>
        <v>1.047286736658669</v>
      </c>
      <c r="D25" s="674">
        <f t="shared" si="1"/>
        <v>1.0266505441354292</v>
      </c>
      <c r="E25" s="674">
        <f t="shared" si="1"/>
        <v>1.0414150129421915</v>
      </c>
      <c r="F25" s="674">
        <f t="shared" si="1"/>
        <v>1.0281087687137183</v>
      </c>
      <c r="G25" s="674">
        <f t="shared" si="1"/>
        <v>0.9847856154910097</v>
      </c>
      <c r="H25" s="674">
        <f t="shared" si="1"/>
        <v>1.3055555555555556</v>
      </c>
      <c r="I25" s="674">
        <f t="shared" si="1"/>
        <v>1</v>
      </c>
      <c r="J25" s="677">
        <f t="shared" si="1"/>
        <v>1.0456950442930564</v>
      </c>
    </row>
    <row r="26" spans="1:10" ht="12.75">
      <c r="A26" s="712"/>
      <c r="B26" s="383">
        <v>2007</v>
      </c>
      <c r="C26" s="673">
        <f t="shared" si="1"/>
        <v>1.0395403457578845</v>
      </c>
      <c r="D26" s="674">
        <f t="shared" si="1"/>
        <v>1.0309526052953923</v>
      </c>
      <c r="E26" s="674">
        <f t="shared" si="1"/>
        <v>1.035625517812759</v>
      </c>
      <c r="F26" s="674">
        <f t="shared" si="1"/>
        <v>1.010520059435364</v>
      </c>
      <c r="G26" s="674">
        <f t="shared" si="1"/>
        <v>0.9845505617977527</v>
      </c>
      <c r="H26" s="674">
        <f t="shared" si="1"/>
        <v>1.2553191489361704</v>
      </c>
      <c r="I26" s="674">
        <f t="shared" si="1"/>
        <v>1</v>
      </c>
      <c r="J26" s="677">
        <f t="shared" si="1"/>
        <v>1.038604337421936</v>
      </c>
    </row>
    <row r="27" spans="1:10" ht="12.75">
      <c r="A27" s="712"/>
      <c r="B27" s="383">
        <v>2008</v>
      </c>
      <c r="C27" s="673">
        <f t="shared" si="1"/>
        <v>1.0432984330661168</v>
      </c>
      <c r="D27" s="674">
        <f t="shared" si="1"/>
        <v>1.0195242882602935</v>
      </c>
      <c r="E27" s="674">
        <f t="shared" si="1"/>
        <v>1.0136</v>
      </c>
      <c r="F27" s="674">
        <f t="shared" si="1"/>
        <v>1.0524644159510648</v>
      </c>
      <c r="G27" s="674">
        <f t="shared" si="1"/>
        <v>0.9900142653352355</v>
      </c>
      <c r="H27" s="674">
        <f t="shared" si="1"/>
        <v>1.2203389830508473</v>
      </c>
      <c r="I27" s="674">
        <f t="shared" si="1"/>
        <v>1</v>
      </c>
      <c r="J27" s="677">
        <f t="shared" si="1"/>
        <v>1.0416640667720045</v>
      </c>
    </row>
    <row r="28" spans="1:10" ht="12.75">
      <c r="A28" s="712"/>
      <c r="B28" s="383">
        <v>2009</v>
      </c>
      <c r="C28" s="673">
        <f t="shared" si="1"/>
        <v>1.0166372697239487</v>
      </c>
      <c r="D28" s="674">
        <f t="shared" si="1"/>
        <v>1.0123709953944935</v>
      </c>
      <c r="E28" s="674">
        <f t="shared" si="1"/>
        <v>1.01026045777427</v>
      </c>
      <c r="F28" s="674">
        <f t="shared" si="1"/>
        <v>1.0419134905554934</v>
      </c>
      <c r="G28" s="674">
        <f t="shared" si="1"/>
        <v>0.9848703170028819</v>
      </c>
      <c r="H28" s="674">
        <f t="shared" si="1"/>
        <v>1</v>
      </c>
      <c r="I28" s="674">
        <f t="shared" si="1"/>
        <v>1</v>
      </c>
      <c r="J28" s="677">
        <f t="shared" si="1"/>
        <v>1.0165914889313854</v>
      </c>
    </row>
    <row r="29" spans="1:10" ht="12.75">
      <c r="A29" s="712"/>
      <c r="B29" s="383">
        <v>2010</v>
      </c>
      <c r="C29" s="673">
        <f t="shared" si="1"/>
        <v>1.011035427159174</v>
      </c>
      <c r="D29" s="674">
        <f t="shared" si="1"/>
        <v>1.0264647333418648</v>
      </c>
      <c r="E29" s="674">
        <f t="shared" si="1"/>
        <v>1.00557521276319</v>
      </c>
      <c r="F29" s="674">
        <f t="shared" si="1"/>
        <v>0.9935793288190644</v>
      </c>
      <c r="G29" s="674">
        <f t="shared" si="1"/>
        <v>0.9681762570898089</v>
      </c>
      <c r="H29" s="674">
        <f t="shared" si="1"/>
        <v>1</v>
      </c>
      <c r="I29" s="674">
        <f t="shared" si="1"/>
        <v>1</v>
      </c>
      <c r="J29" s="677">
        <f t="shared" si="1"/>
        <v>1.011621495218397</v>
      </c>
    </row>
    <row r="30" spans="1:10" ht="13.5" thickBot="1">
      <c r="A30" s="713"/>
      <c r="B30" s="390">
        <v>2011</v>
      </c>
      <c r="C30" s="678">
        <f t="shared" si="1"/>
        <v>1.010487322125862</v>
      </c>
      <c r="D30" s="679">
        <f t="shared" si="1"/>
        <v>1.0213454028457036</v>
      </c>
      <c r="E30" s="679">
        <f t="shared" si="1"/>
        <v>1.0103088534105502</v>
      </c>
      <c r="F30" s="679">
        <f t="shared" si="1"/>
        <v>1.0055205299107723</v>
      </c>
      <c r="G30" s="679">
        <f t="shared" si="1"/>
        <v>0.9606666865687177</v>
      </c>
      <c r="H30" s="679">
        <f t="shared" si="1"/>
        <v>1</v>
      </c>
      <c r="I30" s="679">
        <f t="shared" si="1"/>
        <v>1</v>
      </c>
      <c r="J30" s="680">
        <f t="shared" si="1"/>
        <v>1.0110166995321066</v>
      </c>
    </row>
    <row r="31" spans="2:8" ht="13.5" thickBot="1">
      <c r="B31" s="370"/>
      <c r="C31" s="374"/>
      <c r="D31" s="374"/>
      <c r="E31" s="374"/>
      <c r="F31" s="374"/>
      <c r="G31" s="374"/>
      <c r="H31" s="374"/>
    </row>
    <row r="32" spans="2:10" ht="13.5" thickBot="1">
      <c r="B32" s="509" t="s">
        <v>129</v>
      </c>
      <c r="C32" s="681">
        <f aca="true" t="shared" si="2" ref="C32:J32">GEOMEAN(C23:C27)</f>
        <v>1.0536752570963923</v>
      </c>
      <c r="D32" s="682">
        <f t="shared" si="2"/>
        <v>1.0269211362923778</v>
      </c>
      <c r="E32" s="682">
        <f t="shared" si="2"/>
        <v>1.0277390714558758</v>
      </c>
      <c r="F32" s="682">
        <f t="shared" si="2"/>
        <v>1.018972824966641</v>
      </c>
      <c r="G32" s="682">
        <f t="shared" si="2"/>
        <v>0.9831618098018224</v>
      </c>
      <c r="H32" s="682">
        <f t="shared" si="2"/>
        <v>1.0844717711976986</v>
      </c>
      <c r="I32" s="683">
        <f t="shared" si="2"/>
        <v>1</v>
      </c>
      <c r="J32" s="683">
        <f t="shared" si="2"/>
        <v>1.0512357488190824</v>
      </c>
    </row>
    <row r="33" spans="2:10" ht="12.75">
      <c r="B33" s="220"/>
      <c r="C33" s="375"/>
      <c r="D33" s="375"/>
      <c r="E33" s="375"/>
      <c r="F33" s="375"/>
      <c r="G33" s="375"/>
      <c r="H33" s="375"/>
      <c r="I33" s="375"/>
      <c r="J33" s="375"/>
    </row>
    <row r="34" spans="2:7" ht="12.75">
      <c r="B34" s="370"/>
      <c r="C34" s="376"/>
      <c r="D34" s="376"/>
      <c r="E34" s="376"/>
      <c r="F34" s="376"/>
      <c r="G34" s="376"/>
    </row>
    <row r="40" spans="5:6" ht="12.75">
      <c r="E40" s="377"/>
      <c r="F40" s="377"/>
    </row>
    <row r="41" spans="3:7" ht="12.75">
      <c r="C41" s="377"/>
      <c r="D41" s="377"/>
      <c r="E41" s="377"/>
      <c r="F41" s="377"/>
      <c r="G41" s="377"/>
    </row>
    <row r="42" spans="3:7" ht="12.75">
      <c r="C42" s="377"/>
      <c r="D42" s="377"/>
      <c r="G42" s="377"/>
    </row>
    <row r="60" spans="5:6" ht="12.75">
      <c r="E60" s="378"/>
      <c r="F60" s="378"/>
    </row>
    <row r="61" spans="3:7" ht="12.75">
      <c r="C61" s="378"/>
      <c r="D61" s="378"/>
      <c r="E61" s="378"/>
      <c r="F61" s="378"/>
      <c r="G61" s="378"/>
    </row>
    <row r="62" spans="3:7" ht="12.75">
      <c r="C62" s="378"/>
      <c r="D62" s="378"/>
      <c r="G62" s="378"/>
    </row>
  </sheetData>
  <sheetProtection/>
  <mergeCells count="2">
    <mergeCell ref="A3:A15"/>
    <mergeCell ref="A18:A30"/>
  </mergeCells>
  <printOptions/>
  <pageMargins left="0.38" right="0.75" top="0.73" bottom="0.74" header="0.5" footer="0.5"/>
  <pageSetup fitToHeight="1" fitToWidth="1" horizontalDpi="600" verticalDpi="600" orientation="portrait" scale="85" r:id="rId1"/>
  <headerFooter alignWithMargins="0">
    <oddHeader>&amp;C&amp;"Arial,Bold"&amp;16HOBNI Rate Class Customer Model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R89"/>
  <sheetViews>
    <sheetView showGridLines="0" zoomScaleSheetLayoutView="20" zoomScalePageLayoutView="0" workbookViewId="0" topLeftCell="A26">
      <pane xSplit="2" topLeftCell="C1" activePane="topRight" state="frozen"/>
      <selection pane="topLeft" activeCell="A1" sqref="A1"/>
      <selection pane="topRight" activeCell="F57" sqref="F57"/>
    </sheetView>
  </sheetViews>
  <sheetFormatPr defaultColWidth="9.140625" defaultRowHeight="12.75" outlineLevelCol="1"/>
  <cols>
    <col min="1" max="1" width="3.8515625" style="29" customWidth="1"/>
    <col min="2" max="2" width="18.57421875" style="29" bestFit="1" customWidth="1"/>
    <col min="3" max="3" width="9.140625" style="29" customWidth="1"/>
    <col min="4" max="4" width="25.140625" style="29" bestFit="1" customWidth="1" outlineLevel="1"/>
    <col min="5" max="5" width="20.140625" style="29" bestFit="1" customWidth="1" outlineLevel="1"/>
    <col min="6" max="6" width="24.421875" style="29" bestFit="1" customWidth="1" outlineLevel="1"/>
    <col min="7" max="7" width="26.57421875" style="191" bestFit="1" customWidth="1" outlineLevel="1"/>
    <col min="8" max="8" width="25.8515625" style="191" bestFit="1" customWidth="1" outlineLevel="1"/>
    <col min="9" max="9" width="24.421875" style="29" bestFit="1" customWidth="1" outlineLevel="1"/>
    <col min="10" max="10" width="23.7109375" style="29" bestFit="1" customWidth="1" outlineLevel="1"/>
    <col min="11" max="11" width="20.140625" style="29" bestFit="1" customWidth="1" outlineLevel="1"/>
    <col min="12" max="12" width="5.00390625" style="29" bestFit="1" customWidth="1"/>
    <col min="13" max="13" width="18.00390625" style="29" bestFit="1" customWidth="1" outlineLevel="1"/>
    <col min="14" max="14" width="11.28125" style="29" bestFit="1" customWidth="1" outlineLevel="1"/>
    <col min="15" max="15" width="12.28125" style="29" bestFit="1" customWidth="1" outlineLevel="1"/>
    <col min="16" max="16" width="14.00390625" style="191" bestFit="1" customWidth="1" outlineLevel="1"/>
    <col min="17" max="17" width="12.57421875" style="191" bestFit="1" customWidth="1" outlineLevel="1"/>
    <col min="18" max="18" width="12.57421875" style="29" bestFit="1" customWidth="1" outlineLevel="1"/>
    <col min="19" max="19" width="11.57421875" style="29" bestFit="1" customWidth="1" outlineLevel="1"/>
    <col min="20" max="20" width="14.28125" style="29" bestFit="1" customWidth="1" outlineLevel="1"/>
    <col min="21" max="21" width="5.00390625" style="29" bestFit="1" customWidth="1"/>
    <col min="22" max="22" width="14.28125" style="29" bestFit="1" customWidth="1" outlineLevel="1"/>
    <col min="23" max="23" width="11.00390625" style="29" bestFit="1" customWidth="1" outlineLevel="1"/>
    <col min="24" max="24" width="12.57421875" style="29" bestFit="1" customWidth="1" outlineLevel="1"/>
    <col min="25" max="25" width="14.28125" style="29" bestFit="1" customWidth="1" outlineLevel="1"/>
    <col min="26" max="26" width="12.7109375" style="29" bestFit="1" customWidth="1" outlineLevel="1"/>
    <col min="27" max="27" width="12.57421875" style="29" bestFit="1" customWidth="1" outlineLevel="1"/>
    <col min="28" max="28" width="11.57421875" style="29" bestFit="1" customWidth="1" outlineLevel="1"/>
    <col min="29" max="29" width="14.28125" style="29" bestFit="1" customWidth="1" outlineLevel="1"/>
    <col min="30" max="30" width="5.00390625" style="29" bestFit="1" customWidth="1"/>
    <col min="31" max="31" width="14.28125" style="29" bestFit="1" customWidth="1" outlineLevel="1"/>
    <col min="32" max="32" width="11.00390625" style="29" bestFit="1" customWidth="1" outlineLevel="1"/>
    <col min="33" max="33" width="12.57421875" style="29" bestFit="1" customWidth="1" outlineLevel="1"/>
    <col min="34" max="34" width="14.28125" style="29" bestFit="1" customWidth="1" outlineLevel="1"/>
    <col min="35" max="35" width="12.7109375" style="29" bestFit="1" customWidth="1" outlineLevel="1"/>
    <col min="36" max="36" width="12.57421875" style="29" bestFit="1" customWidth="1" outlineLevel="1"/>
    <col min="37" max="37" width="11.57421875" style="29" bestFit="1" customWidth="1" outlineLevel="1"/>
    <col min="38" max="38" width="14.28125" style="29" bestFit="1" customWidth="1" outlineLevel="1"/>
    <col min="39" max="39" width="5.00390625" style="29" bestFit="1" customWidth="1"/>
    <col min="40" max="40" width="14.28125" style="29" bestFit="1" customWidth="1" outlineLevel="1"/>
    <col min="41" max="41" width="11.00390625" style="29" bestFit="1" customWidth="1" outlineLevel="1"/>
    <col min="42" max="42" width="12.57421875" style="29" bestFit="1" customWidth="1" outlineLevel="1"/>
    <col min="43" max="43" width="14.00390625" style="29" bestFit="1" customWidth="1" outlineLevel="1"/>
    <col min="44" max="44" width="12.7109375" style="29" bestFit="1" customWidth="1" outlineLevel="1"/>
    <col min="45" max="45" width="12.57421875" style="29" bestFit="1" customWidth="1" outlineLevel="1"/>
    <col min="46" max="46" width="11.57421875" style="29" bestFit="1" customWidth="1" outlineLevel="1"/>
    <col min="47" max="47" width="14.28125" style="29" bestFit="1" customWidth="1" outlineLevel="1"/>
    <col min="48" max="48" width="5.00390625" style="29" bestFit="1" customWidth="1"/>
    <col min="49" max="49" width="14.28125" style="29" bestFit="1" customWidth="1" outlineLevel="1"/>
    <col min="50" max="50" width="11.140625" style="29" customWidth="1" outlineLevel="1"/>
    <col min="51" max="51" width="12.57421875" style="29" bestFit="1" customWidth="1" outlineLevel="1"/>
    <col min="52" max="52" width="14.28125" style="29" bestFit="1" customWidth="1" outlineLevel="1"/>
    <col min="53" max="53" width="12.7109375" style="29" bestFit="1" customWidth="1" outlineLevel="1"/>
    <col min="54" max="54" width="12.57421875" style="29" bestFit="1" customWidth="1" outlineLevel="1"/>
    <col min="55" max="55" width="11.57421875" style="29" bestFit="1" customWidth="1" outlineLevel="1"/>
    <col min="56" max="56" width="14.28125" style="29" bestFit="1" customWidth="1" outlineLevel="1"/>
    <col min="57" max="57" width="5.00390625" style="29" bestFit="1" customWidth="1"/>
    <col min="58" max="58" width="14.28125" style="29" bestFit="1" customWidth="1" outlineLevel="1"/>
    <col min="59" max="59" width="11.140625" style="29" bestFit="1" customWidth="1" outlineLevel="1"/>
    <col min="60" max="60" width="15.8515625" style="29" bestFit="1" customWidth="1" outlineLevel="1"/>
    <col min="61" max="61" width="16.140625" style="29" bestFit="1" customWidth="1" outlineLevel="1"/>
    <col min="62" max="62" width="14.8515625" style="29" bestFit="1" customWidth="1" outlineLevel="1"/>
    <col min="63" max="63" width="15.140625" style="29" bestFit="1" customWidth="1" outlineLevel="1"/>
    <col min="64" max="64" width="14.140625" style="29" bestFit="1" customWidth="1" outlineLevel="1"/>
    <col min="65" max="65" width="17.28125" style="29" bestFit="1" customWidth="1" outlineLevel="1"/>
    <col min="66" max="66" width="7.7109375" style="29" bestFit="1" customWidth="1"/>
    <col min="67" max="67" width="9.140625" style="29" customWidth="1"/>
    <col min="68" max="68" width="10.28125" style="29" bestFit="1" customWidth="1"/>
    <col min="69" max="69" width="11.28125" style="29" bestFit="1" customWidth="1"/>
    <col min="70" max="16384" width="9.140625" style="29" customWidth="1"/>
  </cols>
  <sheetData>
    <row r="1" spans="4:66" s="5" customFormat="1" ht="12.75">
      <c r="D1" s="720" t="s">
        <v>94</v>
      </c>
      <c r="E1" s="721"/>
      <c r="F1" s="721"/>
      <c r="G1" s="721"/>
      <c r="H1" s="721"/>
      <c r="I1" s="721"/>
      <c r="J1" s="721"/>
      <c r="K1" s="158"/>
      <c r="L1" s="108">
        <v>2003</v>
      </c>
      <c r="M1" s="720" t="s">
        <v>95</v>
      </c>
      <c r="N1" s="721"/>
      <c r="O1" s="721"/>
      <c r="P1" s="721"/>
      <c r="Q1" s="721"/>
      <c r="R1" s="721"/>
      <c r="S1" s="721"/>
      <c r="T1" s="39"/>
      <c r="U1" s="108">
        <v>2004</v>
      </c>
      <c r="V1" s="720" t="s">
        <v>96</v>
      </c>
      <c r="W1" s="721"/>
      <c r="X1" s="721"/>
      <c r="Y1" s="721"/>
      <c r="Z1" s="721"/>
      <c r="AA1" s="721"/>
      <c r="AB1" s="721"/>
      <c r="AC1" s="39"/>
      <c r="AD1" s="108">
        <v>2005</v>
      </c>
      <c r="AE1" s="720" t="s">
        <v>97</v>
      </c>
      <c r="AF1" s="721"/>
      <c r="AG1" s="721"/>
      <c r="AH1" s="721"/>
      <c r="AI1" s="721"/>
      <c r="AJ1" s="721"/>
      <c r="AK1" s="721"/>
      <c r="AL1" s="39"/>
      <c r="AM1" s="108">
        <v>2006</v>
      </c>
      <c r="AN1" s="720" t="s">
        <v>98</v>
      </c>
      <c r="AO1" s="721"/>
      <c r="AP1" s="721"/>
      <c r="AQ1" s="721"/>
      <c r="AR1" s="721"/>
      <c r="AS1" s="721"/>
      <c r="AT1" s="721"/>
      <c r="AU1" s="39"/>
      <c r="AV1" s="108">
        <v>2007</v>
      </c>
      <c r="AW1" s="720" t="s">
        <v>99</v>
      </c>
      <c r="AX1" s="721"/>
      <c r="AY1" s="721"/>
      <c r="AZ1" s="721"/>
      <c r="BA1" s="721"/>
      <c r="BB1" s="721"/>
      <c r="BC1" s="721"/>
      <c r="BD1" s="39"/>
      <c r="BE1" s="108">
        <v>2008</v>
      </c>
      <c r="BF1" s="720" t="s">
        <v>100</v>
      </c>
      <c r="BG1" s="721"/>
      <c r="BH1" s="721"/>
      <c r="BI1" s="721"/>
      <c r="BJ1" s="721"/>
      <c r="BK1" s="721"/>
      <c r="BL1" s="721"/>
      <c r="BM1" s="160"/>
      <c r="BN1" s="108">
        <v>2009</v>
      </c>
    </row>
    <row r="2" spans="4:65" s="5" customFormat="1" ht="13.5" thickBot="1">
      <c r="D2" s="161" t="s">
        <v>75</v>
      </c>
      <c r="E2" s="162" t="s">
        <v>101</v>
      </c>
      <c r="F2" s="162" t="s">
        <v>77</v>
      </c>
      <c r="G2" s="162" t="s">
        <v>78</v>
      </c>
      <c r="H2" s="162" t="s">
        <v>79</v>
      </c>
      <c r="I2" s="162" t="s">
        <v>92</v>
      </c>
      <c r="J2" s="162" t="s">
        <v>81</v>
      </c>
      <c r="K2" s="163" t="s">
        <v>82</v>
      </c>
      <c r="M2" s="161" t="s">
        <v>75</v>
      </c>
      <c r="N2" s="162" t="s">
        <v>101</v>
      </c>
      <c r="O2" s="162" t="s">
        <v>77</v>
      </c>
      <c r="P2" s="162" t="s">
        <v>78</v>
      </c>
      <c r="Q2" s="162" t="s">
        <v>79</v>
      </c>
      <c r="R2" s="162" t="s">
        <v>92</v>
      </c>
      <c r="S2" s="162" t="s">
        <v>81</v>
      </c>
      <c r="T2" s="163" t="s">
        <v>82</v>
      </c>
      <c r="V2" s="161" t="s">
        <v>75</v>
      </c>
      <c r="W2" s="162" t="s">
        <v>101</v>
      </c>
      <c r="X2" s="162" t="s">
        <v>77</v>
      </c>
      <c r="Y2" s="162" t="s">
        <v>78</v>
      </c>
      <c r="Z2" s="162" t="s">
        <v>79</v>
      </c>
      <c r="AA2" s="162" t="s">
        <v>80</v>
      </c>
      <c r="AB2" s="162" t="s">
        <v>81</v>
      </c>
      <c r="AC2" s="163" t="s">
        <v>82</v>
      </c>
      <c r="AE2" s="164" t="s">
        <v>75</v>
      </c>
      <c r="AF2" s="165" t="s">
        <v>101</v>
      </c>
      <c r="AG2" s="165" t="s">
        <v>77</v>
      </c>
      <c r="AH2" s="166" t="s">
        <v>78</v>
      </c>
      <c r="AI2" s="166" t="s">
        <v>79</v>
      </c>
      <c r="AJ2" s="166" t="s">
        <v>80</v>
      </c>
      <c r="AK2" s="165" t="s">
        <v>81</v>
      </c>
      <c r="AL2" s="163" t="s">
        <v>82</v>
      </c>
      <c r="AN2" s="161" t="s">
        <v>75</v>
      </c>
      <c r="AO2" s="162" t="s">
        <v>101</v>
      </c>
      <c r="AP2" s="162" t="s">
        <v>77</v>
      </c>
      <c r="AQ2" s="162" t="s">
        <v>78</v>
      </c>
      <c r="AR2" s="162" t="s">
        <v>79</v>
      </c>
      <c r="AS2" s="162" t="s">
        <v>80</v>
      </c>
      <c r="AT2" s="162" t="s">
        <v>81</v>
      </c>
      <c r="AU2" s="167" t="s">
        <v>82</v>
      </c>
      <c r="AW2" s="161" t="s">
        <v>75</v>
      </c>
      <c r="AX2" s="162" t="s">
        <v>101</v>
      </c>
      <c r="AY2" s="162" t="s">
        <v>77</v>
      </c>
      <c r="AZ2" s="162" t="s">
        <v>78</v>
      </c>
      <c r="BA2" s="162" t="s">
        <v>79</v>
      </c>
      <c r="BB2" s="162" t="s">
        <v>80</v>
      </c>
      <c r="BC2" s="162" t="s">
        <v>81</v>
      </c>
      <c r="BD2" s="168" t="s">
        <v>82</v>
      </c>
      <c r="BF2" s="161" t="s">
        <v>75</v>
      </c>
      <c r="BG2" s="162" t="s">
        <v>101</v>
      </c>
      <c r="BH2" s="162" t="s">
        <v>77</v>
      </c>
      <c r="BI2" s="162" t="s">
        <v>78</v>
      </c>
      <c r="BJ2" s="162" t="s">
        <v>79</v>
      </c>
      <c r="BK2" s="162" t="s">
        <v>80</v>
      </c>
      <c r="BL2" s="162" t="s">
        <v>81</v>
      </c>
      <c r="BM2" s="168" t="s">
        <v>82</v>
      </c>
    </row>
    <row r="3" spans="1:65" ht="12.75">
      <c r="A3" s="722" t="s">
        <v>102</v>
      </c>
      <c r="B3" s="252" t="s">
        <v>9</v>
      </c>
      <c r="D3" s="281">
        <v>99252560</v>
      </c>
      <c r="E3" s="282">
        <v>649211.75</v>
      </c>
      <c r="F3" s="283">
        <f>29128857-E3</f>
        <v>28479645.25</v>
      </c>
      <c r="G3" s="284">
        <v>107500212</v>
      </c>
      <c r="H3" s="284">
        <v>71536168</v>
      </c>
      <c r="I3" s="283">
        <v>24631329</v>
      </c>
      <c r="J3" s="283">
        <v>2244775</v>
      </c>
      <c r="K3" s="285">
        <f aca="true" t="shared" si="0" ref="K3:K14">SUM(D3:J3)</f>
        <v>334293901</v>
      </c>
      <c r="L3" s="286"/>
      <c r="M3" s="286">
        <v>100143636</v>
      </c>
      <c r="N3" s="286">
        <v>502050.4166666667</v>
      </c>
      <c r="O3" s="286">
        <f>26596895-N3</f>
        <v>26094844.583333332</v>
      </c>
      <c r="P3" s="287">
        <v>107850864</v>
      </c>
      <c r="Q3" s="287">
        <v>75545057</v>
      </c>
      <c r="R3" s="286">
        <v>24892586</v>
      </c>
      <c r="S3" s="286">
        <v>2422473</v>
      </c>
      <c r="T3" s="286">
        <f aca="true" t="shared" si="1" ref="T3:T14">SUM(M3:S3)</f>
        <v>337451511</v>
      </c>
      <c r="U3" s="286"/>
      <c r="V3" s="286">
        <v>104838692</v>
      </c>
      <c r="W3" s="256">
        <f>$W$34/12</f>
        <v>477081.1666666667</v>
      </c>
      <c r="X3" s="286">
        <f>27831080-W3</f>
        <v>27353998.833333332</v>
      </c>
      <c r="Y3" s="286">
        <v>93876052</v>
      </c>
      <c r="Z3" s="286">
        <v>77480062</v>
      </c>
      <c r="AA3" s="286">
        <v>25439201</v>
      </c>
      <c r="AB3" s="286">
        <v>2338203</v>
      </c>
      <c r="AC3" s="286">
        <f aca="true" t="shared" si="2" ref="AC3:AC14">SUM(V3:AB3)</f>
        <v>331803290</v>
      </c>
      <c r="AD3" s="286"/>
      <c r="AE3" s="286">
        <v>102626084</v>
      </c>
      <c r="AF3" s="286">
        <v>459914.5833333333</v>
      </c>
      <c r="AG3" s="286">
        <f>27917088-AF3</f>
        <v>27457173.416666668</v>
      </c>
      <c r="AH3" s="286">
        <v>94853823</v>
      </c>
      <c r="AI3" s="286">
        <v>83131132</v>
      </c>
      <c r="AJ3" s="286">
        <v>26409471</v>
      </c>
      <c r="AK3" s="286">
        <v>2553671</v>
      </c>
      <c r="AL3" s="286">
        <f>SUM(AD3:AK3)</f>
        <v>337491269</v>
      </c>
      <c r="AM3" s="286"/>
      <c r="AN3" s="286">
        <v>96647423</v>
      </c>
      <c r="AO3" s="286">
        <v>435607.8333333333</v>
      </c>
      <c r="AP3" s="286">
        <f>25516771-AO3</f>
        <v>25081163.166666668</v>
      </c>
      <c r="AQ3" s="286">
        <v>99321481</v>
      </c>
      <c r="AR3" s="286">
        <v>80523623</v>
      </c>
      <c r="AS3" s="286">
        <v>24097074</v>
      </c>
      <c r="AT3" s="286">
        <v>2689489</v>
      </c>
      <c r="AU3" s="286">
        <f>SUM(AN3:AT3)</f>
        <v>328795861</v>
      </c>
      <c r="AV3" s="286"/>
      <c r="AW3" s="286">
        <v>101798376</v>
      </c>
      <c r="AX3" s="286">
        <v>439326.9166666667</v>
      </c>
      <c r="AY3" s="286">
        <f>26100832-AX3</f>
        <v>25661505.083333332</v>
      </c>
      <c r="AZ3" s="286">
        <v>102963887</v>
      </c>
      <c r="BA3" s="286">
        <v>75130167</v>
      </c>
      <c r="BB3" s="286">
        <v>32990709</v>
      </c>
      <c r="BC3" s="286">
        <v>2927993</v>
      </c>
      <c r="BD3" s="286">
        <f>SUM(AW3:BC3)</f>
        <v>341911964</v>
      </c>
      <c r="BE3" s="286"/>
      <c r="BF3" s="286">
        <v>119021454</v>
      </c>
      <c r="BG3" s="286">
        <v>440560.1666666667</v>
      </c>
      <c r="BH3" s="286">
        <f>28815999-BG3</f>
        <v>28375438.833333332</v>
      </c>
      <c r="BI3" s="286">
        <v>101974045</v>
      </c>
      <c r="BJ3" s="286">
        <v>64638066</v>
      </c>
      <c r="BK3" s="286">
        <v>30653309</v>
      </c>
      <c r="BL3" s="286">
        <v>2971231</v>
      </c>
      <c r="BM3" s="286">
        <f>SUM(BF3:BL3)</f>
        <v>348074104</v>
      </c>
    </row>
    <row r="4" spans="1:65" ht="12.75">
      <c r="A4" s="723"/>
      <c r="B4" s="257" t="s">
        <v>10</v>
      </c>
      <c r="D4" s="288">
        <v>83543469</v>
      </c>
      <c r="E4" s="282">
        <v>649211.75</v>
      </c>
      <c r="F4" s="50">
        <f>26175764-E4</f>
        <v>25526552.25</v>
      </c>
      <c r="G4" s="133">
        <v>93166213</v>
      </c>
      <c r="H4" s="133">
        <v>67081277</v>
      </c>
      <c r="I4" s="50">
        <v>24210924</v>
      </c>
      <c r="J4" s="50">
        <v>1837154</v>
      </c>
      <c r="K4" s="51">
        <f t="shared" si="0"/>
        <v>296014801</v>
      </c>
      <c r="L4" s="286"/>
      <c r="M4" s="286">
        <v>87647207</v>
      </c>
      <c r="N4" s="286">
        <v>502050.4166666667</v>
      </c>
      <c r="O4" s="286">
        <f>25979188-N4</f>
        <v>25477137.583333332</v>
      </c>
      <c r="P4" s="287">
        <v>86943151</v>
      </c>
      <c r="Q4" s="287">
        <v>76861304</v>
      </c>
      <c r="R4" s="286">
        <v>22068450</v>
      </c>
      <c r="S4" s="286">
        <v>1915109</v>
      </c>
      <c r="T4" s="286">
        <f t="shared" si="1"/>
        <v>301414409</v>
      </c>
      <c r="U4" s="286"/>
      <c r="V4" s="286">
        <v>89341121</v>
      </c>
      <c r="W4" s="256">
        <f aca="true" t="shared" si="3" ref="W4:W14">$W$34/12</f>
        <v>477081.1666666667</v>
      </c>
      <c r="X4" s="286">
        <f>25548724-W4</f>
        <v>25071642.833333332</v>
      </c>
      <c r="Y4" s="286">
        <v>95439923</v>
      </c>
      <c r="Z4" s="286">
        <v>75061439</v>
      </c>
      <c r="AA4" s="286">
        <v>23052705</v>
      </c>
      <c r="AB4" s="286">
        <v>1946468</v>
      </c>
      <c r="AC4" s="286">
        <f t="shared" si="2"/>
        <v>310390380</v>
      </c>
      <c r="AD4" s="286"/>
      <c r="AE4" s="286">
        <v>86877874</v>
      </c>
      <c r="AF4" s="286">
        <v>459914.5833333333</v>
      </c>
      <c r="AG4" s="286">
        <f>25824469-AF4</f>
        <v>25364554.416666668</v>
      </c>
      <c r="AH4" s="286">
        <v>93524238</v>
      </c>
      <c r="AI4" s="286">
        <v>77355926</v>
      </c>
      <c r="AJ4" s="286">
        <v>27446019</v>
      </c>
      <c r="AK4" s="286">
        <v>2112407</v>
      </c>
      <c r="AL4" s="286">
        <f aca="true" t="shared" si="4" ref="AL4:AL14">SUM(AD4:AK4)</f>
        <v>313140933</v>
      </c>
      <c r="AM4" s="286"/>
      <c r="AN4" s="286">
        <v>105695411</v>
      </c>
      <c r="AO4" s="286">
        <v>435607.8333333333</v>
      </c>
      <c r="AP4" s="286">
        <f>29387658-AO4</f>
        <v>28952050.166666668</v>
      </c>
      <c r="AQ4" s="286">
        <v>98348800</v>
      </c>
      <c r="AR4" s="286">
        <v>75623989</v>
      </c>
      <c r="AS4" s="286">
        <v>25690526</v>
      </c>
      <c r="AT4" s="286">
        <v>2288802</v>
      </c>
      <c r="AU4" s="286">
        <f aca="true" t="shared" si="5" ref="AU4:AU14">SUM(AN4:AT4)</f>
        <v>337035186</v>
      </c>
      <c r="AV4" s="286"/>
      <c r="AW4" s="286">
        <v>103373674</v>
      </c>
      <c r="AX4" s="286">
        <v>439326.9166666667</v>
      </c>
      <c r="AY4" s="286">
        <f>27713746-AX4</f>
        <v>27274419.083333332</v>
      </c>
      <c r="AZ4" s="286">
        <v>98872834</v>
      </c>
      <c r="BA4" s="286">
        <v>70308075</v>
      </c>
      <c r="BB4" s="286">
        <v>32870790</v>
      </c>
      <c r="BC4" s="286">
        <v>2491759</v>
      </c>
      <c r="BD4" s="286">
        <f aca="true" t="shared" si="6" ref="BD4:BD14">SUM(AW4:BC4)</f>
        <v>335630878</v>
      </c>
      <c r="BE4" s="286"/>
      <c r="BF4" s="286">
        <v>103885776</v>
      </c>
      <c r="BG4" s="286">
        <v>440560.1666666667</v>
      </c>
      <c r="BH4" s="286">
        <f>27450215-BG4</f>
        <v>27009654.833333332</v>
      </c>
      <c r="BI4" s="286">
        <v>92396840</v>
      </c>
      <c r="BJ4" s="286">
        <v>61977206</v>
      </c>
      <c r="BK4" s="286">
        <v>27925468</v>
      </c>
      <c r="BL4" s="286">
        <v>2461340</v>
      </c>
      <c r="BM4" s="286">
        <f aca="true" t="shared" si="7" ref="BM4:BM14">SUM(BF4:BL4)</f>
        <v>316096845</v>
      </c>
    </row>
    <row r="5" spans="1:65" ht="12.75">
      <c r="A5" s="723"/>
      <c r="B5" s="257" t="s">
        <v>11</v>
      </c>
      <c r="D5" s="288">
        <v>79298685</v>
      </c>
      <c r="E5" s="282">
        <v>649211.75</v>
      </c>
      <c r="F5" s="50">
        <f>24046086-E5</f>
        <v>23396874.25</v>
      </c>
      <c r="G5" s="133">
        <v>82133406</v>
      </c>
      <c r="H5" s="133">
        <v>73483570</v>
      </c>
      <c r="I5" s="50">
        <v>27519562</v>
      </c>
      <c r="J5" s="50">
        <v>1686898</v>
      </c>
      <c r="K5" s="51">
        <f t="shared" si="0"/>
        <v>288168207</v>
      </c>
      <c r="L5" s="286"/>
      <c r="M5" s="286">
        <v>71845735</v>
      </c>
      <c r="N5" s="286">
        <v>502050.4166666667</v>
      </c>
      <c r="O5" s="286">
        <f>21514968-N5</f>
        <v>21012917.583333332</v>
      </c>
      <c r="P5" s="287">
        <v>92207023</v>
      </c>
      <c r="Q5" s="287">
        <v>83084710</v>
      </c>
      <c r="R5" s="286">
        <v>24448459</v>
      </c>
      <c r="S5" s="286">
        <v>2071417</v>
      </c>
      <c r="T5" s="286">
        <f t="shared" si="1"/>
        <v>295172312</v>
      </c>
      <c r="U5" s="286"/>
      <c r="V5" s="286">
        <v>81893716</v>
      </c>
      <c r="W5" s="256">
        <f t="shared" si="3"/>
        <v>477081.1666666667</v>
      </c>
      <c r="X5" s="286">
        <f>24665550-W5</f>
        <v>24188468.833333332</v>
      </c>
      <c r="Y5" s="286">
        <v>93601879</v>
      </c>
      <c r="Z5" s="286">
        <v>80246233</v>
      </c>
      <c r="AA5" s="286">
        <v>24861118</v>
      </c>
      <c r="AB5" s="286">
        <v>1923554</v>
      </c>
      <c r="AC5" s="286">
        <f t="shared" si="2"/>
        <v>307192050</v>
      </c>
      <c r="AD5" s="286"/>
      <c r="AE5" s="286">
        <v>83972818</v>
      </c>
      <c r="AF5" s="286">
        <v>459914.5833333333</v>
      </c>
      <c r="AG5" s="286">
        <f>24268814-AF5</f>
        <v>23808899.416666668</v>
      </c>
      <c r="AH5" s="286">
        <v>95014813</v>
      </c>
      <c r="AI5" s="286">
        <v>83056099</v>
      </c>
      <c r="AJ5" s="286">
        <v>29912132</v>
      </c>
      <c r="AK5" s="286">
        <v>2094521</v>
      </c>
      <c r="AL5" s="286">
        <f t="shared" si="4"/>
        <v>318319197</v>
      </c>
      <c r="AM5" s="286"/>
      <c r="AN5" s="286">
        <v>89942669</v>
      </c>
      <c r="AO5" s="286">
        <v>435607.8333333333</v>
      </c>
      <c r="AP5" s="286">
        <f>26184081-AO5</f>
        <v>25748473.166666668</v>
      </c>
      <c r="AQ5" s="286">
        <v>96430076</v>
      </c>
      <c r="AR5" s="286">
        <v>82488199</v>
      </c>
      <c r="AS5" s="286">
        <v>30547353</v>
      </c>
      <c r="AT5" s="286">
        <v>2334810</v>
      </c>
      <c r="AU5" s="286">
        <f t="shared" si="5"/>
        <v>327927188</v>
      </c>
      <c r="AV5" s="286"/>
      <c r="AW5" s="286">
        <v>97635202</v>
      </c>
      <c r="AX5" s="286">
        <v>439326.9166666667</v>
      </c>
      <c r="AY5" s="286">
        <f>26805009-AX5</f>
        <v>26365682.083333332</v>
      </c>
      <c r="AZ5" s="286">
        <v>100278173</v>
      </c>
      <c r="BA5" s="286">
        <v>73432083</v>
      </c>
      <c r="BB5" s="286">
        <v>32220491</v>
      </c>
      <c r="BC5" s="286">
        <v>2424717</v>
      </c>
      <c r="BD5" s="286">
        <f t="shared" si="6"/>
        <v>332795675</v>
      </c>
      <c r="BE5" s="286"/>
      <c r="BF5" s="286">
        <v>88019186</v>
      </c>
      <c r="BG5" s="286">
        <v>440560.1666666667</v>
      </c>
      <c r="BH5" s="286">
        <f>23841232-BG5</f>
        <v>23400671.833333332</v>
      </c>
      <c r="BI5" s="286">
        <v>96585229</v>
      </c>
      <c r="BJ5" s="286">
        <v>69267888</v>
      </c>
      <c r="BK5" s="286">
        <v>30503252</v>
      </c>
      <c r="BL5" s="286">
        <v>2452718</v>
      </c>
      <c r="BM5" s="286">
        <f t="shared" si="7"/>
        <v>310669505</v>
      </c>
    </row>
    <row r="6" spans="1:65" ht="12.75">
      <c r="A6" s="723"/>
      <c r="B6" s="257" t="s">
        <v>12</v>
      </c>
      <c r="D6" s="288">
        <v>69691455</v>
      </c>
      <c r="E6" s="282">
        <v>649211.75</v>
      </c>
      <c r="F6" s="50">
        <f>22307470-E6</f>
        <v>21658258.25</v>
      </c>
      <c r="G6" s="133">
        <v>83334213</v>
      </c>
      <c r="H6" s="133">
        <v>70170408</v>
      </c>
      <c r="I6" s="50">
        <v>25993912</v>
      </c>
      <c r="J6" s="50">
        <v>1532976</v>
      </c>
      <c r="K6" s="51">
        <f t="shared" si="0"/>
        <v>273030434</v>
      </c>
      <c r="L6" s="286"/>
      <c r="M6" s="286">
        <v>82063258</v>
      </c>
      <c r="N6" s="286">
        <v>502050.4166666667</v>
      </c>
      <c r="O6" s="286">
        <f>24642025-N6</f>
        <v>24139974.583333332</v>
      </c>
      <c r="P6" s="287">
        <v>82782079</v>
      </c>
      <c r="Q6" s="287">
        <v>77984403</v>
      </c>
      <c r="R6" s="286">
        <v>24079178</v>
      </c>
      <c r="S6" s="286">
        <v>1561756</v>
      </c>
      <c r="T6" s="286">
        <f t="shared" si="1"/>
        <v>293112699</v>
      </c>
      <c r="U6" s="286"/>
      <c r="V6" s="286">
        <v>82047835</v>
      </c>
      <c r="W6" s="256">
        <f t="shared" si="3"/>
        <v>477081.1666666667</v>
      </c>
      <c r="X6" s="286">
        <f>24779591-W6</f>
        <v>24302509.833333332</v>
      </c>
      <c r="Y6" s="286">
        <v>85519196</v>
      </c>
      <c r="Z6" s="286">
        <v>78782812</v>
      </c>
      <c r="AA6" s="286">
        <v>24344420</v>
      </c>
      <c r="AB6" s="286">
        <v>1641861</v>
      </c>
      <c r="AC6" s="286">
        <f t="shared" si="2"/>
        <v>297115715</v>
      </c>
      <c r="AD6" s="286"/>
      <c r="AE6" s="286">
        <v>87386872</v>
      </c>
      <c r="AF6" s="286">
        <v>459914.5833333333</v>
      </c>
      <c r="AG6" s="286">
        <f>25980326-AF6</f>
        <v>25520411.416666668</v>
      </c>
      <c r="AH6" s="286">
        <v>85130049</v>
      </c>
      <c r="AI6" s="286">
        <v>74907080</v>
      </c>
      <c r="AJ6" s="286">
        <v>28505284</v>
      </c>
      <c r="AK6" s="286">
        <v>1784350</v>
      </c>
      <c r="AL6" s="286">
        <f t="shared" si="4"/>
        <v>303693961</v>
      </c>
      <c r="AM6" s="286"/>
      <c r="AN6" s="286">
        <v>85711644</v>
      </c>
      <c r="AO6" s="286">
        <v>435607.8333333333</v>
      </c>
      <c r="AP6" s="286">
        <f>25455396-AO6</f>
        <v>25019788.166666668</v>
      </c>
      <c r="AQ6" s="286">
        <v>90708197</v>
      </c>
      <c r="AR6" s="286">
        <v>77898878</v>
      </c>
      <c r="AS6" s="286">
        <v>27869840</v>
      </c>
      <c r="AT6" s="286">
        <v>2031193</v>
      </c>
      <c r="AU6" s="286">
        <f t="shared" si="5"/>
        <v>309675148</v>
      </c>
      <c r="AV6" s="286"/>
      <c r="AW6" s="286">
        <v>77427839</v>
      </c>
      <c r="AX6" s="286">
        <v>439326.9166666667</v>
      </c>
      <c r="AY6" s="286">
        <f>22402308-AX6</f>
        <v>21962981.083333332</v>
      </c>
      <c r="AZ6" s="286">
        <v>93247862</v>
      </c>
      <c r="BA6" s="286">
        <v>77881226</v>
      </c>
      <c r="BB6" s="286">
        <v>31299525</v>
      </c>
      <c r="BC6" s="286">
        <v>2009208</v>
      </c>
      <c r="BD6" s="286">
        <f t="shared" si="6"/>
        <v>304267968</v>
      </c>
      <c r="BE6" s="286"/>
      <c r="BF6" s="286">
        <v>93092071</v>
      </c>
      <c r="BG6" s="286">
        <v>440560.1666666667</v>
      </c>
      <c r="BH6" s="286">
        <f>24833739-BG6</f>
        <v>24393178.833333332</v>
      </c>
      <c r="BI6" s="286">
        <v>88936742</v>
      </c>
      <c r="BJ6" s="286">
        <v>64782071</v>
      </c>
      <c r="BK6" s="286">
        <v>27639678</v>
      </c>
      <c r="BL6" s="286">
        <v>2056850</v>
      </c>
      <c r="BM6" s="286">
        <f t="shared" si="7"/>
        <v>301341151</v>
      </c>
    </row>
    <row r="7" spans="1:65" ht="12.75">
      <c r="A7" s="723"/>
      <c r="B7" s="257" t="s">
        <v>13</v>
      </c>
      <c r="D7" s="288">
        <v>65762363</v>
      </c>
      <c r="E7" s="282">
        <v>649211.75</v>
      </c>
      <c r="F7" s="50">
        <f>20735817-E7</f>
        <v>20086605.25</v>
      </c>
      <c r="G7" s="133">
        <v>89884556</v>
      </c>
      <c r="H7" s="133">
        <v>73753398</v>
      </c>
      <c r="I7" s="50">
        <v>26198839</v>
      </c>
      <c r="J7" s="50">
        <v>1383496</v>
      </c>
      <c r="K7" s="51">
        <f t="shared" si="0"/>
        <v>277718469</v>
      </c>
      <c r="L7" s="286"/>
      <c r="M7" s="286">
        <v>70266359</v>
      </c>
      <c r="N7" s="286">
        <v>502050.4166666667</v>
      </c>
      <c r="O7" s="286">
        <f>22095343-N7</f>
        <v>21593292.583333332</v>
      </c>
      <c r="P7" s="287">
        <v>85131816</v>
      </c>
      <c r="Q7" s="287">
        <v>79444523</v>
      </c>
      <c r="R7" s="286">
        <v>25510716</v>
      </c>
      <c r="S7" s="286">
        <v>1379874</v>
      </c>
      <c r="T7" s="286">
        <f t="shared" si="1"/>
        <v>283828631</v>
      </c>
      <c r="U7" s="286"/>
      <c r="V7" s="286">
        <v>70819396</v>
      </c>
      <c r="W7" s="256">
        <f t="shared" si="3"/>
        <v>477081.1666666667</v>
      </c>
      <c r="X7" s="286">
        <f>22901061-W7</f>
        <v>22423979.833333332</v>
      </c>
      <c r="Y7" s="286">
        <v>87463993</v>
      </c>
      <c r="Z7" s="286">
        <v>81279928</v>
      </c>
      <c r="AA7" s="286">
        <v>25511916</v>
      </c>
      <c r="AB7" s="286">
        <v>1480366</v>
      </c>
      <c r="AC7" s="286">
        <f t="shared" si="2"/>
        <v>289456660</v>
      </c>
      <c r="AD7" s="286"/>
      <c r="AE7" s="286">
        <v>65814615</v>
      </c>
      <c r="AF7" s="286">
        <v>459914.5833333333</v>
      </c>
      <c r="AG7" s="286">
        <f>21386671-AF7</f>
        <v>20926756.416666668</v>
      </c>
      <c r="AH7" s="286">
        <v>89528473</v>
      </c>
      <c r="AI7" s="286">
        <v>86276259</v>
      </c>
      <c r="AJ7" s="286">
        <v>30307281</v>
      </c>
      <c r="AK7" s="286">
        <v>1624819</v>
      </c>
      <c r="AL7" s="286">
        <f t="shared" si="4"/>
        <v>294938118</v>
      </c>
      <c r="AM7" s="286"/>
      <c r="AN7" s="286">
        <v>72577360</v>
      </c>
      <c r="AO7" s="286">
        <v>435607.8333333333</v>
      </c>
      <c r="AP7" s="286">
        <f>23795802-AO7</f>
        <v>23360194.166666668</v>
      </c>
      <c r="AQ7" s="286">
        <v>92269497</v>
      </c>
      <c r="AR7" s="286">
        <v>85082328</v>
      </c>
      <c r="AS7" s="286">
        <v>32187239</v>
      </c>
      <c r="AT7" s="286">
        <v>1803661</v>
      </c>
      <c r="AU7" s="286">
        <f t="shared" si="5"/>
        <v>307715887</v>
      </c>
      <c r="AV7" s="286"/>
      <c r="AW7" s="286">
        <v>78920457</v>
      </c>
      <c r="AX7" s="286">
        <v>439326.9166666667</v>
      </c>
      <c r="AY7" s="286">
        <f>23555438-AX7</f>
        <v>23116111.083333332</v>
      </c>
      <c r="AZ7" s="286">
        <v>86488914</v>
      </c>
      <c r="BA7" s="286">
        <v>76239429</v>
      </c>
      <c r="BB7" s="286">
        <v>32077608</v>
      </c>
      <c r="BC7" s="286">
        <v>1782647</v>
      </c>
      <c r="BD7" s="286">
        <f t="shared" si="6"/>
        <v>299064493</v>
      </c>
      <c r="BE7" s="286"/>
      <c r="BF7" s="286">
        <v>79918980</v>
      </c>
      <c r="BG7" s="286">
        <v>440560.1666666667</v>
      </c>
      <c r="BH7" s="286">
        <f>22414747-BG7</f>
        <v>21974186.833333332</v>
      </c>
      <c r="BI7" s="286">
        <v>85648865</v>
      </c>
      <c r="BJ7" s="286">
        <v>67024095</v>
      </c>
      <c r="BK7" s="286">
        <v>21988204</v>
      </c>
      <c r="BL7" s="286">
        <v>1830911</v>
      </c>
      <c r="BM7" s="286">
        <f t="shared" si="7"/>
        <v>278825802</v>
      </c>
    </row>
    <row r="8" spans="1:65" ht="12.75">
      <c r="A8" s="723"/>
      <c r="B8" s="257" t="s">
        <v>14</v>
      </c>
      <c r="D8" s="288">
        <v>64039823</v>
      </c>
      <c r="E8" s="282">
        <v>649211.75</v>
      </c>
      <c r="F8" s="50">
        <f>21029857-E8</f>
        <v>20380645.25</v>
      </c>
      <c r="G8" s="133">
        <v>73555132</v>
      </c>
      <c r="H8" s="133">
        <v>74469899</v>
      </c>
      <c r="I8" s="50">
        <v>26651532</v>
      </c>
      <c r="J8" s="50">
        <v>1122695</v>
      </c>
      <c r="K8" s="51">
        <f t="shared" si="0"/>
        <v>260868938</v>
      </c>
      <c r="L8" s="286"/>
      <c r="M8" s="286">
        <v>66433287</v>
      </c>
      <c r="N8" s="286">
        <v>502050.4166666667</v>
      </c>
      <c r="O8" s="286">
        <f>20980489-N8</f>
        <v>20478438.583333332</v>
      </c>
      <c r="P8" s="287">
        <v>87709710</v>
      </c>
      <c r="Q8" s="287">
        <v>81505361</v>
      </c>
      <c r="R8" s="286">
        <v>24937299</v>
      </c>
      <c r="S8" s="286">
        <v>1213649</v>
      </c>
      <c r="T8" s="286">
        <f t="shared" si="1"/>
        <v>282779795</v>
      </c>
      <c r="U8" s="286"/>
      <c r="V8" s="286">
        <v>85829567</v>
      </c>
      <c r="W8" s="256">
        <f t="shared" si="3"/>
        <v>477081.1666666667</v>
      </c>
      <c r="X8" s="286">
        <f>24405316-W8</f>
        <v>23928234.833333332</v>
      </c>
      <c r="Y8" s="286">
        <v>95066850</v>
      </c>
      <c r="Z8" s="286">
        <v>87324678</v>
      </c>
      <c r="AA8" s="286">
        <v>27919256</v>
      </c>
      <c r="AB8" s="286">
        <v>1319981</v>
      </c>
      <c r="AC8" s="286">
        <f t="shared" si="2"/>
        <v>321865648</v>
      </c>
      <c r="AD8" s="286"/>
      <c r="AE8" s="286">
        <v>87554414</v>
      </c>
      <c r="AF8" s="286">
        <v>459914.5833333333</v>
      </c>
      <c r="AG8" s="286">
        <f>24600058-AF8</f>
        <v>24140143.416666668</v>
      </c>
      <c r="AH8" s="286">
        <v>98963273</v>
      </c>
      <c r="AI8" s="286">
        <v>87499488</v>
      </c>
      <c r="AJ8" s="286">
        <v>30614279</v>
      </c>
      <c r="AK8" s="286">
        <v>1440905</v>
      </c>
      <c r="AL8" s="286">
        <f t="shared" si="4"/>
        <v>330672417</v>
      </c>
      <c r="AM8" s="286"/>
      <c r="AN8" s="286">
        <v>94967423</v>
      </c>
      <c r="AO8" s="286">
        <v>435607.8333333333</v>
      </c>
      <c r="AP8" s="286">
        <f>26438865-AO8</f>
        <v>26003257.166666668</v>
      </c>
      <c r="AQ8" s="286">
        <v>96254780</v>
      </c>
      <c r="AR8" s="286">
        <v>86489557</v>
      </c>
      <c r="AS8" s="286">
        <v>33241475</v>
      </c>
      <c r="AT8" s="286">
        <v>1630368</v>
      </c>
      <c r="AU8" s="286">
        <f t="shared" si="5"/>
        <v>339022468</v>
      </c>
      <c r="AV8" s="286"/>
      <c r="AW8" s="286">
        <v>86543923</v>
      </c>
      <c r="AX8" s="286">
        <v>439326.9166666667</v>
      </c>
      <c r="AY8" s="286">
        <f>23820818-AX8</f>
        <v>23381491.083333332</v>
      </c>
      <c r="AZ8" s="286">
        <v>101028124</v>
      </c>
      <c r="BA8" s="286">
        <v>78009331</v>
      </c>
      <c r="BB8" s="286">
        <v>35047709</v>
      </c>
      <c r="BC8" s="286">
        <v>1580667</v>
      </c>
      <c r="BD8" s="286">
        <f t="shared" si="6"/>
        <v>326030572</v>
      </c>
      <c r="BE8" s="286"/>
      <c r="BF8" s="286">
        <v>74470543</v>
      </c>
      <c r="BG8" s="286">
        <v>440560.1666666667</v>
      </c>
      <c r="BH8" s="286">
        <f>21291558-BG8</f>
        <v>20850997.833333332</v>
      </c>
      <c r="BI8" s="286">
        <v>91411346</v>
      </c>
      <c r="BJ8" s="286">
        <v>68548339</v>
      </c>
      <c r="BK8" s="286">
        <v>25690773</v>
      </c>
      <c r="BL8" s="286">
        <v>1618383</v>
      </c>
      <c r="BM8" s="286">
        <f t="shared" si="7"/>
        <v>283030942</v>
      </c>
    </row>
    <row r="9" spans="1:65" ht="12.75">
      <c r="A9" s="723"/>
      <c r="B9" s="257" t="s">
        <v>15</v>
      </c>
      <c r="D9" s="288">
        <v>94451580</v>
      </c>
      <c r="E9" s="282">
        <v>649211.75</v>
      </c>
      <c r="F9" s="50">
        <f>23846801-E9</f>
        <v>23197589.25</v>
      </c>
      <c r="G9" s="133">
        <v>92853142</v>
      </c>
      <c r="H9" s="133">
        <v>77967379</v>
      </c>
      <c r="I9" s="50">
        <v>25025771</v>
      </c>
      <c r="J9" s="50">
        <v>1190637</v>
      </c>
      <c r="K9" s="51">
        <f t="shared" si="0"/>
        <v>315335310</v>
      </c>
      <c r="L9" s="286"/>
      <c r="M9" s="286">
        <v>85771389</v>
      </c>
      <c r="N9" s="286">
        <v>502050.4166666667</v>
      </c>
      <c r="O9" s="286">
        <f>24742658-N9</f>
        <v>24240607.583333332</v>
      </c>
      <c r="P9" s="287">
        <v>107314343</v>
      </c>
      <c r="Q9" s="287">
        <v>81500275</v>
      </c>
      <c r="R9" s="286">
        <v>24346794</v>
      </c>
      <c r="S9" s="286">
        <v>1269399</v>
      </c>
      <c r="T9" s="286">
        <f t="shared" si="1"/>
        <v>324944858</v>
      </c>
      <c r="U9" s="286"/>
      <c r="V9" s="286">
        <v>133054364</v>
      </c>
      <c r="W9" s="256">
        <f t="shared" si="3"/>
        <v>477081.1666666667</v>
      </c>
      <c r="X9" s="286">
        <f>29284662-W9</f>
        <v>28807580.833333332</v>
      </c>
      <c r="Y9" s="286">
        <v>96303978</v>
      </c>
      <c r="Z9" s="286">
        <v>85317095</v>
      </c>
      <c r="AA9" s="286">
        <v>24682647</v>
      </c>
      <c r="AB9" s="286">
        <v>1432885</v>
      </c>
      <c r="AC9" s="286">
        <f t="shared" si="2"/>
        <v>370075631</v>
      </c>
      <c r="AD9" s="286"/>
      <c r="AE9" s="286">
        <v>115892341</v>
      </c>
      <c r="AF9" s="286">
        <v>459914.5833333333</v>
      </c>
      <c r="AG9" s="286">
        <f>27132604-AF9</f>
        <v>26672689.416666668</v>
      </c>
      <c r="AH9" s="286">
        <v>99178685</v>
      </c>
      <c r="AI9" s="286">
        <v>86664714</v>
      </c>
      <c r="AJ9" s="286">
        <v>26990378</v>
      </c>
      <c r="AK9" s="286">
        <v>1558373</v>
      </c>
      <c r="AL9" s="286">
        <f t="shared" si="4"/>
        <v>357417095</v>
      </c>
      <c r="AM9" s="286"/>
      <c r="AN9" s="286">
        <v>109012605</v>
      </c>
      <c r="AO9" s="286">
        <v>435607.8333333333</v>
      </c>
      <c r="AP9" s="286">
        <f>26559883-AO9</f>
        <v>26124275.166666668</v>
      </c>
      <c r="AQ9" s="286">
        <v>96448464</v>
      </c>
      <c r="AR9" s="286">
        <v>81749324</v>
      </c>
      <c r="AS9" s="286">
        <v>32395607</v>
      </c>
      <c r="AT9" s="286">
        <v>1699542</v>
      </c>
      <c r="AU9" s="286">
        <f t="shared" si="5"/>
        <v>347865425</v>
      </c>
      <c r="AV9" s="286"/>
      <c r="AW9" s="286">
        <v>110500461</v>
      </c>
      <c r="AX9" s="286">
        <v>439326.9166666667</v>
      </c>
      <c r="AY9" s="286">
        <f>25855464-AX9</f>
        <v>25416137.083333332</v>
      </c>
      <c r="AZ9" s="286">
        <v>96066527</v>
      </c>
      <c r="BA9" s="286">
        <v>80324227</v>
      </c>
      <c r="BB9" s="286">
        <v>33674468</v>
      </c>
      <c r="BC9" s="286">
        <v>1703402</v>
      </c>
      <c r="BD9" s="286">
        <f t="shared" si="6"/>
        <v>348124549</v>
      </c>
      <c r="BE9" s="286"/>
      <c r="BF9" s="286">
        <v>99820428</v>
      </c>
      <c r="BG9" s="286">
        <v>440560.1666666667</v>
      </c>
      <c r="BH9" s="286">
        <f>24381521-BG9</f>
        <v>23940960.833333332</v>
      </c>
      <c r="BI9" s="286">
        <v>93919308</v>
      </c>
      <c r="BJ9" s="286">
        <v>71748553</v>
      </c>
      <c r="BK9" s="286">
        <v>29193321</v>
      </c>
      <c r="BL9" s="286">
        <v>1754229</v>
      </c>
      <c r="BM9" s="286">
        <f t="shared" si="7"/>
        <v>320817360</v>
      </c>
    </row>
    <row r="10" spans="1:65" ht="12.75">
      <c r="A10" s="723"/>
      <c r="B10" s="257" t="s">
        <v>16</v>
      </c>
      <c r="D10" s="288">
        <v>95798900</v>
      </c>
      <c r="E10" s="282">
        <v>649211.75</v>
      </c>
      <c r="F10" s="50">
        <f>24400857-E10</f>
        <v>23751645.25</v>
      </c>
      <c r="G10" s="133">
        <v>86370772</v>
      </c>
      <c r="H10" s="133">
        <v>70053041</v>
      </c>
      <c r="I10" s="50">
        <v>25225076</v>
      </c>
      <c r="J10" s="50">
        <v>1431573</v>
      </c>
      <c r="K10" s="51">
        <f t="shared" si="0"/>
        <v>303280219</v>
      </c>
      <c r="L10" s="286"/>
      <c r="M10" s="286">
        <v>90532320</v>
      </c>
      <c r="N10" s="286">
        <v>502050.4166666667</v>
      </c>
      <c r="O10" s="286">
        <f>22976597-N10</f>
        <v>22474546.583333332</v>
      </c>
      <c r="P10" s="287">
        <v>74886665</v>
      </c>
      <c r="Q10" s="287">
        <v>83973529</v>
      </c>
      <c r="R10" s="286">
        <v>26610716</v>
      </c>
      <c r="S10" s="286">
        <v>1577030</v>
      </c>
      <c r="T10" s="286">
        <f t="shared" si="1"/>
        <v>300556857</v>
      </c>
      <c r="U10" s="286"/>
      <c r="V10" s="286">
        <v>116855067</v>
      </c>
      <c r="W10" s="256">
        <f t="shared" si="3"/>
        <v>477081.1666666667</v>
      </c>
      <c r="X10" s="286">
        <f>26615682-W10</f>
        <v>26138600.833333332</v>
      </c>
      <c r="Y10" s="286">
        <v>98464599</v>
      </c>
      <c r="Z10" s="286">
        <v>90944824</v>
      </c>
      <c r="AA10" s="286">
        <v>28680113</v>
      </c>
      <c r="AB10" s="286">
        <v>1641887</v>
      </c>
      <c r="AC10" s="286">
        <f t="shared" si="2"/>
        <v>363202172</v>
      </c>
      <c r="AD10" s="286"/>
      <c r="AE10" s="286">
        <v>122691507</v>
      </c>
      <c r="AF10" s="286">
        <v>459914.5833333333</v>
      </c>
      <c r="AG10" s="286">
        <f>26457264-AF10</f>
        <v>25997349.416666668</v>
      </c>
      <c r="AH10" s="286">
        <v>100161420</v>
      </c>
      <c r="AI10" s="286">
        <v>90066987</v>
      </c>
      <c r="AJ10" s="286">
        <v>31350848</v>
      </c>
      <c r="AK10" s="286">
        <v>1776727</v>
      </c>
      <c r="AL10" s="286">
        <f t="shared" si="4"/>
        <v>372504753</v>
      </c>
      <c r="AM10" s="286"/>
      <c r="AN10" s="286">
        <v>118290341</v>
      </c>
      <c r="AO10" s="286">
        <v>435607.8333333333</v>
      </c>
      <c r="AP10" s="286">
        <f>26988133-AO10</f>
        <v>26552525.166666668</v>
      </c>
      <c r="AQ10" s="286">
        <v>99154111</v>
      </c>
      <c r="AR10" s="286">
        <v>91472984</v>
      </c>
      <c r="AS10" s="286">
        <v>27649753</v>
      </c>
      <c r="AT10" s="286">
        <v>1857176</v>
      </c>
      <c r="AU10" s="286">
        <f t="shared" si="5"/>
        <v>365412498</v>
      </c>
      <c r="AV10" s="286"/>
      <c r="AW10" s="286">
        <v>116167597</v>
      </c>
      <c r="AX10" s="286">
        <v>439326.9166666667</v>
      </c>
      <c r="AY10" s="286">
        <f>26489628-AX10</f>
        <v>26050301.083333332</v>
      </c>
      <c r="AZ10" s="286">
        <v>96037526</v>
      </c>
      <c r="BA10" s="286">
        <v>79809855</v>
      </c>
      <c r="BB10" s="286">
        <v>35996673</v>
      </c>
      <c r="BC10" s="286">
        <v>1965309</v>
      </c>
      <c r="BD10" s="286">
        <f t="shared" si="6"/>
        <v>356466588</v>
      </c>
      <c r="BE10" s="286"/>
      <c r="BF10" s="286">
        <v>110640785</v>
      </c>
      <c r="BG10" s="286">
        <v>440560.1666666667</v>
      </c>
      <c r="BH10" s="286">
        <f>32653168-BG10</f>
        <v>32212607.833333332</v>
      </c>
      <c r="BI10" s="286">
        <v>96176801</v>
      </c>
      <c r="BJ10" s="286">
        <v>73562457</v>
      </c>
      <c r="BK10" s="286">
        <v>31958533</v>
      </c>
      <c r="BL10" s="286">
        <v>2017665</v>
      </c>
      <c r="BM10" s="286">
        <f t="shared" si="7"/>
        <v>347009409</v>
      </c>
    </row>
    <row r="11" spans="1:65" ht="12.75">
      <c r="A11" s="723"/>
      <c r="B11" s="257" t="s">
        <v>93</v>
      </c>
      <c r="D11" s="288">
        <v>81219419</v>
      </c>
      <c r="E11" s="282">
        <v>649211.75</v>
      </c>
      <c r="F11" s="50">
        <f>22379233-E11</f>
        <v>21730021.25</v>
      </c>
      <c r="G11" s="133">
        <v>85511065</v>
      </c>
      <c r="H11" s="133">
        <v>74795382</v>
      </c>
      <c r="I11" s="50">
        <v>16552829</v>
      </c>
      <c r="J11" s="50">
        <v>1477497</v>
      </c>
      <c r="K11" s="51">
        <f t="shared" si="0"/>
        <v>281935425</v>
      </c>
      <c r="L11" s="286"/>
      <c r="M11" s="286">
        <v>83924386</v>
      </c>
      <c r="N11" s="286">
        <v>502050.4166666667</v>
      </c>
      <c r="O11" s="286">
        <f>23382524-N11</f>
        <v>22880473.583333332</v>
      </c>
      <c r="P11" s="287">
        <v>89614322</v>
      </c>
      <c r="Q11" s="287">
        <v>81507868</v>
      </c>
      <c r="R11" s="286">
        <v>25146986</v>
      </c>
      <c r="S11" s="286">
        <v>1712266</v>
      </c>
      <c r="T11" s="286">
        <f t="shared" si="1"/>
        <v>305288352</v>
      </c>
      <c r="U11" s="286"/>
      <c r="V11" s="286">
        <v>99779320</v>
      </c>
      <c r="W11" s="256">
        <f t="shared" si="3"/>
        <v>477081.1666666667</v>
      </c>
      <c r="X11" s="286">
        <f>26500698-W11</f>
        <v>26023616.833333332</v>
      </c>
      <c r="Y11" s="286">
        <v>95496155</v>
      </c>
      <c r="Z11" s="286">
        <v>83218076</v>
      </c>
      <c r="AA11" s="286">
        <v>26843059</v>
      </c>
      <c r="AB11" s="286">
        <v>1797179</v>
      </c>
      <c r="AC11" s="286">
        <f t="shared" si="2"/>
        <v>333634487</v>
      </c>
      <c r="AD11" s="286"/>
      <c r="AE11" s="286">
        <v>90273997</v>
      </c>
      <c r="AF11" s="286">
        <v>459914.5833333333</v>
      </c>
      <c r="AG11" s="286">
        <f>25218745-AF11</f>
        <v>24758830.416666668</v>
      </c>
      <c r="AH11" s="286">
        <v>87696888</v>
      </c>
      <c r="AI11" s="286">
        <v>82773189</v>
      </c>
      <c r="AJ11" s="286">
        <v>29125981</v>
      </c>
      <c r="AK11" s="286">
        <v>2042168</v>
      </c>
      <c r="AL11" s="286">
        <f t="shared" si="4"/>
        <v>317130968</v>
      </c>
      <c r="AM11" s="286"/>
      <c r="AN11" s="286">
        <v>107596866</v>
      </c>
      <c r="AO11" s="286">
        <v>435607.8333333333</v>
      </c>
      <c r="AP11" s="286">
        <f>27900193-AO11</f>
        <v>27464585.166666668</v>
      </c>
      <c r="AQ11" s="286">
        <v>92112959</v>
      </c>
      <c r="AR11" s="286">
        <v>82351307</v>
      </c>
      <c r="AS11" s="286">
        <v>31444726</v>
      </c>
      <c r="AT11" s="286">
        <v>2075732</v>
      </c>
      <c r="AU11" s="286">
        <f t="shared" si="5"/>
        <v>343481783</v>
      </c>
      <c r="AV11" s="286"/>
      <c r="AW11" s="286">
        <v>95168168</v>
      </c>
      <c r="AX11" s="286">
        <v>439326.9166666667</v>
      </c>
      <c r="AY11" s="286">
        <f>23710408-AX11</f>
        <v>23271081.083333332</v>
      </c>
      <c r="AZ11" s="286">
        <v>96289315</v>
      </c>
      <c r="BA11" s="286">
        <v>77905174</v>
      </c>
      <c r="BB11" s="286">
        <v>34472066</v>
      </c>
      <c r="BC11" s="286">
        <v>2230411</v>
      </c>
      <c r="BD11" s="286">
        <f t="shared" si="6"/>
        <v>329775542</v>
      </c>
      <c r="BE11" s="286"/>
      <c r="BF11" s="286">
        <v>96007958</v>
      </c>
      <c r="BG11" s="286">
        <v>440560.1666666667</v>
      </c>
      <c r="BH11" s="286">
        <f>16227375-BG11</f>
        <v>15786814.833333334</v>
      </c>
      <c r="BI11" s="286">
        <v>92717312</v>
      </c>
      <c r="BJ11" s="286">
        <v>72344176</v>
      </c>
      <c r="BK11" s="286">
        <v>30977444</v>
      </c>
      <c r="BL11" s="286">
        <v>2293138</v>
      </c>
      <c r="BM11" s="286">
        <f t="shared" si="7"/>
        <v>310567403</v>
      </c>
    </row>
    <row r="12" spans="1:65" ht="12.75">
      <c r="A12" s="723"/>
      <c r="B12" s="257" t="s">
        <v>51</v>
      </c>
      <c r="D12" s="288">
        <v>68127216</v>
      </c>
      <c r="E12" s="282">
        <v>649211.75</v>
      </c>
      <c r="F12" s="50">
        <f>19861386-E12</f>
        <v>19212174.25</v>
      </c>
      <c r="G12" s="133">
        <v>82935863</v>
      </c>
      <c r="H12" s="133">
        <v>76285267</v>
      </c>
      <c r="I12" s="50">
        <v>19225350</v>
      </c>
      <c r="J12" s="50">
        <v>1801753</v>
      </c>
      <c r="K12" s="51">
        <f t="shared" si="0"/>
        <v>268236835</v>
      </c>
      <c r="L12" s="286"/>
      <c r="M12" s="286">
        <v>72669406</v>
      </c>
      <c r="N12" s="286">
        <v>502050.4166666667</v>
      </c>
      <c r="O12" s="286">
        <f>21727626-N12</f>
        <v>21225575.583333332</v>
      </c>
      <c r="P12" s="287">
        <v>84185811</v>
      </c>
      <c r="Q12" s="287">
        <v>80622707</v>
      </c>
      <c r="R12" s="286">
        <v>24567521</v>
      </c>
      <c r="S12" s="286">
        <v>2061218</v>
      </c>
      <c r="T12" s="286">
        <f t="shared" si="1"/>
        <v>285834289</v>
      </c>
      <c r="U12" s="286"/>
      <c r="V12" s="286">
        <v>78116059</v>
      </c>
      <c r="W12" s="256">
        <f t="shared" si="3"/>
        <v>477081.1666666667</v>
      </c>
      <c r="X12" s="286">
        <f>23454340-W12</f>
        <v>22977258.833333332</v>
      </c>
      <c r="Y12" s="286">
        <v>88954507</v>
      </c>
      <c r="Z12" s="286">
        <v>86950902</v>
      </c>
      <c r="AA12" s="286">
        <v>26830506</v>
      </c>
      <c r="AB12" s="286">
        <v>2224194</v>
      </c>
      <c r="AC12" s="286">
        <f t="shared" si="2"/>
        <v>306530508</v>
      </c>
      <c r="AD12" s="286"/>
      <c r="AE12" s="286">
        <v>70418334</v>
      </c>
      <c r="AF12" s="286">
        <v>459914.5833333333</v>
      </c>
      <c r="AG12" s="286">
        <f>21664320-AF12</f>
        <v>21204405.416666668</v>
      </c>
      <c r="AH12" s="286">
        <v>96462438</v>
      </c>
      <c r="AI12" s="286">
        <v>82641310</v>
      </c>
      <c r="AJ12" s="286">
        <v>27553611</v>
      </c>
      <c r="AK12" s="286">
        <v>2418258</v>
      </c>
      <c r="AL12" s="286">
        <f t="shared" si="4"/>
        <v>301158271</v>
      </c>
      <c r="AM12" s="286"/>
      <c r="AN12" s="286">
        <v>75610670</v>
      </c>
      <c r="AO12" s="286">
        <v>435607.8333333333</v>
      </c>
      <c r="AP12" s="286">
        <f>22642774-AO12</f>
        <v>22207166.166666668</v>
      </c>
      <c r="AQ12" s="286">
        <v>95101286</v>
      </c>
      <c r="AR12" s="286">
        <v>84408372</v>
      </c>
      <c r="AS12" s="286">
        <v>31681938</v>
      </c>
      <c r="AT12" s="286">
        <v>2564613</v>
      </c>
      <c r="AU12" s="286">
        <f t="shared" si="5"/>
        <v>312009653</v>
      </c>
      <c r="AV12" s="286"/>
      <c r="AW12" s="286">
        <v>78737248</v>
      </c>
      <c r="AX12" s="286">
        <v>439326.9166666667</v>
      </c>
      <c r="AY12" s="286">
        <f>22674121-AX12</f>
        <v>22234794.083333332</v>
      </c>
      <c r="AZ12" s="286">
        <v>91666815</v>
      </c>
      <c r="BA12" s="286">
        <v>75562641</v>
      </c>
      <c r="BB12" s="286">
        <v>32721930</v>
      </c>
      <c r="BC12" s="286">
        <v>2651263</v>
      </c>
      <c r="BD12" s="286">
        <f t="shared" si="6"/>
        <v>304014018</v>
      </c>
      <c r="BE12" s="286"/>
      <c r="BF12" s="286">
        <v>83699628</v>
      </c>
      <c r="BG12" s="286">
        <v>440560.1666666667</v>
      </c>
      <c r="BH12" s="286">
        <f>23399792-BG12</f>
        <v>22959231.833333332</v>
      </c>
      <c r="BI12" s="286">
        <v>90275253</v>
      </c>
      <c r="BJ12" s="286">
        <v>70496839</v>
      </c>
      <c r="BK12" s="286">
        <v>31028269</v>
      </c>
      <c r="BL12" s="286">
        <v>2745888</v>
      </c>
      <c r="BM12" s="286">
        <f t="shared" si="7"/>
        <v>301645669</v>
      </c>
    </row>
    <row r="13" spans="1:65" ht="12.75">
      <c r="A13" s="723"/>
      <c r="B13" s="257" t="s">
        <v>19</v>
      </c>
      <c r="D13" s="288">
        <v>69683924</v>
      </c>
      <c r="E13" s="289">
        <v>649211.75</v>
      </c>
      <c r="F13" s="50">
        <f>20962904-E13</f>
        <v>20313692.25</v>
      </c>
      <c r="G13" s="133">
        <v>80313542</v>
      </c>
      <c r="H13" s="133">
        <v>74569400</v>
      </c>
      <c r="I13" s="50">
        <v>22330879</v>
      </c>
      <c r="J13" s="50">
        <v>1987209</v>
      </c>
      <c r="K13" s="51">
        <f t="shared" si="0"/>
        <v>269847858</v>
      </c>
      <c r="L13" s="286"/>
      <c r="M13" s="286">
        <v>69069532</v>
      </c>
      <c r="N13" s="286">
        <v>502050.4166666667</v>
      </c>
      <c r="O13" s="286">
        <f>20516192-N13</f>
        <v>20014141.583333332</v>
      </c>
      <c r="P13" s="287">
        <v>90614206</v>
      </c>
      <c r="Q13" s="287">
        <v>79746480</v>
      </c>
      <c r="R13" s="286">
        <v>24564743</v>
      </c>
      <c r="S13" s="286">
        <v>2173518</v>
      </c>
      <c r="T13" s="286">
        <f t="shared" si="1"/>
        <v>286684671</v>
      </c>
      <c r="U13" s="286"/>
      <c r="V13" s="286">
        <v>74953612</v>
      </c>
      <c r="W13" s="256">
        <f t="shared" si="3"/>
        <v>477081.1666666667</v>
      </c>
      <c r="X13" s="286">
        <f>22788184-W13</f>
        <v>22311102.833333332</v>
      </c>
      <c r="Y13" s="286">
        <v>97467256</v>
      </c>
      <c r="Z13" s="286">
        <v>84977960</v>
      </c>
      <c r="AA13" s="286">
        <v>26025348</v>
      </c>
      <c r="AB13" s="286">
        <v>2377835</v>
      </c>
      <c r="AC13" s="286">
        <f t="shared" si="2"/>
        <v>308590195</v>
      </c>
      <c r="AD13" s="286"/>
      <c r="AE13" s="286">
        <v>81088193</v>
      </c>
      <c r="AF13" s="286">
        <v>459914.5833333333</v>
      </c>
      <c r="AG13" s="286">
        <f>23689813-AF13</f>
        <v>23229898.416666668</v>
      </c>
      <c r="AH13" s="286">
        <v>93732318</v>
      </c>
      <c r="AI13" s="286">
        <v>80819324</v>
      </c>
      <c r="AJ13" s="286">
        <v>26855914</v>
      </c>
      <c r="AK13" s="286">
        <v>2596941</v>
      </c>
      <c r="AL13" s="286">
        <f t="shared" si="4"/>
        <v>308782503</v>
      </c>
      <c r="AM13" s="286"/>
      <c r="AN13" s="286">
        <v>82907242</v>
      </c>
      <c r="AO13" s="286">
        <v>435607.8333333333</v>
      </c>
      <c r="AP13" s="286">
        <f>25216338-AO13</f>
        <v>24780730.166666668</v>
      </c>
      <c r="AQ13" s="286">
        <v>95834053</v>
      </c>
      <c r="AR13" s="286">
        <v>80153652</v>
      </c>
      <c r="AS13" s="286">
        <v>30556407</v>
      </c>
      <c r="AT13" s="286">
        <v>2750280</v>
      </c>
      <c r="AU13" s="286">
        <f t="shared" si="5"/>
        <v>317417972</v>
      </c>
      <c r="AV13" s="286"/>
      <c r="AW13" s="286">
        <v>90034914</v>
      </c>
      <c r="AX13" s="286">
        <v>439326.9166666667</v>
      </c>
      <c r="AY13" s="286">
        <f>24365223-AX13</f>
        <v>23925896.083333332</v>
      </c>
      <c r="AZ13" s="286">
        <v>92054395</v>
      </c>
      <c r="BA13" s="286">
        <v>71241915</v>
      </c>
      <c r="BB13" s="286">
        <v>30831140</v>
      </c>
      <c r="BC13" s="286">
        <v>2829470</v>
      </c>
      <c r="BD13" s="286">
        <f t="shared" si="6"/>
        <v>311357057</v>
      </c>
      <c r="BE13" s="286"/>
      <c r="BF13" s="286">
        <v>87785678</v>
      </c>
      <c r="BG13" s="286">
        <v>440560.1666666667</v>
      </c>
      <c r="BH13" s="286">
        <f>24028905-BG13</f>
        <v>23588344.833333332</v>
      </c>
      <c r="BI13" s="286">
        <v>91490331</v>
      </c>
      <c r="BJ13" s="286">
        <v>68320139</v>
      </c>
      <c r="BK13" s="286">
        <v>28030347</v>
      </c>
      <c r="BL13" s="286">
        <v>2936483</v>
      </c>
      <c r="BM13" s="286">
        <f t="shared" si="7"/>
        <v>302591883</v>
      </c>
    </row>
    <row r="14" spans="1:65" ht="13.5" thickBot="1">
      <c r="A14" s="723"/>
      <c r="B14" s="258" t="s">
        <v>20</v>
      </c>
      <c r="D14" s="290">
        <v>80334228</v>
      </c>
      <c r="E14" s="291">
        <v>649211.75</v>
      </c>
      <c r="F14" s="65">
        <f>23642551-E14</f>
        <v>22993339.25</v>
      </c>
      <c r="G14" s="149">
        <v>73831983</v>
      </c>
      <c r="H14" s="149">
        <v>70214725</v>
      </c>
      <c r="I14" s="65">
        <v>21796037</v>
      </c>
      <c r="J14" s="65">
        <v>2094590</v>
      </c>
      <c r="K14" s="66">
        <f t="shared" si="0"/>
        <v>271914114</v>
      </c>
      <c r="L14" s="286"/>
      <c r="M14" s="286">
        <v>86082290</v>
      </c>
      <c r="N14" s="286">
        <v>502050.4166666667</v>
      </c>
      <c r="O14" s="286">
        <f>24382285-N14</f>
        <v>23880234.583333332</v>
      </c>
      <c r="P14" s="287">
        <v>93555928</v>
      </c>
      <c r="Q14" s="287">
        <v>72917915</v>
      </c>
      <c r="R14" s="286">
        <v>23075329</v>
      </c>
      <c r="S14" s="286">
        <v>2352888</v>
      </c>
      <c r="T14" s="286">
        <f t="shared" si="1"/>
        <v>302366635</v>
      </c>
      <c r="U14" s="286"/>
      <c r="V14" s="286">
        <v>86741676</v>
      </c>
      <c r="W14" s="256">
        <f t="shared" si="3"/>
        <v>477081.1666666667</v>
      </c>
      <c r="X14" s="286">
        <f>25289972-W14</f>
        <v>24812890.833333332</v>
      </c>
      <c r="Y14" s="286">
        <v>94031215</v>
      </c>
      <c r="Z14" s="286">
        <v>75197933</v>
      </c>
      <c r="AA14" s="286">
        <v>24384954</v>
      </c>
      <c r="AB14" s="286">
        <v>2563946</v>
      </c>
      <c r="AC14" s="286">
        <f t="shared" si="2"/>
        <v>308209696</v>
      </c>
      <c r="AD14" s="286"/>
      <c r="AE14" s="286">
        <v>91101711</v>
      </c>
      <c r="AF14" s="286">
        <v>459914.5833333333</v>
      </c>
      <c r="AG14" s="286">
        <f>26047583-AF14</f>
        <v>25587668.416666668</v>
      </c>
      <c r="AH14" s="286">
        <v>92261800</v>
      </c>
      <c r="AI14" s="286">
        <v>74207988</v>
      </c>
      <c r="AJ14" s="286">
        <v>25818150</v>
      </c>
      <c r="AK14" s="286">
        <v>2795179</v>
      </c>
      <c r="AL14" s="286">
        <f t="shared" si="4"/>
        <v>312232411</v>
      </c>
      <c r="AM14" s="286"/>
      <c r="AN14" s="286">
        <v>102589443</v>
      </c>
      <c r="AO14" s="286">
        <v>435607.8333333333</v>
      </c>
      <c r="AP14" s="286">
        <f>28574981-AO14</f>
        <v>28139373.166666668</v>
      </c>
      <c r="AQ14" s="286">
        <v>97410215</v>
      </c>
      <c r="AR14" s="286">
        <v>66413810</v>
      </c>
      <c r="AS14" s="286">
        <v>32575406</v>
      </c>
      <c r="AT14" s="286">
        <v>2980183</v>
      </c>
      <c r="AU14" s="286">
        <f t="shared" si="5"/>
        <v>330544038</v>
      </c>
      <c r="AV14" s="286"/>
      <c r="AW14" s="286">
        <v>92116228</v>
      </c>
      <c r="AX14" s="286">
        <v>439326.9166666667</v>
      </c>
      <c r="AY14" s="286">
        <f>24673265-AX14</f>
        <v>24233938.083333332</v>
      </c>
      <c r="AZ14" s="286">
        <v>97466500</v>
      </c>
      <c r="BA14" s="286">
        <v>63765403</v>
      </c>
      <c r="BB14" s="286">
        <v>28080667</v>
      </c>
      <c r="BC14" s="286">
        <v>3050230</v>
      </c>
      <c r="BD14" s="286">
        <f t="shared" si="6"/>
        <v>309152293</v>
      </c>
      <c r="BE14" s="286"/>
      <c r="BF14" s="286">
        <v>90946365</v>
      </c>
      <c r="BG14" s="286">
        <v>440560.1666666667</v>
      </c>
      <c r="BH14" s="286">
        <f>24777087-BG14</f>
        <v>24336526.833333332</v>
      </c>
      <c r="BI14" s="286">
        <v>97899507</v>
      </c>
      <c r="BJ14" s="286">
        <v>62873698</v>
      </c>
      <c r="BK14" s="286">
        <v>31222652</v>
      </c>
      <c r="BL14" s="286">
        <v>3178016</v>
      </c>
      <c r="BM14" s="286">
        <f t="shared" si="7"/>
        <v>310897325</v>
      </c>
    </row>
    <row r="15" spans="1:65" s="5" customFormat="1" ht="13.5" thickBot="1">
      <c r="A15" s="723"/>
      <c r="B15" s="258"/>
      <c r="D15" s="292"/>
      <c r="E15" s="293"/>
      <c r="F15" s="293"/>
      <c r="G15" s="294"/>
      <c r="H15" s="294"/>
      <c r="I15" s="293"/>
      <c r="J15" s="293"/>
      <c r="K15" s="295"/>
      <c r="L15" s="296"/>
      <c r="M15" s="292"/>
      <c r="N15" s="293"/>
      <c r="O15" s="293"/>
      <c r="P15" s="294"/>
      <c r="Q15" s="294"/>
      <c r="R15" s="293"/>
      <c r="S15" s="293"/>
      <c r="T15" s="295"/>
      <c r="U15" s="296"/>
      <c r="V15" s="292"/>
      <c r="W15" s="293"/>
      <c r="X15" s="293"/>
      <c r="Y15" s="294"/>
      <c r="Z15" s="294"/>
      <c r="AA15" s="293"/>
      <c r="AB15" s="293"/>
      <c r="AC15" s="295"/>
      <c r="AD15" s="296"/>
      <c r="AE15" s="292"/>
      <c r="AF15" s="293"/>
      <c r="AG15" s="293"/>
      <c r="AH15" s="294"/>
      <c r="AI15" s="294"/>
      <c r="AJ15" s="293"/>
      <c r="AK15" s="293"/>
      <c r="AL15" s="295"/>
      <c r="AM15" s="296"/>
      <c r="AN15" s="292"/>
      <c r="AO15" s="293"/>
      <c r="AP15" s="293"/>
      <c r="AQ15" s="294"/>
      <c r="AR15" s="294"/>
      <c r="AS15" s="293"/>
      <c r="AT15" s="293"/>
      <c r="AU15" s="295"/>
      <c r="AV15" s="296"/>
      <c r="AW15" s="292"/>
      <c r="AX15" s="293"/>
      <c r="AY15" s="293"/>
      <c r="AZ15" s="294"/>
      <c r="BA15" s="294"/>
      <c r="BB15" s="293"/>
      <c r="BC15" s="293"/>
      <c r="BD15" s="295"/>
      <c r="BE15" s="296"/>
      <c r="BF15" s="292"/>
      <c r="BG15" s="293"/>
      <c r="BH15" s="293"/>
      <c r="BI15" s="294"/>
      <c r="BJ15" s="294"/>
      <c r="BK15" s="293"/>
      <c r="BL15" s="293"/>
      <c r="BM15" s="295"/>
    </row>
    <row r="16" spans="1:65" s="5" customFormat="1" ht="13.5" thickBot="1">
      <c r="A16" s="724"/>
      <c r="B16" s="297" t="s">
        <v>103</v>
      </c>
      <c r="D16" s="292">
        <f aca="true" t="shared" si="8" ref="D16:K16">SUM(D3:D14)</f>
        <v>951203622</v>
      </c>
      <c r="E16" s="293">
        <f t="shared" si="8"/>
        <v>7790541</v>
      </c>
      <c r="F16" s="293">
        <f t="shared" si="8"/>
        <v>270727042</v>
      </c>
      <c r="G16" s="293">
        <f t="shared" si="8"/>
        <v>1031390099</v>
      </c>
      <c r="H16" s="293">
        <f t="shared" si="8"/>
        <v>874379914</v>
      </c>
      <c r="I16" s="293">
        <f t="shared" si="8"/>
        <v>285362040</v>
      </c>
      <c r="J16" s="293">
        <f t="shared" si="8"/>
        <v>19791253</v>
      </c>
      <c r="K16" s="295">
        <f t="shared" si="8"/>
        <v>3440644511</v>
      </c>
      <c r="M16" s="292">
        <f aca="true" t="shared" si="9" ref="M16:T16">SUM(M3:M14)</f>
        <v>966448805</v>
      </c>
      <c r="N16" s="293">
        <f>SUM(N3:N14)</f>
        <v>6024605.000000001</v>
      </c>
      <c r="O16" s="293">
        <f t="shared" si="9"/>
        <v>273512185.00000006</v>
      </c>
      <c r="P16" s="293">
        <f t="shared" si="9"/>
        <v>1082795918</v>
      </c>
      <c r="Q16" s="293">
        <f t="shared" si="9"/>
        <v>954694132</v>
      </c>
      <c r="R16" s="293">
        <f t="shared" si="9"/>
        <v>294248777</v>
      </c>
      <c r="S16" s="293">
        <f t="shared" si="9"/>
        <v>21710597</v>
      </c>
      <c r="T16" s="295">
        <f t="shared" si="9"/>
        <v>3599435019</v>
      </c>
      <c r="V16" s="292">
        <f aca="true" t="shared" si="10" ref="V16:AC16">SUM(V3:V14)</f>
        <v>1104270425</v>
      </c>
      <c r="W16" s="293">
        <f>SUM(W3:W14)</f>
        <v>5724974.000000001</v>
      </c>
      <c r="X16" s="293">
        <f t="shared" si="10"/>
        <v>298339886</v>
      </c>
      <c r="Y16" s="293">
        <f t="shared" si="10"/>
        <v>1121685603</v>
      </c>
      <c r="Z16" s="293">
        <f t="shared" si="10"/>
        <v>986781942</v>
      </c>
      <c r="AA16" s="293">
        <f t="shared" si="10"/>
        <v>308575243</v>
      </c>
      <c r="AB16" s="293">
        <f t="shared" si="10"/>
        <v>22688359</v>
      </c>
      <c r="AC16" s="295">
        <f t="shared" si="10"/>
        <v>3848066432</v>
      </c>
      <c r="AE16" s="292">
        <f aca="true" t="shared" si="11" ref="AE16:AL16">SUM(AE3:AE14)</f>
        <v>1085698760</v>
      </c>
      <c r="AF16" s="293">
        <f>SUM(AF3:AF14)</f>
        <v>5518975</v>
      </c>
      <c r="AG16" s="293">
        <f t="shared" si="11"/>
        <v>294668780</v>
      </c>
      <c r="AH16" s="293">
        <f t="shared" si="11"/>
        <v>1126508218</v>
      </c>
      <c r="AI16" s="293">
        <f t="shared" si="11"/>
        <v>989399496</v>
      </c>
      <c r="AJ16" s="293">
        <f t="shared" si="11"/>
        <v>340889348</v>
      </c>
      <c r="AK16" s="293">
        <f t="shared" si="11"/>
        <v>24798319</v>
      </c>
      <c r="AL16" s="295">
        <f t="shared" si="11"/>
        <v>3867481896</v>
      </c>
      <c r="AN16" s="292">
        <f aca="true" t="shared" si="12" ref="AN16:AU16">SUM(AN3:AN14)</f>
        <v>1141549097</v>
      </c>
      <c r="AO16" s="293">
        <f>SUM(AO3:AO14)</f>
        <v>5227294</v>
      </c>
      <c r="AP16" s="293">
        <f t="shared" si="12"/>
        <v>309433581</v>
      </c>
      <c r="AQ16" s="293">
        <f t="shared" si="12"/>
        <v>1149393919</v>
      </c>
      <c r="AR16" s="293">
        <f t="shared" si="12"/>
        <v>974656023</v>
      </c>
      <c r="AS16" s="293">
        <f t="shared" si="12"/>
        <v>359937344</v>
      </c>
      <c r="AT16" s="293">
        <f t="shared" si="12"/>
        <v>26705849</v>
      </c>
      <c r="AU16" s="295">
        <f t="shared" si="12"/>
        <v>3966903107</v>
      </c>
      <c r="AW16" s="292">
        <f aca="true" t="shared" si="13" ref="AW16:BD16">SUM(AW3:AW14)</f>
        <v>1128424087</v>
      </c>
      <c r="AX16" s="293">
        <f>SUM(AX3:AX14)</f>
        <v>5271923</v>
      </c>
      <c r="AY16" s="293">
        <f t="shared" si="13"/>
        <v>292894337</v>
      </c>
      <c r="AZ16" s="293">
        <f t="shared" si="13"/>
        <v>1152460872</v>
      </c>
      <c r="BA16" s="293">
        <f t="shared" si="13"/>
        <v>899609526</v>
      </c>
      <c r="BB16" s="293">
        <f t="shared" si="13"/>
        <v>392283776</v>
      </c>
      <c r="BC16" s="293">
        <f t="shared" si="13"/>
        <v>27647076</v>
      </c>
      <c r="BD16" s="295">
        <f t="shared" si="13"/>
        <v>3898591597</v>
      </c>
      <c r="BF16" s="292">
        <f aca="true" t="shared" si="14" ref="BF16:BM16">SUM(BF3:BF14)</f>
        <v>1127308852</v>
      </c>
      <c r="BG16" s="293">
        <f>SUM(BG3:BG14)</f>
        <v>5286722</v>
      </c>
      <c r="BH16" s="293">
        <f t="shared" si="14"/>
        <v>288828616.00000006</v>
      </c>
      <c r="BI16" s="293">
        <f t="shared" si="14"/>
        <v>1119431579</v>
      </c>
      <c r="BJ16" s="293">
        <f t="shared" si="14"/>
        <v>815583527</v>
      </c>
      <c r="BK16" s="293">
        <f t="shared" si="14"/>
        <v>346811250</v>
      </c>
      <c r="BL16" s="293">
        <f t="shared" si="14"/>
        <v>28316852</v>
      </c>
      <c r="BM16" s="295">
        <f t="shared" si="14"/>
        <v>3731567398</v>
      </c>
    </row>
    <row r="17" spans="2:65" s="5" customFormat="1" ht="12.75">
      <c r="B17" s="298"/>
      <c r="D17" s="299"/>
      <c r="E17" s="299"/>
      <c r="F17" s="299"/>
      <c r="G17" s="299"/>
      <c r="H17" s="299"/>
      <c r="I17" s="299"/>
      <c r="J17" s="299"/>
      <c r="K17" s="299"/>
      <c r="M17" s="299"/>
      <c r="N17" s="299"/>
      <c r="O17" s="299"/>
      <c r="P17" s="299"/>
      <c r="Q17" s="299"/>
      <c r="R17" s="299"/>
      <c r="S17" s="299"/>
      <c r="T17" s="299"/>
      <c r="V17" s="299"/>
      <c r="W17" s="299"/>
      <c r="X17" s="299"/>
      <c r="Y17" s="299"/>
      <c r="Z17" s="299"/>
      <c r="AA17" s="299"/>
      <c r="AB17" s="299"/>
      <c r="AC17" s="299"/>
      <c r="AE17" s="299"/>
      <c r="AF17" s="299" t="s">
        <v>6</v>
      </c>
      <c r="AG17" s="299"/>
      <c r="AH17" s="299"/>
      <c r="AI17" s="299"/>
      <c r="AJ17" s="299"/>
      <c r="AK17" s="299"/>
      <c r="AL17" s="299"/>
      <c r="AN17" s="299"/>
      <c r="AO17" s="299"/>
      <c r="AP17" s="299"/>
      <c r="AQ17" s="299"/>
      <c r="AR17" s="299"/>
      <c r="AS17" s="299"/>
      <c r="AT17" s="299"/>
      <c r="AU17" s="299"/>
      <c r="AW17" s="299"/>
      <c r="AX17" s="299"/>
      <c r="AY17" s="299"/>
      <c r="AZ17" s="299"/>
      <c r="BA17" s="299"/>
      <c r="BB17" s="299"/>
      <c r="BC17" s="299"/>
      <c r="BD17" s="299"/>
      <c r="BF17" s="299"/>
      <c r="BG17" s="299"/>
      <c r="BH17" s="299"/>
      <c r="BI17" s="299"/>
      <c r="BJ17" s="299"/>
      <c r="BK17" s="299"/>
      <c r="BL17" s="299"/>
      <c r="BM17" s="299"/>
    </row>
    <row r="18" ht="13.5" thickBot="1"/>
    <row r="19" spans="4:65" ht="13.5" thickBot="1">
      <c r="D19" s="720" t="s">
        <v>104</v>
      </c>
      <c r="E19" s="721"/>
      <c r="F19" s="721"/>
      <c r="G19" s="721"/>
      <c r="H19" s="721"/>
      <c r="I19" s="721"/>
      <c r="J19" s="721"/>
      <c r="K19" s="159"/>
      <c r="M19" s="720" t="s">
        <v>105</v>
      </c>
      <c r="N19" s="721"/>
      <c r="O19" s="721"/>
      <c r="P19" s="721"/>
      <c r="Q19" s="721"/>
      <c r="R19" s="721"/>
      <c r="S19" s="721"/>
      <c r="T19" s="159"/>
      <c r="V19" s="720" t="s">
        <v>106</v>
      </c>
      <c r="W19" s="721"/>
      <c r="X19" s="721"/>
      <c r="Y19" s="721"/>
      <c r="Z19" s="721"/>
      <c r="AA19" s="721"/>
      <c r="AB19" s="721"/>
      <c r="AC19" s="159"/>
      <c r="AE19" s="720" t="s">
        <v>107</v>
      </c>
      <c r="AF19" s="721"/>
      <c r="AG19" s="721"/>
      <c r="AH19" s="721"/>
      <c r="AI19" s="721"/>
      <c r="AJ19" s="721"/>
      <c r="AK19" s="721"/>
      <c r="AL19" s="39"/>
      <c r="AN19" s="720" t="s">
        <v>108</v>
      </c>
      <c r="AO19" s="721"/>
      <c r="AP19" s="721"/>
      <c r="AQ19" s="721"/>
      <c r="AR19" s="721"/>
      <c r="AS19" s="721"/>
      <c r="AT19" s="721"/>
      <c r="AU19" s="159"/>
      <c r="AW19" s="720" t="s">
        <v>109</v>
      </c>
      <c r="AX19" s="721"/>
      <c r="AY19" s="721"/>
      <c r="AZ19" s="721"/>
      <c r="BA19" s="721"/>
      <c r="BB19" s="721"/>
      <c r="BC19" s="721"/>
      <c r="BD19" s="159"/>
      <c r="BF19" s="720" t="s">
        <v>110</v>
      </c>
      <c r="BG19" s="721"/>
      <c r="BH19" s="721"/>
      <c r="BI19" s="721"/>
      <c r="BJ19" s="721"/>
      <c r="BK19" s="721"/>
      <c r="BL19" s="721"/>
      <c r="BM19" s="159"/>
    </row>
    <row r="20" spans="4:65" ht="13.5" thickBot="1">
      <c r="D20" s="300" t="s">
        <v>75</v>
      </c>
      <c r="E20" s="225"/>
      <c r="F20" s="225" t="s">
        <v>77</v>
      </c>
      <c r="G20" s="301" t="s">
        <v>78</v>
      </c>
      <c r="H20" s="301" t="s">
        <v>79</v>
      </c>
      <c r="I20" s="162" t="s">
        <v>92</v>
      </c>
      <c r="J20" s="225" t="s">
        <v>81</v>
      </c>
      <c r="K20" s="160" t="s">
        <v>82</v>
      </c>
      <c r="M20" s="161" t="s">
        <v>75</v>
      </c>
      <c r="N20" s="162"/>
      <c r="O20" s="162" t="s">
        <v>77</v>
      </c>
      <c r="P20" s="162" t="s">
        <v>78</v>
      </c>
      <c r="Q20" s="162" t="s">
        <v>79</v>
      </c>
      <c r="R20" s="162" t="s">
        <v>92</v>
      </c>
      <c r="S20" s="162" t="s">
        <v>81</v>
      </c>
      <c r="T20" s="163" t="s">
        <v>82</v>
      </c>
      <c r="V20" s="161" t="s">
        <v>75</v>
      </c>
      <c r="W20" s="162"/>
      <c r="X20" s="162" t="s">
        <v>77</v>
      </c>
      <c r="Y20" s="302" t="s">
        <v>78</v>
      </c>
      <c r="Z20" s="302" t="s">
        <v>79</v>
      </c>
      <c r="AA20" s="162" t="s">
        <v>80</v>
      </c>
      <c r="AB20" s="162" t="s">
        <v>81</v>
      </c>
      <c r="AC20" s="163" t="s">
        <v>82</v>
      </c>
      <c r="AE20" s="164" t="s">
        <v>75</v>
      </c>
      <c r="AF20" s="165"/>
      <c r="AG20" s="165" t="s">
        <v>77</v>
      </c>
      <c r="AH20" s="166" t="s">
        <v>78</v>
      </c>
      <c r="AI20" s="166" t="s">
        <v>79</v>
      </c>
      <c r="AJ20" s="166" t="s">
        <v>80</v>
      </c>
      <c r="AK20" s="165" t="s">
        <v>81</v>
      </c>
      <c r="AL20" s="163" t="s">
        <v>82</v>
      </c>
      <c r="AN20" s="161" t="s">
        <v>75</v>
      </c>
      <c r="AO20" s="162"/>
      <c r="AP20" s="162" t="s">
        <v>77</v>
      </c>
      <c r="AQ20" s="302" t="s">
        <v>78</v>
      </c>
      <c r="AR20" s="302" t="s">
        <v>79</v>
      </c>
      <c r="AS20" s="162" t="s">
        <v>80</v>
      </c>
      <c r="AT20" s="162" t="s">
        <v>81</v>
      </c>
      <c r="AU20" s="167" t="s">
        <v>82</v>
      </c>
      <c r="AW20" s="161" t="s">
        <v>75</v>
      </c>
      <c r="AX20" s="302" t="s">
        <v>101</v>
      </c>
      <c r="AY20" s="302" t="s">
        <v>77</v>
      </c>
      <c r="AZ20" s="302" t="s">
        <v>78</v>
      </c>
      <c r="BA20" s="302" t="s">
        <v>79</v>
      </c>
      <c r="BB20" s="162" t="s">
        <v>80</v>
      </c>
      <c r="BC20" s="162" t="s">
        <v>81</v>
      </c>
      <c r="BD20" s="168" t="s">
        <v>82</v>
      </c>
      <c r="BF20" s="161" t="s">
        <v>75</v>
      </c>
      <c r="BG20" s="162" t="s">
        <v>101</v>
      </c>
      <c r="BH20" s="162" t="s">
        <v>77</v>
      </c>
      <c r="BI20" s="162" t="s">
        <v>78</v>
      </c>
      <c r="BJ20" s="162" t="s">
        <v>79</v>
      </c>
      <c r="BK20" s="162" t="s">
        <v>80</v>
      </c>
      <c r="BL20" s="162" t="s">
        <v>81</v>
      </c>
      <c r="BM20" s="168" t="s">
        <v>82</v>
      </c>
    </row>
    <row r="21" spans="1:65" ht="12.75">
      <c r="A21" s="722" t="s">
        <v>111</v>
      </c>
      <c r="B21" s="252" t="s">
        <v>9</v>
      </c>
      <c r="D21" s="253">
        <v>95835825</v>
      </c>
      <c r="E21" s="254">
        <f>E3/1.0356</f>
        <v>626894.3124758593</v>
      </c>
      <c r="F21" s="254">
        <f>28127517-E21</f>
        <v>27500622.68752414</v>
      </c>
      <c r="G21" s="254">
        <v>103812165</v>
      </c>
      <c r="H21" s="254">
        <v>69160178</v>
      </c>
      <c r="I21" s="254">
        <v>24321611</v>
      </c>
      <c r="J21" s="254">
        <v>2167609</v>
      </c>
      <c r="K21" s="255">
        <f>SUM(D21:J21)</f>
        <v>323424905</v>
      </c>
      <c r="M21" s="253">
        <v>96701007</v>
      </c>
      <c r="N21" s="254">
        <f>N3/1.0356</f>
        <v>484791.8276039655</v>
      </c>
      <c r="O21" s="254">
        <f>25682590-N21</f>
        <v>25197798.172396034</v>
      </c>
      <c r="P21" s="254">
        <v>104152932</v>
      </c>
      <c r="Q21" s="254">
        <v>73017395</v>
      </c>
      <c r="R21" s="254">
        <v>24578604</v>
      </c>
      <c r="S21" s="254">
        <v>2339198</v>
      </c>
      <c r="T21" s="303">
        <f>SUM(M21:S21)</f>
        <v>326471726</v>
      </c>
      <c r="V21" s="304">
        <v>101234974</v>
      </c>
      <c r="W21" s="256">
        <f>W3/1.0356</f>
        <v>460680.92571134283</v>
      </c>
      <c r="X21" s="256">
        <f>26874345-W21</f>
        <v>26413664.07428866</v>
      </c>
      <c r="Y21" s="254">
        <v>90654817</v>
      </c>
      <c r="Z21" s="254">
        <v>74924606</v>
      </c>
      <c r="AA21" s="256">
        <v>25094959</v>
      </c>
      <c r="AB21" s="256">
        <v>2257824</v>
      </c>
      <c r="AC21" s="303">
        <f>SUM(V21:AB21)</f>
        <v>321041525</v>
      </c>
      <c r="AE21" s="305">
        <v>99098156</v>
      </c>
      <c r="AF21" s="306">
        <f>AF3/1.0356</f>
        <v>444104.46440066944</v>
      </c>
      <c r="AG21" s="306">
        <f>26957408-AF21</f>
        <v>26513303.535599332</v>
      </c>
      <c r="AH21" s="307">
        <v>91598247</v>
      </c>
      <c r="AI21" s="307">
        <v>80351606</v>
      </c>
      <c r="AJ21" s="306">
        <v>26051891</v>
      </c>
      <c r="AK21" s="306">
        <v>2465885</v>
      </c>
      <c r="AL21" s="308">
        <f>SUM(AE21:AK21)</f>
        <v>326523193</v>
      </c>
      <c r="AN21" s="304">
        <v>93324931</v>
      </c>
      <c r="AO21" s="256">
        <f>AO3/1.0356</f>
        <v>420633.2882708896</v>
      </c>
      <c r="AP21" s="256">
        <f>24640007-AO21</f>
        <v>24219373.71172911</v>
      </c>
      <c r="AQ21" s="254">
        <v>95911347</v>
      </c>
      <c r="AR21" s="254">
        <v>77853629</v>
      </c>
      <c r="AS21" s="256">
        <v>23770616</v>
      </c>
      <c r="AT21" s="256">
        <v>2597035</v>
      </c>
      <c r="AU21" s="259">
        <f>SUM(AN21:AT21)</f>
        <v>318097565</v>
      </c>
      <c r="AW21" s="304">
        <v>98298864</v>
      </c>
      <c r="AX21" s="254">
        <f>AX3/1.0356</f>
        <v>424224.52362559544</v>
      </c>
      <c r="AY21" s="254">
        <f>25630473-AX21</f>
        <v>25206248.476374406</v>
      </c>
      <c r="AZ21" s="254">
        <v>99426718</v>
      </c>
      <c r="BA21" s="254">
        <v>72624514</v>
      </c>
      <c r="BB21" s="309">
        <v>32568557</v>
      </c>
      <c r="BC21" s="256">
        <v>2827340</v>
      </c>
      <c r="BD21" s="303">
        <f>SUM(AW21:BC21)</f>
        <v>331376466</v>
      </c>
      <c r="BF21" s="310">
        <v>114929995</v>
      </c>
      <c r="BG21" s="311">
        <f>BG3/1.0356</f>
        <v>425415.37916827603</v>
      </c>
      <c r="BH21" s="311">
        <f>27825458-BG21</f>
        <v>27400042.620831724</v>
      </c>
      <c r="BI21" s="311">
        <v>98470898</v>
      </c>
      <c r="BJ21" s="311">
        <v>62466253</v>
      </c>
      <c r="BK21" s="309">
        <v>30269110</v>
      </c>
      <c r="BL21" s="309">
        <v>2869091</v>
      </c>
      <c r="BM21" s="303">
        <f>SUM(BF21:BL21)</f>
        <v>336830805</v>
      </c>
    </row>
    <row r="22" spans="1:65" ht="12.75">
      <c r="A22" s="723"/>
      <c r="B22" s="257" t="s">
        <v>10</v>
      </c>
      <c r="D22" s="253">
        <v>80671677</v>
      </c>
      <c r="E22" s="254">
        <f aca="true" t="shared" si="15" ref="E22:E32">E4/1.0356</f>
        <v>626894.3124758593</v>
      </c>
      <c r="F22" s="254">
        <f>25275915-E22</f>
        <v>24649020.68752414</v>
      </c>
      <c r="G22" s="254">
        <v>89968164</v>
      </c>
      <c r="H22" s="254">
        <v>64846317</v>
      </c>
      <c r="I22" s="254">
        <v>23902704</v>
      </c>
      <c r="J22" s="254">
        <v>1773999</v>
      </c>
      <c r="K22" s="255">
        <f aca="true" t="shared" si="16" ref="K22:K32">SUM(D22:J22)</f>
        <v>286438776</v>
      </c>
      <c r="M22" s="253">
        <v>84634130</v>
      </c>
      <c r="N22" s="254">
        <f aca="true" t="shared" si="17" ref="N22:N32">N4/1.0356</f>
        <v>484791.8276039655</v>
      </c>
      <c r="O22" s="254">
        <f>25086114-N22</f>
        <v>24601322.172396034</v>
      </c>
      <c r="P22" s="254">
        <v>83963274</v>
      </c>
      <c r="Q22" s="254">
        <v>74304829</v>
      </c>
      <c r="R22" s="254">
        <v>21771023</v>
      </c>
      <c r="S22" s="254">
        <v>1849275</v>
      </c>
      <c r="T22" s="303">
        <f aca="true" t="shared" si="18" ref="T22:T32">SUM(M22:S22)</f>
        <v>291608645</v>
      </c>
      <c r="V22" s="304">
        <v>86270169</v>
      </c>
      <c r="W22" s="256">
        <f aca="true" t="shared" si="19" ref="W22:W32">W4/1.0356</f>
        <v>460680.92571134283</v>
      </c>
      <c r="X22" s="256">
        <f>24670432-W22</f>
        <v>24209751.07428866</v>
      </c>
      <c r="Y22" s="254">
        <v>92165629</v>
      </c>
      <c r="Z22" s="254">
        <v>72579489</v>
      </c>
      <c r="AA22" s="256">
        <v>22740386</v>
      </c>
      <c r="AB22" s="256">
        <v>1879556</v>
      </c>
      <c r="AC22" s="303">
        <f aca="true" t="shared" si="20" ref="AC22:AC32">SUM(V22:AB22)</f>
        <v>300305661</v>
      </c>
      <c r="AE22" s="304">
        <v>83891377</v>
      </c>
      <c r="AF22" s="256">
        <f aca="true" t="shared" si="21" ref="AF22:AF32">AF4/1.0356</f>
        <v>444104.46440066944</v>
      </c>
      <c r="AG22" s="256">
        <f>24936866-AF22</f>
        <v>24492761.535599332</v>
      </c>
      <c r="AH22" s="254">
        <v>90313357</v>
      </c>
      <c r="AI22" s="254">
        <v>74771505</v>
      </c>
      <c r="AJ22" s="256">
        <v>27070685</v>
      </c>
      <c r="AK22" s="256">
        <v>2039790</v>
      </c>
      <c r="AL22" s="303">
        <f aca="true" t="shared" si="22" ref="AL22:AL32">SUM(AE22:AK22)</f>
        <v>303023580</v>
      </c>
      <c r="AN22" s="304">
        <v>102062229</v>
      </c>
      <c r="AO22" s="256">
        <f aca="true" t="shared" si="23" ref="AO22:AO32">AO4/1.0356</f>
        <v>420633.2882708896</v>
      </c>
      <c r="AP22" s="256">
        <f>28377829-AO22</f>
        <v>27957195.71172911</v>
      </c>
      <c r="AQ22" s="254">
        <v>94972993</v>
      </c>
      <c r="AR22" s="254">
        <v>73118979</v>
      </c>
      <c r="AS22" s="256">
        <v>25339626</v>
      </c>
      <c r="AT22" s="256">
        <v>2210122</v>
      </c>
      <c r="AU22" s="259">
        <f aca="true" t="shared" si="24" ref="AU22:AU32">SUM(AN22:AT22)</f>
        <v>326081778</v>
      </c>
      <c r="AW22" s="304">
        <v>99820177</v>
      </c>
      <c r="AX22" s="254">
        <f aca="true" t="shared" si="25" ref="AX22:AX32">AX4/1.0356</f>
        <v>424224.52362559544</v>
      </c>
      <c r="AY22" s="254">
        <f>27115443-AX22</f>
        <v>26691218.476374406</v>
      </c>
      <c r="AZ22" s="254">
        <v>95476489</v>
      </c>
      <c r="BA22" s="254">
        <v>67965868</v>
      </c>
      <c r="BB22" s="256">
        <v>32447847</v>
      </c>
      <c r="BC22" s="256">
        <v>2406102</v>
      </c>
      <c r="BD22" s="303">
        <f>SUM(AW22:BC22)</f>
        <v>325231926</v>
      </c>
      <c r="BF22" s="310">
        <v>100314756</v>
      </c>
      <c r="BG22" s="311">
        <f aca="true" t="shared" si="26" ref="BG22:BG32">BG4/1.0356</f>
        <v>425415.37916827603</v>
      </c>
      <c r="BH22" s="311">
        <f>26506543-BG22</f>
        <v>26081127.620831724</v>
      </c>
      <c r="BI22" s="311">
        <v>89223138</v>
      </c>
      <c r="BJ22" s="311">
        <v>59894713</v>
      </c>
      <c r="BK22" s="312">
        <v>27575448</v>
      </c>
      <c r="BL22" s="312">
        <v>2376729</v>
      </c>
      <c r="BM22" s="303">
        <f>SUM(BF22:BL22)</f>
        <v>305891327</v>
      </c>
    </row>
    <row r="23" spans="1:65" ht="12.75">
      <c r="A23" s="723"/>
      <c r="B23" s="257" t="s">
        <v>11</v>
      </c>
      <c r="D23" s="253">
        <v>76572741</v>
      </c>
      <c r="E23" s="254">
        <f t="shared" si="15"/>
        <v>626894.3124758593</v>
      </c>
      <c r="F23" s="254">
        <f>23220333-E23</f>
        <v>22593438.68752414</v>
      </c>
      <c r="G23" s="254">
        <v>79323772</v>
      </c>
      <c r="H23" s="254">
        <v>71031338</v>
      </c>
      <c r="I23" s="254">
        <v>27167404</v>
      </c>
      <c r="J23" s="254">
        <v>1628909</v>
      </c>
      <c r="K23" s="255">
        <f t="shared" si="16"/>
        <v>278944497</v>
      </c>
      <c r="M23" s="253">
        <v>69375982</v>
      </c>
      <c r="N23" s="254">
        <f t="shared" si="17"/>
        <v>484791.8276039655</v>
      </c>
      <c r="O23" s="254">
        <f>20775421-N23</f>
        <v>20290629.172396034</v>
      </c>
      <c r="P23" s="254">
        <v>89046198</v>
      </c>
      <c r="Q23" s="254">
        <v>80322284</v>
      </c>
      <c r="R23" s="254">
        <v>24117744</v>
      </c>
      <c r="S23" s="254">
        <v>2000209</v>
      </c>
      <c r="T23" s="303">
        <f t="shared" si="18"/>
        <v>285637838</v>
      </c>
      <c r="V23" s="304">
        <v>79078475</v>
      </c>
      <c r="W23" s="256">
        <f t="shared" si="19"/>
        <v>460680.92571134283</v>
      </c>
      <c r="X23" s="256">
        <f>23817650-W23</f>
        <v>23356969.07428866</v>
      </c>
      <c r="Y23" s="254">
        <v>90387744</v>
      </c>
      <c r="Z23" s="254">
        <v>77590145</v>
      </c>
      <c r="AA23" s="256">
        <v>24524462</v>
      </c>
      <c r="AB23" s="256">
        <v>1857430</v>
      </c>
      <c r="AC23" s="303">
        <f t="shared" si="20"/>
        <v>297255906</v>
      </c>
      <c r="AE23" s="304">
        <v>81086349</v>
      </c>
      <c r="AF23" s="256">
        <f t="shared" si="21"/>
        <v>444104.46440066944</v>
      </c>
      <c r="AG23" s="256">
        <f>23434643-AF23</f>
        <v>22990538.535599332</v>
      </c>
      <c r="AH23" s="254">
        <v>91752478</v>
      </c>
      <c r="AI23" s="254">
        <v>80344445</v>
      </c>
      <c r="AJ23" s="256">
        <v>29502183</v>
      </c>
      <c r="AK23" s="256">
        <v>2022520</v>
      </c>
      <c r="AL23" s="303">
        <f t="shared" si="22"/>
        <v>308142618</v>
      </c>
      <c r="AN23" s="304">
        <v>86850778</v>
      </c>
      <c r="AO23" s="256">
        <f t="shared" si="23"/>
        <v>420633.2882708896</v>
      </c>
      <c r="AP23" s="256">
        <f>25284293-AO23</f>
        <v>24863659.71172911</v>
      </c>
      <c r="AQ23" s="254">
        <v>93117826</v>
      </c>
      <c r="AR23" s="254">
        <v>79729465</v>
      </c>
      <c r="AS23" s="256">
        <v>30153865</v>
      </c>
      <c r="AT23" s="256">
        <v>2254548</v>
      </c>
      <c r="AU23" s="259">
        <f t="shared" si="24"/>
        <v>317390775</v>
      </c>
      <c r="AW23" s="304">
        <v>94278896</v>
      </c>
      <c r="AX23" s="254">
        <f t="shared" si="25"/>
        <v>424224.52362559544</v>
      </c>
      <c r="AY23" s="254">
        <f>26309184-AX23</f>
        <v>25884959.476374406</v>
      </c>
      <c r="AZ23" s="254">
        <v>96883508</v>
      </c>
      <c r="BA23" s="254">
        <v>70985734</v>
      </c>
      <c r="BB23" s="256">
        <v>31810008</v>
      </c>
      <c r="BC23" s="256">
        <v>2341364</v>
      </c>
      <c r="BD23" s="303">
        <f aca="true" t="shared" si="27" ref="BD23:BD32">SUM(AW23:BC23)</f>
        <v>322608694</v>
      </c>
      <c r="BF23" s="310">
        <v>84993353</v>
      </c>
      <c r="BG23" s="311">
        <f t="shared" si="26"/>
        <v>425415.37916827603</v>
      </c>
      <c r="BH23" s="311">
        <f>23021636-BG23</f>
        <v>22596220.620831724</v>
      </c>
      <c r="BI23" s="311">
        <v>93267497</v>
      </c>
      <c r="BJ23" s="311">
        <v>66945485</v>
      </c>
      <c r="BK23" s="312">
        <v>30119516</v>
      </c>
      <c r="BL23" s="312">
        <v>2368403</v>
      </c>
      <c r="BM23" s="303">
        <f aca="true" t="shared" si="28" ref="BM23:BM32">SUM(BF23:BL23)</f>
        <v>300715890</v>
      </c>
    </row>
    <row r="24" spans="1:65" ht="12.75">
      <c r="A24" s="723"/>
      <c r="B24" s="257" t="s">
        <v>12</v>
      </c>
      <c r="D24" s="253">
        <v>67295647</v>
      </c>
      <c r="E24" s="254">
        <f t="shared" si="15"/>
        <v>626894.3124758593</v>
      </c>
      <c r="F24" s="254">
        <f>21540629-E24</f>
        <v>20913734.68752414</v>
      </c>
      <c r="G24" s="254">
        <v>80475757</v>
      </c>
      <c r="H24" s="254">
        <v>67817496</v>
      </c>
      <c r="I24" s="254">
        <v>25659378</v>
      </c>
      <c r="J24" s="254">
        <v>1480278</v>
      </c>
      <c r="K24" s="255">
        <f t="shared" si="16"/>
        <v>264269185</v>
      </c>
      <c r="M24" s="253">
        <v>79242185</v>
      </c>
      <c r="N24" s="254">
        <f t="shared" si="17"/>
        <v>484791.8276039655</v>
      </c>
      <c r="O24" s="254">
        <f>23794928-N24</f>
        <v>23310136.172396034</v>
      </c>
      <c r="P24" s="254">
        <v>79944927</v>
      </c>
      <c r="Q24" s="254">
        <v>75390619</v>
      </c>
      <c r="R24" s="254">
        <v>23754703</v>
      </c>
      <c r="S24" s="254">
        <v>1508069</v>
      </c>
      <c r="T24" s="303">
        <f t="shared" si="18"/>
        <v>283635431</v>
      </c>
      <c r="V24" s="304">
        <v>79227360</v>
      </c>
      <c r="W24" s="256">
        <f t="shared" si="19"/>
        <v>460680.92571134283</v>
      </c>
      <c r="X24" s="256">
        <f>23927789-W24</f>
        <v>23467108.07428866</v>
      </c>
      <c r="Y24" s="254">
        <v>82584190</v>
      </c>
      <c r="Z24" s="254">
        <v>76171266</v>
      </c>
      <c r="AA24" s="256">
        <v>24015019</v>
      </c>
      <c r="AB24" s="256">
        <v>1585420</v>
      </c>
      <c r="AC24" s="303">
        <f t="shared" si="20"/>
        <v>287511044</v>
      </c>
      <c r="AE24" s="304">
        <v>84382703</v>
      </c>
      <c r="AF24" s="256">
        <f t="shared" si="21"/>
        <v>444104.46440066944</v>
      </c>
      <c r="AG24" s="256">
        <f>25087375-AF24</f>
        <v>24643270.535599332</v>
      </c>
      <c r="AH24" s="254">
        <v>82208593</v>
      </c>
      <c r="AI24" s="254">
        <v>72405270</v>
      </c>
      <c r="AJ24" s="256">
        <v>28117133</v>
      </c>
      <c r="AK24" s="256">
        <v>1723011</v>
      </c>
      <c r="AL24" s="303">
        <f t="shared" si="22"/>
        <v>293924085</v>
      </c>
      <c r="AN24" s="304">
        <v>82765241</v>
      </c>
      <c r="AO24" s="256">
        <f t="shared" si="23"/>
        <v>420633.2882708896</v>
      </c>
      <c r="AP24" s="256">
        <f>24580702-AO24</f>
        <v>24160068.71172911</v>
      </c>
      <c r="AQ24" s="254">
        <v>87593869</v>
      </c>
      <c r="AR24" s="254">
        <v>75294861</v>
      </c>
      <c r="AS24" s="256">
        <v>27511916</v>
      </c>
      <c r="AT24" s="256">
        <v>1961368</v>
      </c>
      <c r="AU24" s="259">
        <f t="shared" si="24"/>
        <v>299707957</v>
      </c>
      <c r="AW24" s="304">
        <v>74766344</v>
      </c>
      <c r="AX24" s="254">
        <f t="shared" si="25"/>
        <v>424224.52362559544</v>
      </c>
      <c r="AY24" s="254">
        <f>22057808-AX24</f>
        <v>21633583.476374406</v>
      </c>
      <c r="AZ24" s="254">
        <v>90044170</v>
      </c>
      <c r="BA24" s="254">
        <v>75279546</v>
      </c>
      <c r="BB24" s="256">
        <v>30898996</v>
      </c>
      <c r="BC24" s="309">
        <v>1940139</v>
      </c>
      <c r="BD24" s="303">
        <f t="shared" si="27"/>
        <v>294987003</v>
      </c>
      <c r="BF24" s="310">
        <v>89892055</v>
      </c>
      <c r="BG24" s="311">
        <f t="shared" si="26"/>
        <v>425415.37916827603</v>
      </c>
      <c r="BH24" s="311">
        <f>23980081-BG24</f>
        <v>23554665.620831724</v>
      </c>
      <c r="BI24" s="311">
        <v>85881705</v>
      </c>
      <c r="BJ24" s="311">
        <v>62607105</v>
      </c>
      <c r="BK24" s="312">
        <v>27295581</v>
      </c>
      <c r="BL24" s="313">
        <v>1986143</v>
      </c>
      <c r="BM24" s="303">
        <f t="shared" si="28"/>
        <v>291642670</v>
      </c>
    </row>
    <row r="25" spans="1:65" ht="12.75">
      <c r="A25" s="723"/>
      <c r="B25" s="257" t="s">
        <v>13</v>
      </c>
      <c r="D25" s="253">
        <v>63501813</v>
      </c>
      <c r="E25" s="254">
        <f t="shared" si="15"/>
        <v>626894.3124758593</v>
      </c>
      <c r="F25" s="254">
        <f>20023005-E25</f>
        <v>19396110.68752414</v>
      </c>
      <c r="G25" s="254">
        <v>86801807</v>
      </c>
      <c r="H25" s="254">
        <v>71284663</v>
      </c>
      <c r="I25" s="254">
        <v>25865193</v>
      </c>
      <c r="J25" s="254">
        <v>1335937</v>
      </c>
      <c r="K25" s="255">
        <f t="shared" si="16"/>
        <v>268812418</v>
      </c>
      <c r="M25" s="253">
        <v>67850931</v>
      </c>
      <c r="N25" s="254">
        <f t="shared" si="17"/>
        <v>484791.8276039655</v>
      </c>
      <c r="O25" s="254">
        <f>21335803-N25</f>
        <v>20851011.172396034</v>
      </c>
      <c r="P25" s="254">
        <v>82213387</v>
      </c>
      <c r="Q25" s="254">
        <v>76802256</v>
      </c>
      <c r="R25" s="254">
        <v>25169090</v>
      </c>
      <c r="S25" s="254">
        <v>1332439</v>
      </c>
      <c r="T25" s="303">
        <f t="shared" si="18"/>
        <v>274703906</v>
      </c>
      <c r="V25" s="304">
        <v>68385013</v>
      </c>
      <c r="W25" s="256">
        <f t="shared" si="19"/>
        <v>460680.92571134283</v>
      </c>
      <c r="X25" s="256">
        <f>22113816-W25</f>
        <v>21653135.07428866</v>
      </c>
      <c r="Y25" s="254">
        <v>84462278</v>
      </c>
      <c r="Z25" s="254">
        <v>78587389</v>
      </c>
      <c r="AA25" s="256">
        <v>25166564</v>
      </c>
      <c r="AB25" s="256">
        <v>1429477</v>
      </c>
      <c r="AC25" s="303">
        <f t="shared" si="20"/>
        <v>280144537</v>
      </c>
      <c r="AE25" s="304">
        <v>63552222</v>
      </c>
      <c r="AF25" s="256">
        <f t="shared" si="21"/>
        <v>444104.46440066944</v>
      </c>
      <c r="AG25" s="256">
        <f>20651619-AF25</f>
        <v>20207514.535599332</v>
      </c>
      <c r="AH25" s="254">
        <v>86456364</v>
      </c>
      <c r="AI25" s="254">
        <v>83433001</v>
      </c>
      <c r="AJ25" s="256">
        <v>29894835</v>
      </c>
      <c r="AK25" s="256">
        <v>1568964</v>
      </c>
      <c r="AL25" s="303">
        <f t="shared" si="22"/>
        <v>285557005</v>
      </c>
      <c r="AN25" s="304">
        <v>70082262</v>
      </c>
      <c r="AO25" s="256">
        <f t="shared" si="23"/>
        <v>420633.2882708896</v>
      </c>
      <c r="AP25" s="256">
        <f>22978069-AO25</f>
        <v>22557435.71172911</v>
      </c>
      <c r="AQ25" s="254">
        <v>89101688</v>
      </c>
      <c r="AR25" s="254">
        <v>82238389</v>
      </c>
      <c r="AS25" s="256">
        <v>31776005</v>
      </c>
      <c r="AT25" s="256">
        <v>1741658</v>
      </c>
      <c r="AU25" s="259">
        <f t="shared" si="24"/>
        <v>297918071</v>
      </c>
      <c r="AW25" s="304">
        <v>76207747</v>
      </c>
      <c r="AX25" s="254">
        <f t="shared" si="25"/>
        <v>424224.52362559544</v>
      </c>
      <c r="AY25" s="254">
        <f>23169088-AX25</f>
        <v>22744863.476374406</v>
      </c>
      <c r="AZ25" s="254">
        <v>83518930</v>
      </c>
      <c r="BA25" s="254">
        <v>73679653</v>
      </c>
      <c r="BB25" s="256">
        <v>31666817</v>
      </c>
      <c r="BC25" s="256">
        <v>1721366</v>
      </c>
      <c r="BD25" s="303">
        <f t="shared" si="27"/>
        <v>289963601</v>
      </c>
      <c r="BF25" s="310">
        <v>77171913</v>
      </c>
      <c r="BG25" s="311">
        <f t="shared" si="26"/>
        <v>425415.37916827603</v>
      </c>
      <c r="BH25" s="311">
        <f>21644253-BG25</f>
        <v>21218837.620831724</v>
      </c>
      <c r="BI25" s="311">
        <v>82709262</v>
      </c>
      <c r="BJ25" s="311">
        <v>64769595</v>
      </c>
      <c r="BK25" s="312">
        <v>21729889</v>
      </c>
      <c r="BL25" s="313">
        <v>1767971</v>
      </c>
      <c r="BM25" s="303">
        <f t="shared" si="28"/>
        <v>269792883</v>
      </c>
    </row>
    <row r="26" spans="1:65" ht="12.75">
      <c r="A26" s="723"/>
      <c r="B26" s="257" t="s">
        <v>14</v>
      </c>
      <c r="D26" s="253">
        <v>61838475</v>
      </c>
      <c r="E26" s="254">
        <f t="shared" si="15"/>
        <v>626894.3124758593</v>
      </c>
      <c r="F26" s="254">
        <f>20306919-E26</f>
        <v>19680024.68752414</v>
      </c>
      <c r="G26" s="254">
        <v>71035189</v>
      </c>
      <c r="H26" s="254">
        <v>71972313</v>
      </c>
      <c r="I26" s="254">
        <v>26315987</v>
      </c>
      <c r="J26" s="254">
        <v>1084101</v>
      </c>
      <c r="K26" s="255">
        <f t="shared" si="16"/>
        <v>252552984</v>
      </c>
      <c r="M26" s="253">
        <v>64149604</v>
      </c>
      <c r="N26" s="254">
        <f t="shared" si="17"/>
        <v>484791.8276039655</v>
      </c>
      <c r="O26" s="311">
        <f>20259335-N26</f>
        <v>19774543.172396034</v>
      </c>
      <c r="P26" s="254">
        <v>84703863</v>
      </c>
      <c r="Q26" s="254">
        <v>78793577</v>
      </c>
      <c r="R26" s="254">
        <v>24604275</v>
      </c>
      <c r="S26" s="254">
        <v>1171928</v>
      </c>
      <c r="T26" s="303">
        <f t="shared" si="18"/>
        <v>273682582</v>
      </c>
      <c r="V26" s="304">
        <v>82879065</v>
      </c>
      <c r="W26" s="256">
        <f t="shared" si="19"/>
        <v>460680.92571134283</v>
      </c>
      <c r="X26" s="256">
        <f>23566365-W26</f>
        <v>23105684.07428866</v>
      </c>
      <c r="Y26" s="254">
        <v>91804571</v>
      </c>
      <c r="Z26" s="254">
        <v>84433776</v>
      </c>
      <c r="AA26" s="256">
        <v>27545365</v>
      </c>
      <c r="AB26" s="256">
        <v>1274605</v>
      </c>
      <c r="AC26" s="303">
        <f t="shared" si="20"/>
        <v>311503747</v>
      </c>
      <c r="AE26" s="304">
        <v>84544669</v>
      </c>
      <c r="AF26" s="256">
        <f t="shared" si="21"/>
        <v>444104.46440066944</v>
      </c>
      <c r="AG26" s="256">
        <f>23754577-AF26</f>
        <v>23310472.535599332</v>
      </c>
      <c r="AH26" s="254">
        <v>95566356</v>
      </c>
      <c r="AI26" s="254">
        <v>84599692</v>
      </c>
      <c r="AJ26" s="256">
        <v>30198349</v>
      </c>
      <c r="AK26" s="256">
        <v>1391372</v>
      </c>
      <c r="AL26" s="303">
        <f t="shared" si="22"/>
        <v>320055015</v>
      </c>
      <c r="AN26" s="304">
        <v>91702752</v>
      </c>
      <c r="AO26" s="256">
        <f t="shared" si="23"/>
        <v>420633.2882708896</v>
      </c>
      <c r="AP26" s="256">
        <f>25530375-AO26</f>
        <v>25109741.71172911</v>
      </c>
      <c r="AQ26" s="254">
        <v>92949554</v>
      </c>
      <c r="AR26" s="254">
        <v>83606371</v>
      </c>
      <c r="AS26" s="256">
        <v>32821524</v>
      </c>
      <c r="AT26" s="256">
        <v>1574322</v>
      </c>
      <c r="AU26" s="259">
        <f t="shared" si="24"/>
        <v>328184898</v>
      </c>
      <c r="AW26" s="304">
        <v>83569063</v>
      </c>
      <c r="AX26" s="254">
        <f t="shared" si="25"/>
        <v>424224.52362559544</v>
      </c>
      <c r="AY26" s="254">
        <f>23425781-AX26</f>
        <v>23001556.476374406</v>
      </c>
      <c r="AZ26" s="254">
        <v>97558262</v>
      </c>
      <c r="BA26" s="254">
        <v>75390790</v>
      </c>
      <c r="BB26" s="256">
        <v>34603416</v>
      </c>
      <c r="BC26" s="256">
        <v>1526330</v>
      </c>
      <c r="BD26" s="303">
        <f t="shared" si="27"/>
        <v>316073642</v>
      </c>
      <c r="BF26" s="310">
        <v>71910668</v>
      </c>
      <c r="BG26" s="311">
        <f t="shared" si="26"/>
        <v>425415.37916827603</v>
      </c>
      <c r="BH26" s="311">
        <f>20559580-BG26</f>
        <v>20134164.620831724</v>
      </c>
      <c r="BI26" s="311">
        <v>88276045</v>
      </c>
      <c r="BJ26" s="311">
        <v>66245644</v>
      </c>
      <c r="BK26" s="312">
        <v>25383350</v>
      </c>
      <c r="BL26" s="313">
        <v>1562749</v>
      </c>
      <c r="BM26" s="303">
        <f t="shared" si="28"/>
        <v>273938036</v>
      </c>
    </row>
    <row r="27" spans="1:65" ht="12.75">
      <c r="A27" s="723"/>
      <c r="B27" s="257" t="s">
        <v>15</v>
      </c>
      <c r="D27" s="253">
        <v>91204614</v>
      </c>
      <c r="E27" s="254">
        <f t="shared" si="15"/>
        <v>626894.3124758593</v>
      </c>
      <c r="F27" s="254">
        <f>23027044-E27</f>
        <v>22400149.68752414</v>
      </c>
      <c r="G27" s="254">
        <v>89670036</v>
      </c>
      <c r="H27" s="254">
        <v>75348788</v>
      </c>
      <c r="I27" s="254">
        <v>24717308</v>
      </c>
      <c r="J27" s="254">
        <v>1149708</v>
      </c>
      <c r="K27" s="255">
        <f t="shared" si="16"/>
        <v>305117498</v>
      </c>
      <c r="M27" s="253">
        <v>82822906</v>
      </c>
      <c r="N27" s="254">
        <f t="shared" si="17"/>
        <v>484791.8276039655</v>
      </c>
      <c r="O27" s="254">
        <f>23892121-N27</f>
        <v>23407329.172396034</v>
      </c>
      <c r="P27" s="254">
        <v>103635180</v>
      </c>
      <c r="Q27" s="254">
        <v>78783682</v>
      </c>
      <c r="R27" s="254">
        <v>24023617</v>
      </c>
      <c r="S27" s="254">
        <v>1225761</v>
      </c>
      <c r="T27" s="303">
        <f t="shared" si="18"/>
        <v>314383267</v>
      </c>
      <c r="V27" s="304">
        <v>128480389</v>
      </c>
      <c r="W27" s="256">
        <f t="shared" si="19"/>
        <v>460680.92571134283</v>
      </c>
      <c r="X27" s="256">
        <f>28277990-W27</f>
        <v>27817309.07428866</v>
      </c>
      <c r="Y27" s="254">
        <v>93000462</v>
      </c>
      <c r="Z27" s="254">
        <v>82486731</v>
      </c>
      <c r="AA27" s="256">
        <v>24358531</v>
      </c>
      <c r="AB27" s="256">
        <v>1383628</v>
      </c>
      <c r="AC27" s="303">
        <f t="shared" si="20"/>
        <v>357987731</v>
      </c>
      <c r="AE27" s="304">
        <v>111908541</v>
      </c>
      <c r="AF27" s="256">
        <f t="shared" si="21"/>
        <v>444104.46440066944</v>
      </c>
      <c r="AG27" s="256">
        <f>26200046-AF27</f>
        <v>25755941.535599332</v>
      </c>
      <c r="AH27" s="256">
        <v>95775708</v>
      </c>
      <c r="AI27" s="256">
        <v>83788702</v>
      </c>
      <c r="AJ27" s="256">
        <v>26629430</v>
      </c>
      <c r="AK27" s="256">
        <v>1504802</v>
      </c>
      <c r="AL27" s="303">
        <f t="shared" si="22"/>
        <v>345807229</v>
      </c>
      <c r="AN27" s="304">
        <v>105265405</v>
      </c>
      <c r="AO27" s="256">
        <f t="shared" si="23"/>
        <v>420633.2882708896</v>
      </c>
      <c r="AP27" s="256">
        <f>25647235-AO27</f>
        <v>25226601.71172911</v>
      </c>
      <c r="AQ27" s="254">
        <v>93138546</v>
      </c>
      <c r="AR27" s="254">
        <v>79011418</v>
      </c>
      <c r="AS27" s="256">
        <v>31989993</v>
      </c>
      <c r="AT27" s="256">
        <v>1641118</v>
      </c>
      <c r="AU27" s="259">
        <f t="shared" si="24"/>
        <v>336693715</v>
      </c>
      <c r="AW27" s="304">
        <v>106702020</v>
      </c>
      <c r="AX27" s="254">
        <f t="shared" si="25"/>
        <v>424224.52362559544</v>
      </c>
      <c r="AY27" s="254">
        <f>25390430-AX27</f>
        <v>24966205.476374406</v>
      </c>
      <c r="AZ27" s="254">
        <v>92770353</v>
      </c>
      <c r="BA27" s="254">
        <v>77621814</v>
      </c>
      <c r="BB27" s="256">
        <v>33255456</v>
      </c>
      <c r="BC27" s="256">
        <v>1644846</v>
      </c>
      <c r="BD27" s="303">
        <f t="shared" si="27"/>
        <v>337384919</v>
      </c>
      <c r="BF27" s="310">
        <v>96389222</v>
      </c>
      <c r="BG27" s="311">
        <f t="shared" si="26"/>
        <v>425415.37916827603</v>
      </c>
      <c r="BH27" s="311">
        <f>23543339-BG27</f>
        <v>23117923.620831724</v>
      </c>
      <c r="BI27" s="311">
        <v>90697163</v>
      </c>
      <c r="BJ27" s="311">
        <v>69334333</v>
      </c>
      <c r="BK27" s="312">
        <v>28839597</v>
      </c>
      <c r="BL27" s="313">
        <v>1693925</v>
      </c>
      <c r="BM27" s="303">
        <f t="shared" si="28"/>
        <v>310497579</v>
      </c>
    </row>
    <row r="28" spans="1:65" ht="12.75">
      <c r="A28" s="723"/>
      <c r="B28" s="257" t="s">
        <v>16</v>
      </c>
      <c r="D28" s="253">
        <v>92505717</v>
      </c>
      <c r="E28" s="254">
        <f t="shared" si="15"/>
        <v>626894.3124758593</v>
      </c>
      <c r="F28" s="254">
        <f>23562035-E28</f>
        <v>22935140.68752414</v>
      </c>
      <c r="G28" s="254">
        <v>83412431</v>
      </c>
      <c r="H28" s="254">
        <v>67701528</v>
      </c>
      <c r="I28" s="254">
        <v>24908899</v>
      </c>
      <c r="J28" s="254">
        <v>1382361</v>
      </c>
      <c r="K28" s="255">
        <f t="shared" si="16"/>
        <v>293472971</v>
      </c>
      <c r="M28" s="253">
        <v>87420338</v>
      </c>
      <c r="N28" s="254">
        <f t="shared" si="17"/>
        <v>484791.8276039655</v>
      </c>
      <c r="O28" s="254">
        <f>22186772-N28</f>
        <v>21701980.172396034</v>
      </c>
      <c r="P28" s="254">
        <v>72322130</v>
      </c>
      <c r="Q28" s="254">
        <v>81180518</v>
      </c>
      <c r="R28" s="254">
        <v>26255053</v>
      </c>
      <c r="S28" s="254">
        <v>1522817</v>
      </c>
      <c r="T28" s="303">
        <f t="shared" si="18"/>
        <v>290887628</v>
      </c>
      <c r="V28" s="304">
        <v>112838134</v>
      </c>
      <c r="W28" s="256">
        <f t="shared" si="19"/>
        <v>460680.92571134283</v>
      </c>
      <c r="X28" s="256">
        <f>25700749-W28</f>
        <v>25240068.07428866</v>
      </c>
      <c r="Y28" s="254">
        <v>95085316</v>
      </c>
      <c r="Z28" s="254">
        <v>87931959</v>
      </c>
      <c r="AA28" s="256">
        <v>28296971</v>
      </c>
      <c r="AB28" s="256">
        <v>1585446</v>
      </c>
      <c r="AC28" s="303">
        <f t="shared" si="20"/>
        <v>351438575</v>
      </c>
      <c r="AE28" s="304">
        <v>118474081</v>
      </c>
      <c r="AF28" s="256">
        <f t="shared" si="21"/>
        <v>444104.46440066944</v>
      </c>
      <c r="AG28" s="256">
        <f>25548007-AF28</f>
        <v>25103902.535599332</v>
      </c>
      <c r="AH28" s="256">
        <v>96723620</v>
      </c>
      <c r="AI28" s="256">
        <v>87082484</v>
      </c>
      <c r="AJ28" s="256">
        <v>30926745</v>
      </c>
      <c r="AK28" s="256">
        <v>1715649</v>
      </c>
      <c r="AL28" s="303">
        <f t="shared" si="22"/>
        <v>360470586</v>
      </c>
      <c r="AN28" s="304">
        <v>114224127</v>
      </c>
      <c r="AO28" s="256">
        <f t="shared" si="23"/>
        <v>420633.2882708896</v>
      </c>
      <c r="AP28" s="256">
        <f>26060743-AO28</f>
        <v>25640109.71172911</v>
      </c>
      <c r="AQ28" s="254">
        <v>95750167</v>
      </c>
      <c r="AR28" s="254">
        <v>88408601</v>
      </c>
      <c r="AS28" s="256">
        <v>27315562</v>
      </c>
      <c r="AT28" s="256">
        <v>1793334</v>
      </c>
      <c r="AU28" s="259">
        <f t="shared" si="24"/>
        <v>353552534</v>
      </c>
      <c r="AW28" s="304">
        <v>112174341</v>
      </c>
      <c r="AX28" s="254">
        <f t="shared" si="25"/>
        <v>424224.52362559544</v>
      </c>
      <c r="AY28" s="254">
        <f>26014743-AX28</f>
        <v>25590518.476374406</v>
      </c>
      <c r="AZ28" s="254">
        <v>92740083</v>
      </c>
      <c r="BA28" s="254">
        <v>77124139</v>
      </c>
      <c r="BB28" s="256">
        <v>35540959</v>
      </c>
      <c r="BC28" s="256">
        <v>1897749</v>
      </c>
      <c r="BD28" s="303">
        <f t="shared" si="27"/>
        <v>345492014</v>
      </c>
      <c r="BF28" s="310">
        <v>106837454</v>
      </c>
      <c r="BG28" s="311">
        <f t="shared" si="26"/>
        <v>425415.37916827603</v>
      </c>
      <c r="BH28" s="311">
        <f>31530628-BG28</f>
        <v>31105212.620831724</v>
      </c>
      <c r="BI28" s="311">
        <v>92877653</v>
      </c>
      <c r="BJ28" s="311">
        <v>71088497</v>
      </c>
      <c r="BK28" s="312">
        <v>31566349</v>
      </c>
      <c r="BL28" s="313">
        <v>1948305</v>
      </c>
      <c r="BM28" s="303">
        <f t="shared" si="28"/>
        <v>335848886</v>
      </c>
    </row>
    <row r="29" spans="1:65" ht="12.75">
      <c r="A29" s="723"/>
      <c r="B29" s="257" t="s">
        <v>17</v>
      </c>
      <c r="D29" s="253">
        <v>78427414</v>
      </c>
      <c r="E29" s="254">
        <f t="shared" si="15"/>
        <v>626894.3124758593</v>
      </c>
      <c r="F29" s="254">
        <f>21612670-E29</f>
        <v>20985775.68752414</v>
      </c>
      <c r="G29" s="254">
        <v>82575759</v>
      </c>
      <c r="H29" s="254">
        <v>72293429</v>
      </c>
      <c r="I29" s="254">
        <v>16357992</v>
      </c>
      <c r="J29" s="254">
        <v>1426706</v>
      </c>
      <c r="K29" s="255">
        <f t="shared" si="16"/>
        <v>272693970</v>
      </c>
      <c r="M29" s="253">
        <v>81039365</v>
      </c>
      <c r="N29" s="254">
        <f t="shared" si="17"/>
        <v>484791.8276039655</v>
      </c>
      <c r="O29" s="254">
        <f>22578714-N29</f>
        <v>22093922.172396034</v>
      </c>
      <c r="P29" s="254">
        <v>86539872</v>
      </c>
      <c r="Q29" s="254">
        <v>78800252</v>
      </c>
      <c r="R29" s="254">
        <v>24812039</v>
      </c>
      <c r="S29" s="254">
        <v>1653405</v>
      </c>
      <c r="T29" s="303">
        <f t="shared" si="18"/>
        <v>295423647</v>
      </c>
      <c r="V29" s="304">
        <v>96349384</v>
      </c>
      <c r="W29" s="256">
        <f t="shared" si="19"/>
        <v>460680.92571134283</v>
      </c>
      <c r="X29" s="256">
        <f>25589721-W29</f>
        <v>25129040.07428866</v>
      </c>
      <c r="Y29" s="254">
        <v>92220235</v>
      </c>
      <c r="Z29" s="254">
        <v>80458193</v>
      </c>
      <c r="AA29" s="256">
        <v>26483669</v>
      </c>
      <c r="AB29" s="256">
        <v>1735399</v>
      </c>
      <c r="AC29" s="303">
        <f t="shared" si="20"/>
        <v>322836601</v>
      </c>
      <c r="AE29" s="304">
        <v>87170715</v>
      </c>
      <c r="AF29" s="256">
        <f t="shared" si="21"/>
        <v>444104.46440066944</v>
      </c>
      <c r="AG29" s="256">
        <f>24351945-AF29</f>
        <v>23907840.535599332</v>
      </c>
      <c r="AH29" s="256">
        <v>84685807</v>
      </c>
      <c r="AI29" s="256">
        <v>80031450</v>
      </c>
      <c r="AJ29" s="256">
        <v>28731272</v>
      </c>
      <c r="AK29" s="256">
        <v>1971966</v>
      </c>
      <c r="AL29" s="303">
        <f t="shared" si="22"/>
        <v>306943155</v>
      </c>
      <c r="AN29" s="304">
        <v>103898176</v>
      </c>
      <c r="AO29" s="256">
        <f t="shared" si="23"/>
        <v>420633.2882708896</v>
      </c>
      <c r="AP29" s="256">
        <f>26941437-AO29</f>
        <v>26520803.71172911</v>
      </c>
      <c r="AQ29" s="254">
        <v>88949596</v>
      </c>
      <c r="AR29" s="254">
        <v>79593527</v>
      </c>
      <c r="AS29" s="256">
        <v>31049346</v>
      </c>
      <c r="AT29" s="256">
        <v>2004376</v>
      </c>
      <c r="AU29" s="259">
        <f t="shared" si="24"/>
        <v>332436458</v>
      </c>
      <c r="AW29" s="304">
        <v>91896614</v>
      </c>
      <c r="AX29" s="254">
        <f t="shared" si="25"/>
        <v>424224.52362559544</v>
      </c>
      <c r="AY29" s="254">
        <f>23319763-AX29</f>
        <v>22895538.476374406</v>
      </c>
      <c r="AZ29" s="254">
        <v>92983380</v>
      </c>
      <c r="BA29" s="254">
        <v>75287319</v>
      </c>
      <c r="BB29" s="256">
        <v>34033628</v>
      </c>
      <c r="BC29" s="256">
        <v>2153737</v>
      </c>
      <c r="BD29" s="303">
        <f t="shared" si="27"/>
        <v>319674441</v>
      </c>
      <c r="BF29" s="310">
        <v>92707816</v>
      </c>
      <c r="BG29" s="311">
        <f t="shared" si="26"/>
        <v>425415.37916827603</v>
      </c>
      <c r="BH29" s="311">
        <f>15669560-BG29</f>
        <v>15244144.620831724</v>
      </c>
      <c r="BI29" s="311">
        <v>89536165</v>
      </c>
      <c r="BJ29" s="311">
        <v>69913251</v>
      </c>
      <c r="BK29" s="312">
        <v>30593880</v>
      </c>
      <c r="BL29" s="313">
        <v>2214309</v>
      </c>
      <c r="BM29" s="303">
        <f t="shared" si="28"/>
        <v>300634981</v>
      </c>
    </row>
    <row r="30" spans="1:65" ht="12.75">
      <c r="A30" s="723"/>
      <c r="B30" s="257" t="s">
        <v>51</v>
      </c>
      <c r="D30" s="253">
        <v>65785373</v>
      </c>
      <c r="E30" s="254">
        <f t="shared" si="15"/>
        <v>626894.3124758593</v>
      </c>
      <c r="F30" s="254">
        <f>19178646-E30</f>
        <v>18551751.68752414</v>
      </c>
      <c r="G30" s="254">
        <v>80094441</v>
      </c>
      <c r="H30" s="254">
        <v>73731928</v>
      </c>
      <c r="I30" s="254">
        <v>18989015</v>
      </c>
      <c r="J30" s="254">
        <v>1739816</v>
      </c>
      <c r="K30" s="255">
        <f t="shared" si="16"/>
        <v>259519219</v>
      </c>
      <c r="M30" s="253">
        <v>70171270</v>
      </c>
      <c r="N30" s="254">
        <f t="shared" si="17"/>
        <v>484791.8276039655</v>
      </c>
      <c r="O30" s="254">
        <f>20980643-N30</f>
        <v>20495851.172396034</v>
      </c>
      <c r="P30" s="254">
        <v>81300977</v>
      </c>
      <c r="Q30" s="254">
        <v>77942513</v>
      </c>
      <c r="R30" s="254">
        <v>24236322</v>
      </c>
      <c r="S30" s="254">
        <v>1990361</v>
      </c>
      <c r="T30" s="303">
        <f t="shared" si="18"/>
        <v>276622086</v>
      </c>
      <c r="V30" s="304">
        <v>75430792</v>
      </c>
      <c r="W30" s="256">
        <f t="shared" si="19"/>
        <v>460680.92571134283</v>
      </c>
      <c r="X30" s="256">
        <f>22648044-W30</f>
        <v>22187363.07428866</v>
      </c>
      <c r="Y30" s="254">
        <v>85901855</v>
      </c>
      <c r="Z30" s="254">
        <v>84066210</v>
      </c>
      <c r="AA30" s="256">
        <v>26468231</v>
      </c>
      <c r="AB30" s="256">
        <v>2147735</v>
      </c>
      <c r="AC30" s="303">
        <f t="shared" si="20"/>
        <v>296662867</v>
      </c>
      <c r="AE30" s="304">
        <v>67997820</v>
      </c>
      <c r="AF30" s="256">
        <f t="shared" si="21"/>
        <v>444104.46440066944</v>
      </c>
      <c r="AG30" s="256">
        <f>20919736-AF30</f>
        <v>20475631.535599332</v>
      </c>
      <c r="AH30" s="256">
        <v>93151434</v>
      </c>
      <c r="AI30" s="256">
        <v>79901344</v>
      </c>
      <c r="AJ30" s="256">
        <v>27179190</v>
      </c>
      <c r="AK30" s="256">
        <v>2335127</v>
      </c>
      <c r="AL30" s="303">
        <f t="shared" si="22"/>
        <v>291484651</v>
      </c>
      <c r="AN30" s="304">
        <v>73011666</v>
      </c>
      <c r="AO30" s="256">
        <f t="shared" si="23"/>
        <v>420633.2882708896</v>
      </c>
      <c r="AP30" s="256">
        <f>21864776-AO30</f>
        <v>21444142.71172911</v>
      </c>
      <c r="AQ30" s="254">
        <v>91836992</v>
      </c>
      <c r="AR30" s="254">
        <v>81583179</v>
      </c>
      <c r="AS30" s="256">
        <v>31278187</v>
      </c>
      <c r="AT30" s="256">
        <v>2476451</v>
      </c>
      <c r="AU30" s="259">
        <f t="shared" si="24"/>
        <v>302051251</v>
      </c>
      <c r="AW30" s="304">
        <v>76030590</v>
      </c>
      <c r="AX30" s="254">
        <f t="shared" si="25"/>
        <v>424224.52362559544</v>
      </c>
      <c r="AY30" s="254">
        <f>22320933-AX30</f>
        <v>21896708.476374406</v>
      </c>
      <c r="AZ30" s="254">
        <v>88519174</v>
      </c>
      <c r="BA30" s="254">
        <v>73022772</v>
      </c>
      <c r="BB30" s="256">
        <v>32302823</v>
      </c>
      <c r="BC30" s="256">
        <v>2560123</v>
      </c>
      <c r="BD30" s="303">
        <f t="shared" si="27"/>
        <v>294756415</v>
      </c>
      <c r="BF30" s="310">
        <v>80822498</v>
      </c>
      <c r="BG30" s="311">
        <f t="shared" si="26"/>
        <v>425415.37916827603</v>
      </c>
      <c r="BH30" s="311">
        <f>22595408-BG30</f>
        <v>22169992.620831724</v>
      </c>
      <c r="BI30" s="311">
        <v>87178137</v>
      </c>
      <c r="BJ30" s="311">
        <v>68128434</v>
      </c>
      <c r="BK30" s="312">
        <v>30638512</v>
      </c>
      <c r="BL30" s="313">
        <v>2651495</v>
      </c>
      <c r="BM30" s="303">
        <f t="shared" si="28"/>
        <v>292014484</v>
      </c>
    </row>
    <row r="31" spans="1:65" ht="12.75">
      <c r="A31" s="723"/>
      <c r="B31" s="257" t="s">
        <v>19</v>
      </c>
      <c r="D31" s="253">
        <v>67288556</v>
      </c>
      <c r="E31" s="254">
        <f t="shared" si="15"/>
        <v>626894.3124758593</v>
      </c>
      <c r="F31" s="254">
        <f>20242279-E31</f>
        <v>19615384.68752414</v>
      </c>
      <c r="G31" s="254">
        <v>77560779</v>
      </c>
      <c r="H31" s="254">
        <v>72072312</v>
      </c>
      <c r="I31" s="254">
        <v>22055175</v>
      </c>
      <c r="J31" s="254">
        <v>1918897</v>
      </c>
      <c r="K31" s="255">
        <f t="shared" si="16"/>
        <v>261137998</v>
      </c>
      <c r="M31" s="253">
        <v>66695447</v>
      </c>
      <c r="N31" s="254">
        <f t="shared" si="17"/>
        <v>484791.8276039655</v>
      </c>
      <c r="O31" s="254">
        <f>19810918-N31</f>
        <v>19326126.172396034</v>
      </c>
      <c r="P31" s="254">
        <v>87514263</v>
      </c>
      <c r="Q31" s="254">
        <v>77097113</v>
      </c>
      <c r="R31" s="254">
        <v>24231862</v>
      </c>
      <c r="S31" s="254">
        <v>2098801</v>
      </c>
      <c r="T31" s="303">
        <f t="shared" si="18"/>
        <v>277448404</v>
      </c>
      <c r="V31" s="304">
        <v>72376973</v>
      </c>
      <c r="W31" s="256">
        <f t="shared" si="19"/>
        <v>460680.92571134283</v>
      </c>
      <c r="X31" s="256">
        <f>22004787-W31</f>
        <v>21544106.07428866</v>
      </c>
      <c r="Y31" s="254">
        <v>94121175</v>
      </c>
      <c r="Z31" s="254">
        <v>82152106</v>
      </c>
      <c r="AA31" s="256">
        <v>25672569</v>
      </c>
      <c r="AB31" s="256">
        <v>2296094</v>
      </c>
      <c r="AC31" s="303">
        <f t="shared" si="20"/>
        <v>298623704</v>
      </c>
      <c r="AE31" s="304">
        <v>78300865</v>
      </c>
      <c r="AF31" s="256">
        <f t="shared" si="21"/>
        <v>444104.46440066944</v>
      </c>
      <c r="AG31" s="256">
        <f>22875544-AF31</f>
        <v>22431439.535599332</v>
      </c>
      <c r="AH31" s="256">
        <v>90515074</v>
      </c>
      <c r="AI31" s="256">
        <v>78141042</v>
      </c>
      <c r="AJ31" s="256">
        <v>26488969</v>
      </c>
      <c r="AK31" s="256">
        <v>2507668</v>
      </c>
      <c r="AL31" s="303">
        <f t="shared" si="22"/>
        <v>298829162</v>
      </c>
      <c r="AN31" s="304">
        <v>80057237</v>
      </c>
      <c r="AO31" s="256">
        <f t="shared" si="23"/>
        <v>420633.2882708896</v>
      </c>
      <c r="AP31" s="256">
        <f>24349829-AO31</f>
        <v>23929195.71172911</v>
      </c>
      <c r="AQ31" s="254">
        <v>92473694</v>
      </c>
      <c r="AR31" s="254">
        <v>77473667</v>
      </c>
      <c r="AS31" s="256">
        <v>30163484</v>
      </c>
      <c r="AT31" s="256">
        <v>2655736</v>
      </c>
      <c r="AU31" s="259">
        <f t="shared" si="24"/>
        <v>307173647</v>
      </c>
      <c r="AW31" s="304">
        <v>86939866</v>
      </c>
      <c r="AX31" s="254">
        <f t="shared" si="25"/>
        <v>424224.52362559544</v>
      </c>
      <c r="AY31" s="254">
        <f>23527620-AX31</f>
        <v>23103395.476374406</v>
      </c>
      <c r="AZ31" s="254">
        <v>88892836</v>
      </c>
      <c r="BA31" s="254">
        <v>68845702</v>
      </c>
      <c r="BB31" s="256">
        <v>30439599</v>
      </c>
      <c r="BC31" s="256">
        <v>2732203</v>
      </c>
      <c r="BD31" s="303">
        <f t="shared" si="27"/>
        <v>301377826</v>
      </c>
      <c r="BF31" s="310">
        <v>84768126</v>
      </c>
      <c r="BG31" s="311">
        <f t="shared" si="26"/>
        <v>425415.37916827603</v>
      </c>
      <c r="BH31" s="311">
        <f>23202893-BG31</f>
        <v>22777477.620831724</v>
      </c>
      <c r="BI31" s="311">
        <v>88350312</v>
      </c>
      <c r="BJ31" s="311">
        <v>66028714</v>
      </c>
      <c r="BK31" s="312">
        <v>27681172</v>
      </c>
      <c r="BL31" s="313">
        <v>2835538</v>
      </c>
      <c r="BM31" s="303">
        <f t="shared" si="28"/>
        <v>292866755</v>
      </c>
    </row>
    <row r="32" spans="1:65" ht="13.5" thickBot="1">
      <c r="A32" s="723"/>
      <c r="B32" s="258" t="s">
        <v>20</v>
      </c>
      <c r="D32" s="253">
        <v>77572801</v>
      </c>
      <c r="E32" s="254">
        <f t="shared" si="15"/>
        <v>626894.3124758593</v>
      </c>
      <c r="F32" s="254">
        <f>22829849-E32</f>
        <v>22202954.68752414</v>
      </c>
      <c r="G32" s="254">
        <v>71302549</v>
      </c>
      <c r="H32" s="254">
        <v>67861111</v>
      </c>
      <c r="I32" s="254">
        <v>21523662</v>
      </c>
      <c r="J32" s="254">
        <v>2022585</v>
      </c>
      <c r="K32" s="255">
        <f t="shared" si="16"/>
        <v>263112557</v>
      </c>
      <c r="M32" s="253">
        <v>83123206</v>
      </c>
      <c r="N32" s="254">
        <f t="shared" si="17"/>
        <v>484791.8276039655</v>
      </c>
      <c r="O32" s="254">
        <f>23544144-N32</f>
        <v>23059352.172396034</v>
      </c>
      <c r="P32" s="254">
        <v>90345446</v>
      </c>
      <c r="Q32" s="254">
        <v>70506894</v>
      </c>
      <c r="R32" s="254">
        <v>22763786</v>
      </c>
      <c r="S32" s="254">
        <v>2272004</v>
      </c>
      <c r="T32" s="303">
        <f t="shared" si="18"/>
        <v>292555480</v>
      </c>
      <c r="V32" s="304">
        <v>83759829</v>
      </c>
      <c r="W32" s="256">
        <f t="shared" si="19"/>
        <v>460680.92571134283</v>
      </c>
      <c r="X32" s="256">
        <f>24420589-W32</f>
        <v>23959908.07428866</v>
      </c>
      <c r="Y32" s="254">
        <v>90803584</v>
      </c>
      <c r="Z32" s="254">
        <v>72679213</v>
      </c>
      <c r="AA32" s="256">
        <v>24055634</v>
      </c>
      <c r="AB32" s="256">
        <v>2475807</v>
      </c>
      <c r="AC32" s="303">
        <f t="shared" si="20"/>
        <v>298194656</v>
      </c>
      <c r="AE32" s="304">
        <v>87970145</v>
      </c>
      <c r="AF32" s="256">
        <f t="shared" si="21"/>
        <v>444104.46440066944</v>
      </c>
      <c r="AG32" s="256">
        <f>25152317-AF32</f>
        <v>24708212.535599332</v>
      </c>
      <c r="AH32" s="256">
        <v>89094198</v>
      </c>
      <c r="AI32" s="256">
        <v>71744055</v>
      </c>
      <c r="AJ32" s="256">
        <v>25468006</v>
      </c>
      <c r="AK32" s="256">
        <v>2699091</v>
      </c>
      <c r="AL32" s="303">
        <f t="shared" si="22"/>
        <v>302127812</v>
      </c>
      <c r="AN32" s="304">
        <v>99062856</v>
      </c>
      <c r="AO32" s="256">
        <f t="shared" si="23"/>
        <v>420633.2882708896</v>
      </c>
      <c r="AP32" s="256">
        <f>27592651-AO32</f>
        <v>27172017.71172911</v>
      </c>
      <c r="AQ32" s="254">
        <v>94064388</v>
      </c>
      <c r="AR32" s="254">
        <v>64195079</v>
      </c>
      <c r="AS32" s="256">
        <v>32158318</v>
      </c>
      <c r="AT32" s="256">
        <v>2877735</v>
      </c>
      <c r="AU32" s="259">
        <f t="shared" si="24"/>
        <v>319951027</v>
      </c>
      <c r="AW32" s="304">
        <v>88949986</v>
      </c>
      <c r="AX32" s="254">
        <f t="shared" si="25"/>
        <v>424224.52362559544</v>
      </c>
      <c r="AY32" s="254">
        <f>23825120-AX32</f>
        <v>23400895.476374406</v>
      </c>
      <c r="AZ32" s="254">
        <v>94118650</v>
      </c>
      <c r="BA32" s="254">
        <v>61619351</v>
      </c>
      <c r="BB32" s="256">
        <v>27734190</v>
      </c>
      <c r="BC32" s="256">
        <v>2945375</v>
      </c>
      <c r="BD32" s="303">
        <f t="shared" si="27"/>
        <v>299192672</v>
      </c>
      <c r="BF32" s="310">
        <v>87819963</v>
      </c>
      <c r="BG32" s="311">
        <f t="shared" si="26"/>
        <v>425415.37916827603</v>
      </c>
      <c r="BH32" s="311">
        <f>23925386-BG32</f>
        <v>23499970.620831724</v>
      </c>
      <c r="BI32" s="311">
        <v>94539745</v>
      </c>
      <c r="BJ32" s="311">
        <v>60763420</v>
      </c>
      <c r="BK32" s="312">
        <v>30830986</v>
      </c>
      <c r="BL32" s="313">
        <v>3068768</v>
      </c>
      <c r="BM32" s="303">
        <f t="shared" si="28"/>
        <v>300948268</v>
      </c>
    </row>
    <row r="33" spans="1:65" ht="13.5" thickBot="1">
      <c r="A33" s="723"/>
      <c r="D33" s="304"/>
      <c r="E33" s="256"/>
      <c r="F33" s="256"/>
      <c r="G33" s="254"/>
      <c r="H33" s="254"/>
      <c r="I33" s="256"/>
      <c r="J33" s="256"/>
      <c r="K33" s="231"/>
      <c r="M33" s="314"/>
      <c r="N33" s="315"/>
      <c r="O33" s="315"/>
      <c r="P33" s="254"/>
      <c r="Q33" s="254"/>
      <c r="R33" s="315"/>
      <c r="S33" s="315"/>
      <c r="T33" s="316"/>
      <c r="V33" s="304"/>
      <c r="W33" s="256"/>
      <c r="X33" s="256"/>
      <c r="Y33" s="254"/>
      <c r="Z33" s="254"/>
      <c r="AA33" s="256"/>
      <c r="AB33" s="256"/>
      <c r="AC33" s="231"/>
      <c r="AE33" s="304"/>
      <c r="AF33" s="256"/>
      <c r="AG33" s="256"/>
      <c r="AH33" s="254"/>
      <c r="AI33" s="254"/>
      <c r="AJ33" s="256"/>
      <c r="AK33" s="256"/>
      <c r="AL33" s="231"/>
      <c r="AN33" s="304"/>
      <c r="AO33" s="256"/>
      <c r="AP33" s="256"/>
      <c r="AQ33" s="254"/>
      <c r="AR33" s="254"/>
      <c r="AS33" s="256"/>
      <c r="AT33" s="256"/>
      <c r="AU33" s="259"/>
      <c r="AW33" s="304"/>
      <c r="AX33" s="254"/>
      <c r="AY33" s="254"/>
      <c r="AZ33" s="254"/>
      <c r="BA33" s="254"/>
      <c r="BB33" s="256"/>
      <c r="BC33" s="256"/>
      <c r="BD33" s="231"/>
      <c r="BF33" s="173"/>
      <c r="BG33" s="123"/>
      <c r="BH33" s="123"/>
      <c r="BI33" s="123"/>
      <c r="BJ33" s="123"/>
      <c r="BK33" s="172"/>
      <c r="BL33" s="172"/>
      <c r="BM33" s="231"/>
    </row>
    <row r="34" spans="1:65" s="5" customFormat="1" ht="13.5" thickBot="1">
      <c r="A34" s="724"/>
      <c r="B34" s="317" t="s">
        <v>103</v>
      </c>
      <c r="D34" s="318">
        <f>SUM(D21:D32)</f>
        <v>918500653</v>
      </c>
      <c r="E34" s="319">
        <v>7790541</v>
      </c>
      <c r="F34" s="319">
        <f aca="true" t="shared" si="29" ref="F34:K34">SUM(F21:F32)</f>
        <v>261424109.25028968</v>
      </c>
      <c r="G34" s="319">
        <f t="shared" si="29"/>
        <v>996032849</v>
      </c>
      <c r="H34" s="319">
        <f t="shared" si="29"/>
        <v>845121401</v>
      </c>
      <c r="I34" s="319">
        <f t="shared" si="29"/>
        <v>281784328</v>
      </c>
      <c r="J34" s="319">
        <f t="shared" si="29"/>
        <v>19110906</v>
      </c>
      <c r="K34" s="320">
        <f t="shared" si="29"/>
        <v>3329496978</v>
      </c>
      <c r="M34" s="318">
        <f>SUM(M21:M32)</f>
        <v>933226371</v>
      </c>
      <c r="N34" s="319">
        <v>6024605</v>
      </c>
      <c r="O34" s="319">
        <f aca="true" t="shared" si="30" ref="O34:T34">SUM(O21:O32)</f>
        <v>264110001.0687524</v>
      </c>
      <c r="P34" s="319">
        <f t="shared" si="30"/>
        <v>1045682449</v>
      </c>
      <c r="Q34" s="319">
        <f t="shared" si="30"/>
        <v>922941932</v>
      </c>
      <c r="R34" s="319">
        <f t="shared" si="30"/>
        <v>290318118</v>
      </c>
      <c r="S34" s="319">
        <f t="shared" si="30"/>
        <v>20964267</v>
      </c>
      <c r="T34" s="320">
        <f t="shared" si="30"/>
        <v>3483060640</v>
      </c>
      <c r="V34" s="318">
        <f>SUM(V21:V32)</f>
        <v>1066310557</v>
      </c>
      <c r="W34" s="319">
        <v>5724974</v>
      </c>
      <c r="X34" s="319">
        <f aca="true" t="shared" si="31" ref="X34:AC34">SUM(X21:X32)</f>
        <v>288084105.89146394</v>
      </c>
      <c r="Y34" s="319">
        <f t="shared" si="31"/>
        <v>1083191856</v>
      </c>
      <c r="Z34" s="319">
        <f t="shared" si="31"/>
        <v>954061083</v>
      </c>
      <c r="AA34" s="319">
        <f t="shared" si="31"/>
        <v>304422360</v>
      </c>
      <c r="AB34" s="319">
        <f t="shared" si="31"/>
        <v>21908421</v>
      </c>
      <c r="AC34" s="320">
        <f t="shared" si="31"/>
        <v>3723506554</v>
      </c>
      <c r="AE34" s="318">
        <f>SUM(AE21:AE32)</f>
        <v>1048377643</v>
      </c>
      <c r="AF34" s="319">
        <v>5518975</v>
      </c>
      <c r="AG34" s="319">
        <f aca="true" t="shared" si="32" ref="AG34:AL34">SUM(AG21:AG32)</f>
        <v>284540829.4271919</v>
      </c>
      <c r="AH34" s="319">
        <f t="shared" si="32"/>
        <v>1087841236</v>
      </c>
      <c r="AI34" s="319">
        <f t="shared" si="32"/>
        <v>956594596</v>
      </c>
      <c r="AJ34" s="319">
        <f t="shared" si="32"/>
        <v>336258688</v>
      </c>
      <c r="AK34" s="319">
        <f t="shared" si="32"/>
        <v>23945845</v>
      </c>
      <c r="AL34" s="320">
        <f t="shared" si="32"/>
        <v>3742888091</v>
      </c>
      <c r="AN34" s="318">
        <f>SUM(AN21:AN32)</f>
        <v>1102307660</v>
      </c>
      <c r="AO34" s="319">
        <v>5227294</v>
      </c>
      <c r="AP34" s="319">
        <f aca="true" t="shared" si="33" ref="AP34:AU34">SUM(AP21:AP32)</f>
        <v>298800346.5407493</v>
      </c>
      <c r="AQ34" s="319">
        <f t="shared" si="33"/>
        <v>1109860660</v>
      </c>
      <c r="AR34" s="319">
        <f t="shared" si="33"/>
        <v>942107165</v>
      </c>
      <c r="AS34" s="319">
        <f t="shared" si="33"/>
        <v>355328442</v>
      </c>
      <c r="AT34" s="319">
        <f t="shared" si="33"/>
        <v>25787803</v>
      </c>
      <c r="AU34" s="320">
        <f t="shared" si="33"/>
        <v>3839239676</v>
      </c>
      <c r="AW34" s="318">
        <f>SUM(AW21:AW32)</f>
        <v>1089634508</v>
      </c>
      <c r="AX34" s="319">
        <v>5271923</v>
      </c>
      <c r="AY34" s="319">
        <f aca="true" t="shared" si="34" ref="AY34:BD34">SUM(AY21:AY32)</f>
        <v>287015691.71649295</v>
      </c>
      <c r="AZ34" s="319">
        <f t="shared" si="34"/>
        <v>1112932553</v>
      </c>
      <c r="BA34" s="319">
        <f t="shared" si="34"/>
        <v>869447202</v>
      </c>
      <c r="BB34" s="319">
        <f t="shared" si="34"/>
        <v>387302296</v>
      </c>
      <c r="BC34" s="319">
        <f t="shared" si="34"/>
        <v>26696674</v>
      </c>
      <c r="BD34" s="320">
        <f t="shared" si="34"/>
        <v>3778119619</v>
      </c>
      <c r="BF34" s="318">
        <f>SUM(BF21:BF32)</f>
        <v>1088557819</v>
      </c>
      <c r="BG34" s="319">
        <v>5286722</v>
      </c>
      <c r="BH34" s="319">
        <f aca="true" t="shared" si="35" ref="BH34:BM34">SUM(BH21:BH32)</f>
        <v>278899780.4499807</v>
      </c>
      <c r="BI34" s="319">
        <f t="shared" si="35"/>
        <v>1081007720</v>
      </c>
      <c r="BJ34" s="319">
        <f t="shared" si="35"/>
        <v>788185444</v>
      </c>
      <c r="BK34" s="319">
        <f t="shared" si="35"/>
        <v>342523390</v>
      </c>
      <c r="BL34" s="319">
        <f t="shared" si="35"/>
        <v>27343426</v>
      </c>
      <c r="BM34" s="320">
        <f t="shared" si="35"/>
        <v>3611622564</v>
      </c>
    </row>
    <row r="35" spans="2:65" s="172" customFormat="1" ht="12.75">
      <c r="B35" s="124"/>
      <c r="D35" s="321"/>
      <c r="E35" s="322"/>
      <c r="F35" s="322"/>
      <c r="G35" s="322"/>
      <c r="H35" s="322"/>
      <c r="I35" s="322"/>
      <c r="J35" s="322"/>
      <c r="K35" s="323"/>
      <c r="M35" s="321"/>
      <c r="N35" s="322"/>
      <c r="O35" s="322"/>
      <c r="P35" s="322"/>
      <c r="Q35" s="322"/>
      <c r="R35" s="322"/>
      <c r="S35" s="322"/>
      <c r="T35" s="323"/>
      <c r="V35" s="321"/>
      <c r="W35" s="322"/>
      <c r="X35" s="322"/>
      <c r="Y35" s="322"/>
      <c r="Z35" s="322"/>
      <c r="AA35" s="322"/>
      <c r="AB35" s="322"/>
      <c r="AC35" s="323"/>
      <c r="AE35" s="321"/>
      <c r="AF35" s="322"/>
      <c r="AG35" s="322"/>
      <c r="AH35" s="322"/>
      <c r="AI35" s="322"/>
      <c r="AJ35" s="322"/>
      <c r="AK35" s="322"/>
      <c r="AL35" s="323"/>
      <c r="AN35" s="321"/>
      <c r="AO35" s="322"/>
      <c r="AP35" s="322"/>
      <c r="AQ35" s="322"/>
      <c r="AR35" s="322"/>
      <c r="AS35" s="322"/>
      <c r="AT35" s="322"/>
      <c r="AU35" s="324"/>
      <c r="AW35" s="321"/>
      <c r="AX35" s="322"/>
      <c r="AY35" s="322"/>
      <c r="AZ35" s="322"/>
      <c r="BA35" s="322"/>
      <c r="BB35" s="322"/>
      <c r="BC35" s="322"/>
      <c r="BD35" s="323"/>
      <c r="BF35" s="325"/>
      <c r="BG35" s="326"/>
      <c r="BH35" s="326"/>
      <c r="BI35" s="326"/>
      <c r="BJ35" s="326"/>
      <c r="BK35" s="326"/>
      <c r="BL35" s="326"/>
      <c r="BM35" s="323"/>
    </row>
    <row r="36" spans="2:65" s="172" customFormat="1" ht="13.5" thickBot="1">
      <c r="B36" s="124"/>
      <c r="D36" s="314"/>
      <c r="E36" s="315"/>
      <c r="F36" s="315"/>
      <c r="G36" s="315"/>
      <c r="H36" s="315"/>
      <c r="I36" s="315"/>
      <c r="J36" s="315"/>
      <c r="K36" s="327"/>
      <c r="M36" s="314"/>
      <c r="N36" s="315"/>
      <c r="O36" s="315"/>
      <c r="P36" s="315"/>
      <c r="Q36" s="315"/>
      <c r="R36" s="315"/>
      <c r="S36" s="315"/>
      <c r="T36" s="327"/>
      <c r="V36" s="314"/>
      <c r="W36" s="315"/>
      <c r="X36" s="315"/>
      <c r="Y36" s="315"/>
      <c r="Z36" s="315"/>
      <c r="AA36" s="315"/>
      <c r="AB36" s="315"/>
      <c r="AC36" s="327"/>
      <c r="AE36" s="314"/>
      <c r="AF36" s="315"/>
      <c r="AG36" s="315"/>
      <c r="AH36" s="315"/>
      <c r="AI36" s="315"/>
      <c r="AJ36" s="315"/>
      <c r="AK36" s="315"/>
      <c r="AL36" s="327"/>
      <c r="AN36" s="314"/>
      <c r="AO36" s="315"/>
      <c r="AP36" s="315"/>
      <c r="AQ36" s="315"/>
      <c r="AR36" s="315"/>
      <c r="AS36" s="315"/>
      <c r="AT36" s="315"/>
      <c r="AU36" s="328"/>
      <c r="AW36" s="314"/>
      <c r="AX36" s="315"/>
      <c r="AY36" s="315"/>
      <c r="AZ36" s="315"/>
      <c r="BA36" s="315"/>
      <c r="BB36" s="315"/>
      <c r="BC36" s="315"/>
      <c r="BD36" s="327"/>
      <c r="BF36" s="329"/>
      <c r="BG36" s="330"/>
      <c r="BH36" s="330"/>
      <c r="BI36" s="330"/>
      <c r="BJ36" s="330"/>
      <c r="BK36" s="330"/>
      <c r="BL36" s="330"/>
      <c r="BM36" s="327"/>
    </row>
    <row r="37" spans="4:70" ht="13.5" thickBot="1">
      <c r="D37" s="725" t="s">
        <v>112</v>
      </c>
      <c r="E37" s="726"/>
      <c r="F37" s="726"/>
      <c r="G37" s="726"/>
      <c r="H37" s="726"/>
      <c r="I37" s="726"/>
      <c r="J37" s="726"/>
      <c r="K37" s="727"/>
      <c r="M37" s="725" t="s">
        <v>112</v>
      </c>
      <c r="N37" s="726"/>
      <c r="O37" s="726"/>
      <c r="P37" s="726"/>
      <c r="Q37" s="726"/>
      <c r="R37" s="726"/>
      <c r="S37" s="726"/>
      <c r="T37" s="727"/>
      <c r="V37" s="725" t="s">
        <v>112</v>
      </c>
      <c r="W37" s="726"/>
      <c r="X37" s="726"/>
      <c r="Y37" s="726"/>
      <c r="Z37" s="726"/>
      <c r="AA37" s="726"/>
      <c r="AB37" s="726"/>
      <c r="AC37" s="727"/>
      <c r="AE37" s="725" t="s">
        <v>112</v>
      </c>
      <c r="AF37" s="726"/>
      <c r="AG37" s="728"/>
      <c r="AH37" s="728"/>
      <c r="AI37" s="728"/>
      <c r="AJ37" s="728"/>
      <c r="AK37" s="728"/>
      <c r="AL37" s="729"/>
      <c r="AM37" s="227"/>
      <c r="AN37" s="725" t="s">
        <v>112</v>
      </c>
      <c r="AO37" s="726"/>
      <c r="AP37" s="728"/>
      <c r="AQ37" s="728"/>
      <c r="AR37" s="728"/>
      <c r="AS37" s="728"/>
      <c r="AT37" s="728"/>
      <c r="AU37" s="729"/>
      <c r="AV37" s="227"/>
      <c r="AW37" s="730" t="s">
        <v>112</v>
      </c>
      <c r="AX37" s="731"/>
      <c r="AY37" s="731"/>
      <c r="AZ37" s="731"/>
      <c r="BA37" s="731"/>
      <c r="BB37" s="731"/>
      <c r="BC37" s="732"/>
      <c r="BD37" s="733"/>
      <c r="BE37" s="81"/>
      <c r="BF37" s="730" t="s">
        <v>112</v>
      </c>
      <c r="BG37" s="731"/>
      <c r="BH37" s="731"/>
      <c r="BI37" s="731"/>
      <c r="BJ37" s="731"/>
      <c r="BK37" s="731"/>
      <c r="BL37" s="732"/>
      <c r="BM37" s="733"/>
      <c r="BN37" s="81"/>
      <c r="BO37" s="81"/>
      <c r="BP37" s="81"/>
      <c r="BQ37" s="81"/>
      <c r="BR37" s="81"/>
    </row>
    <row r="38" spans="1:70" ht="12.75">
      <c r="A38" s="722" t="s">
        <v>113</v>
      </c>
      <c r="B38" s="331" t="s">
        <v>9</v>
      </c>
      <c r="D38" s="332">
        <f>D3/D21</f>
        <v>1.0356519600055616</v>
      </c>
      <c r="E38" s="333">
        <f aca="true" t="shared" si="36" ref="E38:K38">E3/E21</f>
        <v>1.0356</v>
      </c>
      <c r="F38" s="333">
        <f t="shared" si="36"/>
        <v>1.0356000143560387</v>
      </c>
      <c r="G38" s="333">
        <f t="shared" si="36"/>
        <v>1.0355261543769942</v>
      </c>
      <c r="H38" s="333">
        <f t="shared" si="36"/>
        <v>1.0343548855527815</v>
      </c>
      <c r="I38" s="333">
        <f t="shared" si="36"/>
        <v>1.0127342715908088</v>
      </c>
      <c r="J38" s="333">
        <f t="shared" si="36"/>
        <v>1.0355995938381877</v>
      </c>
      <c r="K38" s="334">
        <f t="shared" si="36"/>
        <v>1.0336059339647947</v>
      </c>
      <c r="M38" s="332">
        <f>M3/M21</f>
        <v>1.035600756463684</v>
      </c>
      <c r="N38" s="333">
        <f aca="true" t="shared" si="37" ref="N38:T38">N3/N21</f>
        <v>1.0356</v>
      </c>
      <c r="O38" s="333">
        <f t="shared" si="37"/>
        <v>1.0356001903340906</v>
      </c>
      <c r="P38" s="333">
        <f t="shared" si="37"/>
        <v>1.035504828611066</v>
      </c>
      <c r="Q38" s="333">
        <f t="shared" si="37"/>
        <v>1.0346172579835258</v>
      </c>
      <c r="R38" s="333">
        <f t="shared" si="37"/>
        <v>1.0127746067270542</v>
      </c>
      <c r="S38" s="333">
        <f t="shared" si="37"/>
        <v>1.035599808139371</v>
      </c>
      <c r="T38" s="334">
        <f t="shared" si="37"/>
        <v>1.0336316566660355</v>
      </c>
      <c r="V38" s="332">
        <f>V3/V21</f>
        <v>1.0355975593968147</v>
      </c>
      <c r="W38" s="333">
        <f aca="true" t="shared" si="38" ref="W38:AC38">W3/W21</f>
        <v>1.0356</v>
      </c>
      <c r="X38" s="333">
        <f t="shared" si="38"/>
        <v>1.0356003149127653</v>
      </c>
      <c r="Y38" s="333">
        <f t="shared" si="38"/>
        <v>1.0355329711823256</v>
      </c>
      <c r="Z38" s="333">
        <f t="shared" si="38"/>
        <v>1.0341070328751545</v>
      </c>
      <c r="AA38" s="333">
        <f t="shared" si="38"/>
        <v>1.0137175757091295</v>
      </c>
      <c r="AB38" s="333">
        <f t="shared" si="38"/>
        <v>1.0356002062162506</v>
      </c>
      <c r="AC38" s="334">
        <f t="shared" si="38"/>
        <v>1.0335214112878388</v>
      </c>
      <c r="AE38" s="332">
        <f>AE3/AE21</f>
        <v>1.0356003395259947</v>
      </c>
      <c r="AF38" s="333">
        <f aca="true" t="shared" si="39" ref="AF38:AL38">AF3/AF21</f>
        <v>1.0356</v>
      </c>
      <c r="AG38" s="333">
        <f t="shared" si="39"/>
        <v>1.0355998595120373</v>
      </c>
      <c r="AH38" s="333">
        <f t="shared" si="39"/>
        <v>1.0355419028925303</v>
      </c>
      <c r="AI38" s="333">
        <f t="shared" si="39"/>
        <v>1.0345920403880913</v>
      </c>
      <c r="AJ38" s="333">
        <f t="shared" si="39"/>
        <v>1.0137256830991654</v>
      </c>
      <c r="AK38" s="333">
        <f t="shared" si="39"/>
        <v>1.0356002003337543</v>
      </c>
      <c r="AL38" s="334">
        <f t="shared" si="39"/>
        <v>1.033590495974355</v>
      </c>
      <c r="AM38" s="335"/>
      <c r="AN38" s="332">
        <f>AN3/AN21</f>
        <v>1.0356013335814842</v>
      </c>
      <c r="AO38" s="333">
        <f aca="true" t="shared" si="40" ref="AO38:AU38">AO3/AO21</f>
        <v>1.0356</v>
      </c>
      <c r="AP38" s="333">
        <f t="shared" si="40"/>
        <v>1.0355826482218327</v>
      </c>
      <c r="AQ38" s="333">
        <f t="shared" si="40"/>
        <v>1.035555063156396</v>
      </c>
      <c r="AR38" s="333">
        <f t="shared" si="40"/>
        <v>1.034295048725346</v>
      </c>
      <c r="AS38" s="333">
        <f t="shared" si="40"/>
        <v>1.0137336785887248</v>
      </c>
      <c r="AT38" s="333">
        <f t="shared" si="40"/>
        <v>1.0355998282656953</v>
      </c>
      <c r="AU38" s="334">
        <f t="shared" si="40"/>
        <v>1.033632121641673</v>
      </c>
      <c r="AV38" s="336"/>
      <c r="AW38" s="332">
        <f>AW3/AW21</f>
        <v>1.0356007369525655</v>
      </c>
      <c r="AX38" s="333">
        <f aca="true" t="shared" si="41" ref="AX38:BD38">AX3/AX21</f>
        <v>1.0356</v>
      </c>
      <c r="AY38" s="333">
        <f t="shared" si="41"/>
        <v>1.0180612599842311</v>
      </c>
      <c r="AZ38" s="333">
        <f t="shared" si="41"/>
        <v>1.0355756387332427</v>
      </c>
      <c r="BA38" s="333">
        <f t="shared" si="41"/>
        <v>1.0345014770081629</v>
      </c>
      <c r="BB38" s="333">
        <f t="shared" si="41"/>
        <v>1.0129619497725981</v>
      </c>
      <c r="BC38" s="333">
        <f t="shared" si="41"/>
        <v>1.0355998924784426</v>
      </c>
      <c r="BD38" s="334">
        <f t="shared" si="41"/>
        <v>1.0317931388646049</v>
      </c>
      <c r="BE38" s="81"/>
      <c r="BF38" s="332">
        <f>BF3/BF21</f>
        <v>1.0355995752022786</v>
      </c>
      <c r="BG38" s="333">
        <f aca="true" t="shared" si="42" ref="BG38:BM38">BG3/BG21</f>
        <v>1.0356</v>
      </c>
      <c r="BH38" s="333">
        <f t="shared" si="42"/>
        <v>1.0355983465427179</v>
      </c>
      <c r="BI38" s="333">
        <f t="shared" si="42"/>
        <v>1.0355754549938196</v>
      </c>
      <c r="BJ38" s="333">
        <f t="shared" si="42"/>
        <v>1.0347677809328502</v>
      </c>
      <c r="BK38" s="333">
        <f t="shared" si="42"/>
        <v>1.0126927749114527</v>
      </c>
      <c r="BL38" s="333">
        <f t="shared" si="42"/>
        <v>1.0356001256146983</v>
      </c>
      <c r="BM38" s="334">
        <f t="shared" si="42"/>
        <v>1.033379663715734</v>
      </c>
      <c r="BN38" s="81"/>
      <c r="BO38" s="81"/>
      <c r="BP38" s="81"/>
      <c r="BQ38" s="81"/>
      <c r="BR38" s="81"/>
    </row>
    <row r="39" spans="1:70" ht="12.75">
      <c r="A39" s="723"/>
      <c r="B39" s="316" t="s">
        <v>10</v>
      </c>
      <c r="D39" s="332">
        <f aca="true" t="shared" si="43" ref="D39:K49">D4/D22</f>
        <v>1.035598516192988</v>
      </c>
      <c r="E39" s="333">
        <f t="shared" si="43"/>
        <v>1.0356</v>
      </c>
      <c r="F39" s="333">
        <f t="shared" si="43"/>
        <v>1.0356010720912743</v>
      </c>
      <c r="G39" s="333">
        <f t="shared" si="43"/>
        <v>1.035546451742641</v>
      </c>
      <c r="H39" s="333">
        <f t="shared" si="43"/>
        <v>1.034465488610556</v>
      </c>
      <c r="I39" s="333">
        <f t="shared" si="43"/>
        <v>1.0128947754195508</v>
      </c>
      <c r="J39" s="333">
        <f t="shared" si="43"/>
        <v>1.0356003582865605</v>
      </c>
      <c r="K39" s="334">
        <f t="shared" si="43"/>
        <v>1.0334313151791992</v>
      </c>
      <c r="M39" s="332">
        <f aca="true" t="shared" si="44" ref="M39:T49">M4/M22</f>
        <v>1.0356012048567167</v>
      </c>
      <c r="N39" s="333">
        <f t="shared" si="44"/>
        <v>1.0356</v>
      </c>
      <c r="O39" s="333">
        <f t="shared" si="44"/>
        <v>1.035600339071207</v>
      </c>
      <c r="P39" s="333">
        <f t="shared" si="44"/>
        <v>1.0354902430317332</v>
      </c>
      <c r="Q39" s="333">
        <f t="shared" si="44"/>
        <v>1.0344052336087066</v>
      </c>
      <c r="R39" s="333">
        <f t="shared" si="44"/>
        <v>1.013661599640954</v>
      </c>
      <c r="S39" s="333">
        <f t="shared" si="44"/>
        <v>1.035599897257033</v>
      </c>
      <c r="T39" s="334">
        <f t="shared" si="44"/>
        <v>1.0336264516437776</v>
      </c>
      <c r="V39" s="332">
        <f aca="true" t="shared" si="45" ref="V39:AC49">V4/V22</f>
        <v>1.0355969164729468</v>
      </c>
      <c r="W39" s="333">
        <f t="shared" si="45"/>
        <v>1.0356</v>
      </c>
      <c r="X39" s="333">
        <f t="shared" si="45"/>
        <v>1.0356010169786514</v>
      </c>
      <c r="Y39" s="333">
        <f t="shared" si="45"/>
        <v>1.0355261938265512</v>
      </c>
      <c r="Z39" s="333">
        <f t="shared" si="45"/>
        <v>1.0341963002798216</v>
      </c>
      <c r="AA39" s="333">
        <f t="shared" si="45"/>
        <v>1.013734111637331</v>
      </c>
      <c r="AB39" s="333">
        <f t="shared" si="45"/>
        <v>1.0355998969969504</v>
      </c>
      <c r="AC39" s="334">
        <f t="shared" si="45"/>
        <v>1.0335815148020138</v>
      </c>
      <c r="AE39" s="332">
        <f aca="true" t="shared" si="46" ref="AE39:AL49">AE4/AE22</f>
        <v>1.035599570620947</v>
      </c>
      <c r="AF39" s="333">
        <f t="shared" si="46"/>
        <v>1.0356</v>
      </c>
      <c r="AG39" s="333">
        <f t="shared" si="46"/>
        <v>1.0355938990301365</v>
      </c>
      <c r="AH39" s="333">
        <f t="shared" si="46"/>
        <v>1.0355526702434503</v>
      </c>
      <c r="AI39" s="333">
        <f t="shared" si="46"/>
        <v>1.034564250111055</v>
      </c>
      <c r="AJ39" s="333">
        <f t="shared" si="46"/>
        <v>1.0138649613040822</v>
      </c>
      <c r="AK39" s="333">
        <f t="shared" si="46"/>
        <v>1.0356002333573555</v>
      </c>
      <c r="AL39" s="334">
        <f t="shared" si="46"/>
        <v>1.0333880056462932</v>
      </c>
      <c r="AM39" s="335"/>
      <c r="AN39" s="332">
        <f aca="true" t="shared" si="47" ref="AN39:AU49">AN4/AN22</f>
        <v>1.0355977136262622</v>
      </c>
      <c r="AO39" s="333">
        <f t="shared" si="47"/>
        <v>1.0356</v>
      </c>
      <c r="AP39" s="333">
        <f t="shared" si="47"/>
        <v>1.0355849157832442</v>
      </c>
      <c r="AQ39" s="333">
        <f t="shared" si="47"/>
        <v>1.0355449153845242</v>
      </c>
      <c r="AR39" s="333">
        <f t="shared" si="47"/>
        <v>1.034259367872191</v>
      </c>
      <c r="AS39" s="333">
        <f t="shared" si="47"/>
        <v>1.0138478760499465</v>
      </c>
      <c r="AT39" s="333">
        <f t="shared" si="47"/>
        <v>1.0355998447144548</v>
      </c>
      <c r="AU39" s="334">
        <f t="shared" si="47"/>
        <v>1.033590984651709</v>
      </c>
      <c r="AV39" s="336"/>
      <c r="AW39" s="332">
        <f aca="true" t="shared" si="48" ref="AW39:BD49">AW4/AW22</f>
        <v>1.0355989851630898</v>
      </c>
      <c r="AX39" s="333">
        <f t="shared" si="48"/>
        <v>1.0356</v>
      </c>
      <c r="AY39" s="333">
        <f t="shared" si="48"/>
        <v>1.0218499057086938</v>
      </c>
      <c r="AZ39" s="333">
        <f t="shared" si="48"/>
        <v>1.0355725795488773</v>
      </c>
      <c r="BA39" s="333">
        <f t="shared" si="48"/>
        <v>1.0344615182432453</v>
      </c>
      <c r="BB39" s="333">
        <f t="shared" si="48"/>
        <v>1.0130345474077216</v>
      </c>
      <c r="BC39" s="333">
        <f t="shared" si="48"/>
        <v>1.0355999039109731</v>
      </c>
      <c r="BD39" s="334">
        <f t="shared" si="48"/>
        <v>1.0319739581777714</v>
      </c>
      <c r="BE39" s="81"/>
      <c r="BF39" s="332">
        <f aca="true" t="shared" si="49" ref="BF39:BM49">BF4/BF22</f>
        <v>1.0355981526785552</v>
      </c>
      <c r="BG39" s="333">
        <f t="shared" si="49"/>
        <v>1.0356</v>
      </c>
      <c r="BH39" s="333">
        <f t="shared" si="49"/>
        <v>1.0356014979873787</v>
      </c>
      <c r="BI39" s="333">
        <f t="shared" si="49"/>
        <v>1.035570392065789</v>
      </c>
      <c r="BJ39" s="333">
        <f t="shared" si="49"/>
        <v>1.0347692291304575</v>
      </c>
      <c r="BK39" s="333">
        <f t="shared" si="49"/>
        <v>1.0126931754653632</v>
      </c>
      <c r="BL39" s="333">
        <f t="shared" si="49"/>
        <v>1.0355997675797284</v>
      </c>
      <c r="BM39" s="334">
        <f t="shared" si="49"/>
        <v>1.0333632146425649</v>
      </c>
      <c r="BN39" s="81"/>
      <c r="BO39" s="81"/>
      <c r="BP39" s="81"/>
      <c r="BQ39" s="81"/>
      <c r="BR39" s="81"/>
    </row>
    <row r="40" spans="1:70" ht="12.75">
      <c r="A40" s="723"/>
      <c r="B40" s="316" t="s">
        <v>11</v>
      </c>
      <c r="D40" s="332">
        <f t="shared" si="43"/>
        <v>1.0355994047542323</v>
      </c>
      <c r="E40" s="333">
        <f t="shared" si="43"/>
        <v>1.0356</v>
      </c>
      <c r="F40" s="333">
        <f t="shared" si="43"/>
        <v>1.0355605701986175</v>
      </c>
      <c r="G40" s="333">
        <f t="shared" si="43"/>
        <v>1.035419823454689</v>
      </c>
      <c r="H40" s="333">
        <f t="shared" si="43"/>
        <v>1.034523240995404</v>
      </c>
      <c r="I40" s="333">
        <f t="shared" si="43"/>
        <v>1.0129625193485545</v>
      </c>
      <c r="J40" s="333">
        <f t="shared" si="43"/>
        <v>1.035599901529183</v>
      </c>
      <c r="K40" s="334">
        <f t="shared" si="43"/>
        <v>1.0330664705674406</v>
      </c>
      <c r="M40" s="332">
        <f t="shared" si="44"/>
        <v>1.0355995393333675</v>
      </c>
      <c r="N40" s="333">
        <f t="shared" si="44"/>
        <v>1.0356</v>
      </c>
      <c r="O40" s="333">
        <f t="shared" si="44"/>
        <v>1.035597142148747</v>
      </c>
      <c r="P40" s="333">
        <f t="shared" si="44"/>
        <v>1.035496462184719</v>
      </c>
      <c r="Q40" s="333">
        <f t="shared" si="44"/>
        <v>1.034391776010752</v>
      </c>
      <c r="R40" s="333">
        <f t="shared" si="44"/>
        <v>1.0137125180530981</v>
      </c>
      <c r="S40" s="333">
        <f t="shared" si="44"/>
        <v>1.035600279770764</v>
      </c>
      <c r="T40" s="334">
        <f t="shared" si="44"/>
        <v>1.0333795902768317</v>
      </c>
      <c r="V40" s="332">
        <f t="shared" si="45"/>
        <v>1.0356005980135554</v>
      </c>
      <c r="W40" s="333">
        <f t="shared" si="45"/>
        <v>1.0356</v>
      </c>
      <c r="X40" s="333">
        <f t="shared" si="45"/>
        <v>1.0355996429331231</v>
      </c>
      <c r="Y40" s="333">
        <f t="shared" si="45"/>
        <v>1.0355594116830706</v>
      </c>
      <c r="Z40" s="333">
        <f t="shared" si="45"/>
        <v>1.034232285556368</v>
      </c>
      <c r="AA40" s="333">
        <f t="shared" si="45"/>
        <v>1.013727355160737</v>
      </c>
      <c r="AB40" s="333">
        <f t="shared" si="45"/>
        <v>1.0355997265038253</v>
      </c>
      <c r="AC40" s="334">
        <f t="shared" si="45"/>
        <v>1.0334262290485827</v>
      </c>
      <c r="AE40" s="332">
        <f t="shared" si="46"/>
        <v>1.0355974715300105</v>
      </c>
      <c r="AF40" s="333">
        <f t="shared" si="46"/>
        <v>1.0356</v>
      </c>
      <c r="AG40" s="333">
        <f t="shared" si="46"/>
        <v>1.0355955507436312</v>
      </c>
      <c r="AH40" s="333">
        <f t="shared" si="46"/>
        <v>1.0355558244432375</v>
      </c>
      <c r="AI40" s="333">
        <f t="shared" si="46"/>
        <v>1.0337503607125547</v>
      </c>
      <c r="AJ40" s="333">
        <f t="shared" si="46"/>
        <v>1.0138955480006344</v>
      </c>
      <c r="AK40" s="333">
        <f t="shared" si="46"/>
        <v>1.0355996479639262</v>
      </c>
      <c r="AL40" s="334">
        <f t="shared" si="46"/>
        <v>1.0330255485789375</v>
      </c>
      <c r="AM40" s="335"/>
      <c r="AN40" s="332">
        <f t="shared" si="47"/>
        <v>1.0356000380330501</v>
      </c>
      <c r="AO40" s="333">
        <f t="shared" si="47"/>
        <v>1.0356</v>
      </c>
      <c r="AP40" s="333">
        <f t="shared" si="47"/>
        <v>1.0355866137646728</v>
      </c>
      <c r="AQ40" s="333">
        <f t="shared" si="47"/>
        <v>1.0355705254544925</v>
      </c>
      <c r="AR40" s="333">
        <f t="shared" si="47"/>
        <v>1.0346011853961392</v>
      </c>
      <c r="AS40" s="333">
        <f t="shared" si="47"/>
        <v>1.0130493387829387</v>
      </c>
      <c r="AT40" s="333">
        <f t="shared" si="47"/>
        <v>1.0356000404515673</v>
      </c>
      <c r="AU40" s="334">
        <f t="shared" si="47"/>
        <v>1.0331969730374173</v>
      </c>
      <c r="AV40" s="336"/>
      <c r="AW40" s="332">
        <f t="shared" si="48"/>
        <v>1.0355997592504689</v>
      </c>
      <c r="AX40" s="333">
        <f t="shared" si="48"/>
        <v>1.0356</v>
      </c>
      <c r="AY40" s="333">
        <f t="shared" si="48"/>
        <v>1.018571503169541</v>
      </c>
      <c r="AZ40" s="333">
        <f t="shared" si="48"/>
        <v>1.0350386259754343</v>
      </c>
      <c r="BA40" s="333">
        <f t="shared" si="48"/>
        <v>1.0344625442627668</v>
      </c>
      <c r="BB40" s="333">
        <f t="shared" si="48"/>
        <v>1.0129042092664673</v>
      </c>
      <c r="BC40" s="333">
        <f t="shared" si="48"/>
        <v>1.035600188608008</v>
      </c>
      <c r="BD40" s="334">
        <f t="shared" si="48"/>
        <v>1.0315768954447335</v>
      </c>
      <c r="BE40" s="81"/>
      <c r="BF40" s="332">
        <f t="shared" si="49"/>
        <v>1.0356008192781851</v>
      </c>
      <c r="BG40" s="333">
        <f t="shared" si="49"/>
        <v>1.0356</v>
      </c>
      <c r="BH40" s="333">
        <f t="shared" si="49"/>
        <v>1.035601139942844</v>
      </c>
      <c r="BI40" s="333">
        <f t="shared" si="49"/>
        <v>1.0355722208348745</v>
      </c>
      <c r="BJ40" s="333">
        <f t="shared" si="49"/>
        <v>1.0346909578741568</v>
      </c>
      <c r="BK40" s="333">
        <f t="shared" si="49"/>
        <v>1.0127404437707432</v>
      </c>
      <c r="BL40" s="333">
        <f t="shared" si="49"/>
        <v>1.0355999380173053</v>
      </c>
      <c r="BM40" s="334">
        <f t="shared" si="49"/>
        <v>1.0330997307791085</v>
      </c>
      <c r="BN40" s="81"/>
      <c r="BO40" s="81"/>
      <c r="BP40" s="81"/>
      <c r="BQ40" s="81"/>
      <c r="BR40" s="81"/>
    </row>
    <row r="41" spans="1:70" ht="12.75">
      <c r="A41" s="723"/>
      <c r="B41" s="316" t="s">
        <v>12</v>
      </c>
      <c r="D41" s="332">
        <f t="shared" si="43"/>
        <v>1.035601232870233</v>
      </c>
      <c r="E41" s="333">
        <f t="shared" si="43"/>
        <v>1.0356</v>
      </c>
      <c r="F41" s="333">
        <f t="shared" si="43"/>
        <v>1.0355997421598735</v>
      </c>
      <c r="G41" s="333">
        <f t="shared" si="43"/>
        <v>1.035519467061366</v>
      </c>
      <c r="H41" s="333">
        <f t="shared" si="43"/>
        <v>1.034694763722919</v>
      </c>
      <c r="I41" s="333">
        <f t="shared" si="43"/>
        <v>1.013037494517599</v>
      </c>
      <c r="J41" s="333">
        <f t="shared" si="43"/>
        <v>1.0356000697166343</v>
      </c>
      <c r="K41" s="334">
        <f t="shared" si="43"/>
        <v>1.0331527453721099</v>
      </c>
      <c r="M41" s="332">
        <f t="shared" si="44"/>
        <v>1.0356006462971712</v>
      </c>
      <c r="N41" s="333">
        <f t="shared" si="44"/>
        <v>1.0356</v>
      </c>
      <c r="O41" s="333">
        <f t="shared" si="44"/>
        <v>1.0355998954617862</v>
      </c>
      <c r="P41" s="333">
        <f t="shared" si="44"/>
        <v>1.0354888309548398</v>
      </c>
      <c r="Q41" s="333">
        <f t="shared" si="44"/>
        <v>1.034404598800283</v>
      </c>
      <c r="R41" s="333">
        <f t="shared" si="44"/>
        <v>1.0136594004143096</v>
      </c>
      <c r="S41" s="333">
        <f t="shared" si="44"/>
        <v>1.035599829981254</v>
      </c>
      <c r="T41" s="334">
        <f t="shared" si="44"/>
        <v>1.033413554740275</v>
      </c>
      <c r="V41" s="332">
        <f t="shared" si="45"/>
        <v>1.0355997599819053</v>
      </c>
      <c r="W41" s="333">
        <f t="shared" si="45"/>
        <v>1.0356</v>
      </c>
      <c r="X41" s="333">
        <f t="shared" si="45"/>
        <v>1.0355988371639182</v>
      </c>
      <c r="Y41" s="333">
        <f t="shared" si="45"/>
        <v>1.035539562717755</v>
      </c>
      <c r="Z41" s="333">
        <f t="shared" si="45"/>
        <v>1.0342851857024407</v>
      </c>
      <c r="AA41" s="333">
        <f t="shared" si="45"/>
        <v>1.0137164580215405</v>
      </c>
      <c r="AB41" s="333">
        <f t="shared" si="45"/>
        <v>1.035600030275889</v>
      </c>
      <c r="AC41" s="334">
        <f t="shared" si="45"/>
        <v>1.0334062680388723</v>
      </c>
      <c r="AE41" s="332">
        <f t="shared" si="46"/>
        <v>1.0356017156738864</v>
      </c>
      <c r="AF41" s="333">
        <f t="shared" si="46"/>
        <v>1.0356</v>
      </c>
      <c r="AG41" s="333">
        <f t="shared" si="46"/>
        <v>1.0355935256158564</v>
      </c>
      <c r="AH41" s="333">
        <f t="shared" si="46"/>
        <v>1.0355371122821675</v>
      </c>
      <c r="AI41" s="333">
        <f t="shared" si="46"/>
        <v>1.0345528716348962</v>
      </c>
      <c r="AJ41" s="333">
        <f t="shared" si="46"/>
        <v>1.0138047858577899</v>
      </c>
      <c r="AK41" s="333">
        <f t="shared" si="46"/>
        <v>1.035599888799317</v>
      </c>
      <c r="AL41" s="334">
        <f t="shared" si="46"/>
        <v>1.033239453650081</v>
      </c>
      <c r="AM41" s="335"/>
      <c r="AN41" s="332">
        <f t="shared" si="47"/>
        <v>1.0355995217847551</v>
      </c>
      <c r="AO41" s="333">
        <f t="shared" si="47"/>
        <v>1.0356</v>
      </c>
      <c r="AP41" s="333">
        <f t="shared" si="47"/>
        <v>1.0355843133227591</v>
      </c>
      <c r="AQ41" s="333">
        <f t="shared" si="47"/>
        <v>1.0355541778842992</v>
      </c>
      <c r="AR41" s="333">
        <f t="shared" si="47"/>
        <v>1.034584259342746</v>
      </c>
      <c r="AS41" s="333">
        <f t="shared" si="47"/>
        <v>1.0130097809254723</v>
      </c>
      <c r="AT41" s="333">
        <f t="shared" si="47"/>
        <v>1.0356001525465899</v>
      </c>
      <c r="AU41" s="334">
        <f t="shared" si="47"/>
        <v>1.0332563442751705</v>
      </c>
      <c r="AV41" s="336"/>
      <c r="AW41" s="332">
        <f t="shared" si="48"/>
        <v>1.0355975009290277</v>
      </c>
      <c r="AX41" s="333">
        <f t="shared" si="48"/>
        <v>1.0356</v>
      </c>
      <c r="AY41" s="333">
        <f t="shared" si="48"/>
        <v>1.015226215634532</v>
      </c>
      <c r="AZ41" s="333">
        <f t="shared" si="48"/>
        <v>1.035579116338126</v>
      </c>
      <c r="BA41" s="333">
        <f t="shared" si="48"/>
        <v>1.0345602509345633</v>
      </c>
      <c r="BB41" s="333">
        <f t="shared" si="48"/>
        <v>1.0129625247370497</v>
      </c>
      <c r="BC41" s="333">
        <f t="shared" si="48"/>
        <v>1.0356000265960326</v>
      </c>
      <c r="BD41" s="334">
        <f t="shared" si="48"/>
        <v>1.0314622844586818</v>
      </c>
      <c r="BE41" s="81"/>
      <c r="BF41" s="332">
        <f t="shared" si="49"/>
        <v>1.0355984296943705</v>
      </c>
      <c r="BG41" s="333">
        <f t="shared" si="49"/>
        <v>1.0356</v>
      </c>
      <c r="BH41" s="333">
        <f t="shared" si="49"/>
        <v>1.03559860394537</v>
      </c>
      <c r="BI41" s="333">
        <f t="shared" si="49"/>
        <v>1.035572617008477</v>
      </c>
      <c r="BJ41" s="333">
        <f t="shared" si="49"/>
        <v>1.0347399228889436</v>
      </c>
      <c r="BK41" s="333">
        <f t="shared" si="49"/>
        <v>1.01260632627677</v>
      </c>
      <c r="BL41" s="333">
        <f t="shared" si="49"/>
        <v>1.0356001556786194</v>
      </c>
      <c r="BM41" s="334">
        <f t="shared" si="49"/>
        <v>1.0332546708614347</v>
      </c>
      <c r="BN41" s="81"/>
      <c r="BO41" s="81"/>
      <c r="BP41" s="81"/>
      <c r="BQ41" s="81"/>
      <c r="BR41" s="81"/>
    </row>
    <row r="42" spans="1:70" ht="12.75">
      <c r="A42" s="723"/>
      <c r="B42" s="316" t="s">
        <v>13</v>
      </c>
      <c r="D42" s="332">
        <f t="shared" si="43"/>
        <v>1.0355981962278777</v>
      </c>
      <c r="E42" s="333">
        <f t="shared" si="43"/>
        <v>1.0356</v>
      </c>
      <c r="F42" s="333">
        <f t="shared" si="43"/>
        <v>1.0355996402371532</v>
      </c>
      <c r="G42" s="333">
        <f t="shared" si="43"/>
        <v>1.0355148021284857</v>
      </c>
      <c r="H42" s="333">
        <f t="shared" si="43"/>
        <v>1.0346320638424005</v>
      </c>
      <c r="I42" s="333">
        <f t="shared" si="43"/>
        <v>1.0128994204682717</v>
      </c>
      <c r="J42" s="333">
        <f t="shared" si="43"/>
        <v>1.0355997326221222</v>
      </c>
      <c r="K42" s="334">
        <f t="shared" si="43"/>
        <v>1.033131099620554</v>
      </c>
      <c r="M42" s="332">
        <f t="shared" si="44"/>
        <v>1.035599039901162</v>
      </c>
      <c r="N42" s="333">
        <f t="shared" si="44"/>
        <v>1.0356</v>
      </c>
      <c r="O42" s="333">
        <f t="shared" si="44"/>
        <v>1.0355993004272128</v>
      </c>
      <c r="P42" s="333">
        <f t="shared" si="44"/>
        <v>1.0354982212325106</v>
      </c>
      <c r="Q42" s="333">
        <f t="shared" si="44"/>
        <v>1.0344035076261302</v>
      </c>
      <c r="R42" s="333">
        <f t="shared" si="44"/>
        <v>1.0135732360605807</v>
      </c>
      <c r="S42" s="333">
        <f t="shared" si="44"/>
        <v>1.0356001287863834</v>
      </c>
      <c r="T42" s="334">
        <f t="shared" si="44"/>
        <v>1.033216582657547</v>
      </c>
      <c r="V42" s="332">
        <f t="shared" si="45"/>
        <v>1.0355981945927246</v>
      </c>
      <c r="W42" s="333">
        <f t="shared" si="45"/>
        <v>1.0356</v>
      </c>
      <c r="X42" s="333">
        <f t="shared" si="45"/>
        <v>1.0355996836670542</v>
      </c>
      <c r="Y42" s="333">
        <f t="shared" si="45"/>
        <v>1.0355391196055592</v>
      </c>
      <c r="Z42" s="333">
        <f t="shared" si="45"/>
        <v>1.0342617185054972</v>
      </c>
      <c r="AA42" s="333">
        <f t="shared" si="45"/>
        <v>1.01372265200764</v>
      </c>
      <c r="AB42" s="333">
        <f t="shared" si="45"/>
        <v>1.0355997333290428</v>
      </c>
      <c r="AC42" s="334">
        <f t="shared" si="45"/>
        <v>1.033240423317625</v>
      </c>
      <c r="AE42" s="332">
        <f t="shared" si="46"/>
        <v>1.035598959860129</v>
      </c>
      <c r="AF42" s="333">
        <f t="shared" si="46"/>
        <v>1.0356</v>
      </c>
      <c r="AG42" s="333">
        <f t="shared" si="46"/>
        <v>1.0355927929582955</v>
      </c>
      <c r="AH42" s="333">
        <f t="shared" si="46"/>
        <v>1.0355336363671273</v>
      </c>
      <c r="AI42" s="333">
        <f t="shared" si="46"/>
        <v>1.0340783378989329</v>
      </c>
      <c r="AJ42" s="333">
        <f t="shared" si="46"/>
        <v>1.0137965638545923</v>
      </c>
      <c r="AK42" s="333">
        <f t="shared" si="46"/>
        <v>1.0355999245361907</v>
      </c>
      <c r="AL42" s="334">
        <f t="shared" si="46"/>
        <v>1.0328519799400473</v>
      </c>
      <c r="AM42" s="335"/>
      <c r="AN42" s="332">
        <f t="shared" si="47"/>
        <v>1.0356024181982026</v>
      </c>
      <c r="AO42" s="333">
        <f t="shared" si="47"/>
        <v>1.0356</v>
      </c>
      <c r="AP42" s="333">
        <f t="shared" si="47"/>
        <v>1.0355873098873625</v>
      </c>
      <c r="AQ42" s="333">
        <f t="shared" si="47"/>
        <v>1.0355527383499177</v>
      </c>
      <c r="AR42" s="333">
        <f t="shared" si="47"/>
        <v>1.0345816477509062</v>
      </c>
      <c r="AS42" s="333">
        <f t="shared" si="47"/>
        <v>1.012941652042162</v>
      </c>
      <c r="AT42" s="333">
        <f t="shared" si="47"/>
        <v>1.0355999857606948</v>
      </c>
      <c r="AU42" s="334">
        <f t="shared" si="47"/>
        <v>1.0328876189588378</v>
      </c>
      <c r="AV42" s="336"/>
      <c r="AW42" s="332">
        <f t="shared" si="48"/>
        <v>1.0355962498143398</v>
      </c>
      <c r="AX42" s="333">
        <f t="shared" si="48"/>
        <v>1.0356</v>
      </c>
      <c r="AY42" s="333">
        <f t="shared" si="48"/>
        <v>1.0163222613907772</v>
      </c>
      <c r="AZ42" s="333">
        <f t="shared" si="48"/>
        <v>1.0355606088344282</v>
      </c>
      <c r="BA42" s="333">
        <f t="shared" si="48"/>
        <v>1.0347419660079018</v>
      </c>
      <c r="BB42" s="333">
        <f t="shared" si="48"/>
        <v>1.0129722857842012</v>
      </c>
      <c r="BC42" s="333">
        <f t="shared" si="48"/>
        <v>1.035600215177946</v>
      </c>
      <c r="BD42" s="334">
        <f t="shared" si="48"/>
        <v>1.0313863256236773</v>
      </c>
      <c r="BE42" s="81"/>
      <c r="BF42" s="332">
        <f t="shared" si="49"/>
        <v>1.035596720273087</v>
      </c>
      <c r="BG42" s="333">
        <f t="shared" si="49"/>
        <v>1.0356</v>
      </c>
      <c r="BH42" s="333">
        <f t="shared" si="49"/>
        <v>1.0355980485830214</v>
      </c>
      <c r="BI42" s="333">
        <f t="shared" si="49"/>
        <v>1.0355414004298575</v>
      </c>
      <c r="BJ42" s="333">
        <f t="shared" si="49"/>
        <v>1.0348079990310268</v>
      </c>
      <c r="BK42" s="333">
        <f t="shared" si="49"/>
        <v>1.0118875434660526</v>
      </c>
      <c r="BL42" s="333">
        <f t="shared" si="49"/>
        <v>1.03560013145012</v>
      </c>
      <c r="BM42" s="334">
        <f t="shared" si="49"/>
        <v>1.0334809387836965</v>
      </c>
      <c r="BN42" s="81"/>
      <c r="BO42" s="81"/>
      <c r="BP42" s="81"/>
      <c r="BQ42" s="81"/>
      <c r="BR42" s="81"/>
    </row>
    <row r="43" spans="1:70" ht="12.75">
      <c r="A43" s="723"/>
      <c r="B43" s="316" t="s">
        <v>14</v>
      </c>
      <c r="D43" s="332">
        <f t="shared" si="43"/>
        <v>1.035598355231108</v>
      </c>
      <c r="E43" s="333">
        <f t="shared" si="43"/>
        <v>1.0356</v>
      </c>
      <c r="F43" s="333">
        <f t="shared" si="43"/>
        <v>1.0356005936781172</v>
      </c>
      <c r="G43" s="333">
        <f t="shared" si="43"/>
        <v>1.0354745730316843</v>
      </c>
      <c r="H43" s="333">
        <f t="shared" si="43"/>
        <v>1.0347020388242907</v>
      </c>
      <c r="I43" s="333">
        <f t="shared" si="43"/>
        <v>1.0127506142938891</v>
      </c>
      <c r="J43" s="333">
        <f t="shared" si="43"/>
        <v>1.0356000040586624</v>
      </c>
      <c r="K43" s="334">
        <f t="shared" si="43"/>
        <v>1.0329275618457947</v>
      </c>
      <c r="M43" s="332">
        <f t="shared" si="44"/>
        <v>1.0355993312133307</v>
      </c>
      <c r="N43" s="333">
        <f t="shared" si="44"/>
        <v>1.0356</v>
      </c>
      <c r="O43" s="333">
        <f t="shared" si="44"/>
        <v>1.0355960390488257</v>
      </c>
      <c r="P43" s="333">
        <f t="shared" si="44"/>
        <v>1.0354865397343211</v>
      </c>
      <c r="Q43" s="333">
        <f t="shared" si="44"/>
        <v>1.0344163078165622</v>
      </c>
      <c r="R43" s="333">
        <f t="shared" si="44"/>
        <v>1.0135352088204184</v>
      </c>
      <c r="S43" s="333">
        <f t="shared" si="44"/>
        <v>1.0356003099166502</v>
      </c>
      <c r="T43" s="334">
        <f t="shared" si="44"/>
        <v>1.0332400145216403</v>
      </c>
      <c r="V43" s="332">
        <f t="shared" si="45"/>
        <v>1.0356000879112235</v>
      </c>
      <c r="W43" s="333">
        <f t="shared" si="45"/>
        <v>1.0356</v>
      </c>
      <c r="X43" s="333">
        <f t="shared" si="45"/>
        <v>1.0355994982187082</v>
      </c>
      <c r="Y43" s="333">
        <f t="shared" si="45"/>
        <v>1.0355350388816695</v>
      </c>
      <c r="Z43" s="333">
        <f t="shared" si="45"/>
        <v>1.0342386913976227</v>
      </c>
      <c r="AA43" s="333">
        <f t="shared" si="45"/>
        <v>1.013573644785611</v>
      </c>
      <c r="AB43" s="333">
        <f t="shared" si="45"/>
        <v>1.0356000486425205</v>
      </c>
      <c r="AC43" s="334">
        <f t="shared" si="45"/>
        <v>1.033264129564387</v>
      </c>
      <c r="AE43" s="332">
        <f t="shared" si="46"/>
        <v>1.0355994651773963</v>
      </c>
      <c r="AF43" s="333">
        <f t="shared" si="46"/>
        <v>1.0356</v>
      </c>
      <c r="AG43" s="333">
        <f t="shared" si="46"/>
        <v>1.0355921948729387</v>
      </c>
      <c r="AH43" s="333">
        <f t="shared" si="46"/>
        <v>1.035545113805532</v>
      </c>
      <c r="AI43" s="333">
        <f t="shared" si="46"/>
        <v>1.0342766732531368</v>
      </c>
      <c r="AJ43" s="333">
        <f t="shared" si="46"/>
        <v>1.01377326952543</v>
      </c>
      <c r="AK43" s="333">
        <f t="shared" si="46"/>
        <v>1.0356001126945202</v>
      </c>
      <c r="AL43" s="334">
        <f t="shared" si="46"/>
        <v>1.033173677969083</v>
      </c>
      <c r="AM43" s="335"/>
      <c r="AN43" s="332">
        <f t="shared" si="47"/>
        <v>1.03560057826836</v>
      </c>
      <c r="AO43" s="333">
        <f t="shared" si="47"/>
        <v>1.0356</v>
      </c>
      <c r="AP43" s="333">
        <f t="shared" si="47"/>
        <v>1.0355844144155488</v>
      </c>
      <c r="AQ43" s="333">
        <f t="shared" si="47"/>
        <v>1.0355593529797895</v>
      </c>
      <c r="AR43" s="333">
        <f t="shared" si="47"/>
        <v>1.034485242757397</v>
      </c>
      <c r="AS43" s="333">
        <f t="shared" si="47"/>
        <v>1.012794987825672</v>
      </c>
      <c r="AT43" s="333">
        <f t="shared" si="47"/>
        <v>1.035600086894549</v>
      </c>
      <c r="AU43" s="334">
        <f t="shared" si="47"/>
        <v>1.033022756580347</v>
      </c>
      <c r="AV43" s="336"/>
      <c r="AW43" s="332">
        <f t="shared" si="48"/>
        <v>1.0355976230103239</v>
      </c>
      <c r="AX43" s="333">
        <f t="shared" si="48"/>
        <v>1.0356</v>
      </c>
      <c r="AY43" s="333">
        <f t="shared" si="48"/>
        <v>1.016517778149021</v>
      </c>
      <c r="AZ43" s="333">
        <f t="shared" si="48"/>
        <v>1.0355670747804016</v>
      </c>
      <c r="BA43" s="333">
        <f t="shared" si="48"/>
        <v>1.0347329030508898</v>
      </c>
      <c r="BB43" s="333">
        <f t="shared" si="48"/>
        <v>1.0128395705210145</v>
      </c>
      <c r="BC43" s="333">
        <f t="shared" si="48"/>
        <v>1.0355997720021228</v>
      </c>
      <c r="BD43" s="334">
        <f t="shared" si="48"/>
        <v>1.0315019308063658</v>
      </c>
      <c r="BE43" s="81"/>
      <c r="BF43" s="332">
        <f t="shared" si="49"/>
        <v>1.0355979866575569</v>
      </c>
      <c r="BG43" s="333">
        <f t="shared" si="49"/>
        <v>1.0356</v>
      </c>
      <c r="BH43" s="333">
        <f t="shared" si="49"/>
        <v>1.0356028286249304</v>
      </c>
      <c r="BI43" s="333">
        <f t="shared" si="49"/>
        <v>1.03551700803995</v>
      </c>
      <c r="BJ43" s="333">
        <f t="shared" si="49"/>
        <v>1.0347599458765924</v>
      </c>
      <c r="BK43" s="333">
        <f t="shared" si="49"/>
        <v>1.0121112067556095</v>
      </c>
      <c r="BL43" s="333">
        <f t="shared" si="49"/>
        <v>1.0356000867701722</v>
      </c>
      <c r="BM43" s="334">
        <f t="shared" si="49"/>
        <v>1.0331932948515408</v>
      </c>
      <c r="BN43" s="81"/>
      <c r="BO43" s="81"/>
      <c r="BP43" s="81"/>
      <c r="BQ43" s="81"/>
      <c r="BR43" s="81"/>
    </row>
    <row r="44" spans="1:70" ht="12.75">
      <c r="A44" s="723"/>
      <c r="B44" s="316" t="s">
        <v>15</v>
      </c>
      <c r="D44" s="332">
        <f t="shared" si="43"/>
        <v>1.0356008962441308</v>
      </c>
      <c r="E44" s="333">
        <f t="shared" si="43"/>
        <v>1.0356</v>
      </c>
      <c r="F44" s="333">
        <f t="shared" si="43"/>
        <v>1.035599742573149</v>
      </c>
      <c r="G44" s="333">
        <f t="shared" si="43"/>
        <v>1.0354979895402294</v>
      </c>
      <c r="H44" s="333">
        <f t="shared" si="43"/>
        <v>1.0347529279435788</v>
      </c>
      <c r="I44" s="333">
        <f t="shared" si="43"/>
        <v>1.0124796357273211</v>
      </c>
      <c r="J44" s="333">
        <f t="shared" si="43"/>
        <v>1.0355994739533865</v>
      </c>
      <c r="K44" s="334">
        <f t="shared" si="43"/>
        <v>1.0334881220086565</v>
      </c>
      <c r="M44" s="332">
        <f t="shared" si="44"/>
        <v>1.0355998496358</v>
      </c>
      <c r="N44" s="333">
        <f t="shared" si="44"/>
        <v>1.0356</v>
      </c>
      <c r="O44" s="333">
        <f t="shared" si="44"/>
        <v>1.0355990384379254</v>
      </c>
      <c r="P44" s="333">
        <f t="shared" si="44"/>
        <v>1.035501101073979</v>
      </c>
      <c r="Q44" s="333">
        <f t="shared" si="44"/>
        <v>1.034481670963284</v>
      </c>
      <c r="R44" s="333">
        <f t="shared" si="44"/>
        <v>1.0134524705418007</v>
      </c>
      <c r="S44" s="333">
        <f t="shared" si="44"/>
        <v>1.0356007410906367</v>
      </c>
      <c r="T44" s="334">
        <f t="shared" si="44"/>
        <v>1.0335946346661</v>
      </c>
      <c r="V44" s="332">
        <f t="shared" si="45"/>
        <v>1.0356005693600445</v>
      </c>
      <c r="W44" s="333">
        <f t="shared" si="45"/>
        <v>1.0356</v>
      </c>
      <c r="X44" s="333">
        <f t="shared" si="45"/>
        <v>1.035599121266549</v>
      </c>
      <c r="Y44" s="333">
        <f t="shared" si="45"/>
        <v>1.035521500957705</v>
      </c>
      <c r="Z44" s="333">
        <f t="shared" si="45"/>
        <v>1.0343129611961468</v>
      </c>
      <c r="AA44" s="333">
        <f t="shared" si="45"/>
        <v>1.0133060569210846</v>
      </c>
      <c r="AB44" s="333">
        <f t="shared" si="45"/>
        <v>1.035599886674742</v>
      </c>
      <c r="AC44" s="334">
        <f t="shared" si="45"/>
        <v>1.0337662410000303</v>
      </c>
      <c r="AE44" s="332">
        <f t="shared" si="46"/>
        <v>1.0355987127023665</v>
      </c>
      <c r="AF44" s="333">
        <f t="shared" si="46"/>
        <v>1.0356</v>
      </c>
      <c r="AG44" s="333">
        <f t="shared" si="46"/>
        <v>1.0355936466077245</v>
      </c>
      <c r="AH44" s="333">
        <f t="shared" si="46"/>
        <v>1.0355306900994143</v>
      </c>
      <c r="AI44" s="333">
        <f t="shared" si="46"/>
        <v>1.0343245799415772</v>
      </c>
      <c r="AJ44" s="333">
        <f t="shared" si="46"/>
        <v>1.0135544771330065</v>
      </c>
      <c r="AK44" s="333">
        <f t="shared" si="46"/>
        <v>1.0356000324295156</v>
      </c>
      <c r="AL44" s="334">
        <f t="shared" si="46"/>
        <v>1.0335732310558494</v>
      </c>
      <c r="AM44" s="335"/>
      <c r="AN44" s="332">
        <f t="shared" si="47"/>
        <v>1.0355976400793785</v>
      </c>
      <c r="AO44" s="333">
        <f t="shared" si="47"/>
        <v>1.0356</v>
      </c>
      <c r="AP44" s="333">
        <f t="shared" si="47"/>
        <v>1.0355843987706115</v>
      </c>
      <c r="AQ44" s="333">
        <f t="shared" si="47"/>
        <v>1.035537574314291</v>
      </c>
      <c r="AR44" s="333">
        <f t="shared" si="47"/>
        <v>1.0346520296598145</v>
      </c>
      <c r="AS44" s="333">
        <f t="shared" si="47"/>
        <v>1.0126794025869277</v>
      </c>
      <c r="AT44" s="333">
        <f t="shared" si="47"/>
        <v>1.0356001213806685</v>
      </c>
      <c r="AU44" s="334">
        <f t="shared" si="47"/>
        <v>1.0331806312452254</v>
      </c>
      <c r="AV44" s="336"/>
      <c r="AW44" s="332">
        <f t="shared" si="48"/>
        <v>1.0355985856687624</v>
      </c>
      <c r="AX44" s="333">
        <f t="shared" si="48"/>
        <v>1.0356</v>
      </c>
      <c r="AY44" s="333">
        <f t="shared" si="48"/>
        <v>1.0180216255683987</v>
      </c>
      <c r="AZ44" s="333">
        <f t="shared" si="48"/>
        <v>1.035530467368169</v>
      </c>
      <c r="BA44" s="333">
        <f t="shared" si="48"/>
        <v>1.0348151229756108</v>
      </c>
      <c r="BB44" s="333">
        <f t="shared" si="48"/>
        <v>1.0125997971580964</v>
      </c>
      <c r="BC44" s="333">
        <f t="shared" si="48"/>
        <v>1.0355996853200846</v>
      </c>
      <c r="BD44" s="334">
        <f t="shared" si="48"/>
        <v>1.0318319800180518</v>
      </c>
      <c r="BE44" s="81"/>
      <c r="BF44" s="332">
        <f t="shared" si="49"/>
        <v>1.0355974032034412</v>
      </c>
      <c r="BG44" s="333">
        <f t="shared" si="49"/>
        <v>1.0356</v>
      </c>
      <c r="BH44" s="333">
        <f t="shared" si="49"/>
        <v>1.0356016926952714</v>
      </c>
      <c r="BI44" s="333">
        <f t="shared" si="49"/>
        <v>1.0355264144259948</v>
      </c>
      <c r="BJ44" s="333">
        <f t="shared" si="49"/>
        <v>1.0348199787254029</v>
      </c>
      <c r="BK44" s="333">
        <f t="shared" si="49"/>
        <v>1.0122652199335518</v>
      </c>
      <c r="BL44" s="333">
        <f t="shared" si="49"/>
        <v>1.0356001593931254</v>
      </c>
      <c r="BM44" s="334">
        <f t="shared" si="49"/>
        <v>1.0332362688083954</v>
      </c>
      <c r="BN44" s="81"/>
      <c r="BO44" s="81"/>
      <c r="BP44" s="81"/>
      <c r="BQ44" s="81"/>
      <c r="BR44" s="81"/>
    </row>
    <row r="45" spans="1:70" ht="12.75">
      <c r="A45" s="723"/>
      <c r="B45" s="316" t="s">
        <v>16</v>
      </c>
      <c r="D45" s="332">
        <f t="shared" si="43"/>
        <v>1.0355997781196593</v>
      </c>
      <c r="E45" s="333">
        <f t="shared" si="43"/>
        <v>1.0356</v>
      </c>
      <c r="F45" s="333">
        <f t="shared" si="43"/>
        <v>1.035600590970868</v>
      </c>
      <c r="G45" s="333">
        <f t="shared" si="43"/>
        <v>1.0354664282593562</v>
      </c>
      <c r="H45" s="333">
        <f t="shared" si="43"/>
        <v>1.0347335292048356</v>
      </c>
      <c r="I45" s="333">
        <f t="shared" si="43"/>
        <v>1.0126933350205483</v>
      </c>
      <c r="J45" s="333">
        <f t="shared" si="43"/>
        <v>1.035599962672558</v>
      </c>
      <c r="K45" s="334">
        <f t="shared" si="43"/>
        <v>1.0334178918303178</v>
      </c>
      <c r="M45" s="332">
        <f t="shared" si="44"/>
        <v>1.0355979177293961</v>
      </c>
      <c r="N45" s="333">
        <f t="shared" si="44"/>
        <v>1.0356</v>
      </c>
      <c r="O45" s="333">
        <f t="shared" si="44"/>
        <v>1.03559889027638</v>
      </c>
      <c r="P45" s="333">
        <f t="shared" si="44"/>
        <v>1.0354598931198513</v>
      </c>
      <c r="Q45" s="333">
        <f t="shared" si="44"/>
        <v>1.0344049418359218</v>
      </c>
      <c r="R45" s="333">
        <f t="shared" si="44"/>
        <v>1.013546459037809</v>
      </c>
      <c r="S45" s="333">
        <f t="shared" si="44"/>
        <v>1.0356004693932364</v>
      </c>
      <c r="T45" s="334">
        <f t="shared" si="44"/>
        <v>1.0332404271246627</v>
      </c>
      <c r="V45" s="332">
        <f t="shared" si="45"/>
        <v>1.0355990732707436</v>
      </c>
      <c r="W45" s="333">
        <f t="shared" si="45"/>
        <v>1.0356</v>
      </c>
      <c r="X45" s="333">
        <f t="shared" si="45"/>
        <v>1.0355994586226962</v>
      </c>
      <c r="Y45" s="333">
        <f t="shared" si="45"/>
        <v>1.0355394832993983</v>
      </c>
      <c r="Z45" s="333">
        <f t="shared" si="45"/>
        <v>1.0342635946504957</v>
      </c>
      <c r="AA45" s="333">
        <f t="shared" si="45"/>
        <v>1.0135400357868691</v>
      </c>
      <c r="AB45" s="333">
        <f t="shared" si="45"/>
        <v>1.0355994464649063</v>
      </c>
      <c r="AC45" s="334">
        <f t="shared" si="45"/>
        <v>1.0334726971847072</v>
      </c>
      <c r="AE45" s="332">
        <f t="shared" si="46"/>
        <v>1.0355978789993736</v>
      </c>
      <c r="AF45" s="333">
        <f t="shared" si="46"/>
        <v>1.0356</v>
      </c>
      <c r="AG45" s="333">
        <f t="shared" si="46"/>
        <v>1.0355899597602547</v>
      </c>
      <c r="AH45" s="333">
        <f t="shared" si="46"/>
        <v>1.0355425076108606</v>
      </c>
      <c r="AI45" s="333">
        <f t="shared" si="46"/>
        <v>1.0342721390446328</v>
      </c>
      <c r="AJ45" s="333">
        <f t="shared" si="46"/>
        <v>1.0137131469865321</v>
      </c>
      <c r="AK45" s="333">
        <f t="shared" si="46"/>
        <v>1.0356005220181983</v>
      </c>
      <c r="AL45" s="334">
        <f t="shared" si="46"/>
        <v>1.0333846018715103</v>
      </c>
      <c r="AM45" s="335"/>
      <c r="AN45" s="332">
        <f t="shared" si="47"/>
        <v>1.0355985561614316</v>
      </c>
      <c r="AO45" s="333">
        <f t="shared" si="47"/>
        <v>1.0356</v>
      </c>
      <c r="AP45" s="333">
        <f t="shared" si="47"/>
        <v>1.0355854738999097</v>
      </c>
      <c r="AQ45" s="333">
        <f t="shared" si="47"/>
        <v>1.0355502669776022</v>
      </c>
      <c r="AR45" s="333">
        <f t="shared" si="47"/>
        <v>1.0346615936157615</v>
      </c>
      <c r="AS45" s="333">
        <f t="shared" si="47"/>
        <v>1.012234454484224</v>
      </c>
      <c r="AT45" s="333">
        <f t="shared" si="47"/>
        <v>1.0355996150187305</v>
      </c>
      <c r="AU45" s="334">
        <f t="shared" si="47"/>
        <v>1.0335451251496333</v>
      </c>
      <c r="AV45" s="336"/>
      <c r="AW45" s="332">
        <f t="shared" si="48"/>
        <v>1.03559865798543</v>
      </c>
      <c r="AX45" s="333">
        <f t="shared" si="48"/>
        <v>1.0356</v>
      </c>
      <c r="AY45" s="333">
        <f t="shared" si="48"/>
        <v>1.0179669125259578</v>
      </c>
      <c r="AZ45" s="333">
        <f t="shared" si="48"/>
        <v>1.035555747777366</v>
      </c>
      <c r="BA45" s="333">
        <f t="shared" si="48"/>
        <v>1.0348232866495923</v>
      </c>
      <c r="BB45" s="333">
        <f t="shared" si="48"/>
        <v>1.0128222201319892</v>
      </c>
      <c r="BC45" s="333">
        <f t="shared" si="48"/>
        <v>1.0356000714530742</v>
      </c>
      <c r="BD45" s="334">
        <f t="shared" si="48"/>
        <v>1.0317650583958216</v>
      </c>
      <c r="BE45" s="81"/>
      <c r="BF45" s="332">
        <f t="shared" si="49"/>
        <v>1.0355992290868332</v>
      </c>
      <c r="BG45" s="333">
        <f t="shared" si="49"/>
        <v>1.0356</v>
      </c>
      <c r="BH45" s="333">
        <f t="shared" si="49"/>
        <v>1.0356015959768738</v>
      </c>
      <c r="BI45" s="333">
        <f t="shared" si="49"/>
        <v>1.035521440232776</v>
      </c>
      <c r="BJ45" s="333">
        <f t="shared" si="49"/>
        <v>1.034801129639863</v>
      </c>
      <c r="BK45" s="333">
        <f t="shared" si="49"/>
        <v>1.012424116580603</v>
      </c>
      <c r="BL45" s="333">
        <f t="shared" si="49"/>
        <v>1.0356001755371977</v>
      </c>
      <c r="BM45" s="334">
        <f t="shared" si="49"/>
        <v>1.0332307876108304</v>
      </c>
      <c r="BN45" s="81"/>
      <c r="BO45" s="81"/>
      <c r="BP45" s="81"/>
      <c r="BQ45" s="81"/>
      <c r="BR45" s="81"/>
    </row>
    <row r="46" spans="1:70" ht="12.75">
      <c r="A46" s="723"/>
      <c r="B46" s="316" t="s">
        <v>17</v>
      </c>
      <c r="D46" s="332">
        <f t="shared" si="43"/>
        <v>1.0355998605283607</v>
      </c>
      <c r="E46" s="333">
        <f t="shared" si="43"/>
        <v>1.0356</v>
      </c>
      <c r="F46" s="333">
        <f t="shared" si="43"/>
        <v>1.0354642865509283</v>
      </c>
      <c r="G46" s="333">
        <f t="shared" si="43"/>
        <v>1.0355468243410273</v>
      </c>
      <c r="H46" s="333">
        <f t="shared" si="43"/>
        <v>1.0346083044421643</v>
      </c>
      <c r="I46" s="333">
        <f t="shared" si="43"/>
        <v>1.0119108139923287</v>
      </c>
      <c r="J46" s="333">
        <f t="shared" si="43"/>
        <v>1.035600186723824</v>
      </c>
      <c r="K46" s="334">
        <f t="shared" si="43"/>
        <v>1.0338894732435777</v>
      </c>
      <c r="M46" s="332">
        <f t="shared" si="44"/>
        <v>1.0356002419318069</v>
      </c>
      <c r="N46" s="333">
        <f t="shared" si="44"/>
        <v>1.0356</v>
      </c>
      <c r="O46" s="333">
        <f t="shared" si="44"/>
        <v>1.0356003522054589</v>
      </c>
      <c r="P46" s="333">
        <f t="shared" si="44"/>
        <v>1.0355263987448469</v>
      </c>
      <c r="Q46" s="333">
        <f t="shared" si="44"/>
        <v>1.0343604992532258</v>
      </c>
      <c r="R46" s="333">
        <f t="shared" si="44"/>
        <v>1.0134993742352252</v>
      </c>
      <c r="S46" s="333">
        <f t="shared" si="44"/>
        <v>1.0355998681508765</v>
      </c>
      <c r="T46" s="334">
        <f t="shared" si="44"/>
        <v>1.0333917243936805</v>
      </c>
      <c r="V46" s="332">
        <f t="shared" si="45"/>
        <v>1.035598940622184</v>
      </c>
      <c r="W46" s="333">
        <f t="shared" si="45"/>
        <v>1.0356</v>
      </c>
      <c r="X46" s="333">
        <f t="shared" si="45"/>
        <v>1.0355993208017515</v>
      </c>
      <c r="Y46" s="333">
        <f t="shared" si="45"/>
        <v>1.0355227895483026</v>
      </c>
      <c r="Z46" s="333">
        <f t="shared" si="45"/>
        <v>1.0343020753647798</v>
      </c>
      <c r="AA46" s="333">
        <f t="shared" si="45"/>
        <v>1.013570249650832</v>
      </c>
      <c r="AB46" s="333">
        <f t="shared" si="45"/>
        <v>1.0355998822172883</v>
      </c>
      <c r="AC46" s="334">
        <f t="shared" si="45"/>
        <v>1.0334469077129207</v>
      </c>
      <c r="AE46" s="332">
        <f t="shared" si="46"/>
        <v>1.0356000521505415</v>
      </c>
      <c r="AF46" s="333">
        <f t="shared" si="46"/>
        <v>1.0356</v>
      </c>
      <c r="AG46" s="333">
        <f t="shared" si="46"/>
        <v>1.0355945941583553</v>
      </c>
      <c r="AH46" s="333">
        <f t="shared" si="46"/>
        <v>1.0355559108033299</v>
      </c>
      <c r="AI46" s="333">
        <f t="shared" si="46"/>
        <v>1.0342582697177172</v>
      </c>
      <c r="AJ46" s="333">
        <f t="shared" si="46"/>
        <v>1.013737957720772</v>
      </c>
      <c r="AK46" s="333">
        <f t="shared" si="46"/>
        <v>1.0356000052739247</v>
      </c>
      <c r="AL46" s="334">
        <f t="shared" si="46"/>
        <v>1.0331912044104714</v>
      </c>
      <c r="AM46" s="335"/>
      <c r="AN46" s="332">
        <f t="shared" si="47"/>
        <v>1.035599181259929</v>
      </c>
      <c r="AO46" s="333">
        <f t="shared" si="47"/>
        <v>1.0356</v>
      </c>
      <c r="AP46" s="333">
        <f t="shared" si="47"/>
        <v>1.035586457529572</v>
      </c>
      <c r="AQ46" s="333">
        <f t="shared" si="47"/>
        <v>1.035563545448818</v>
      </c>
      <c r="AR46" s="333">
        <f t="shared" si="47"/>
        <v>1.0346482949549403</v>
      </c>
      <c r="AS46" s="333">
        <f t="shared" si="47"/>
        <v>1.0127339236066357</v>
      </c>
      <c r="AT46" s="333">
        <f t="shared" si="47"/>
        <v>1.0356001069659584</v>
      </c>
      <c r="AU46" s="334">
        <f t="shared" si="47"/>
        <v>1.0332253720498972</v>
      </c>
      <c r="AV46" s="336"/>
      <c r="AW46" s="332">
        <f t="shared" si="48"/>
        <v>1.035600375874567</v>
      </c>
      <c r="AX46" s="333">
        <f t="shared" si="48"/>
        <v>1.0356</v>
      </c>
      <c r="AY46" s="333">
        <f t="shared" si="48"/>
        <v>1.016402436105464</v>
      </c>
      <c r="AZ46" s="333">
        <f t="shared" si="48"/>
        <v>1.035554042023424</v>
      </c>
      <c r="BA46" s="333">
        <f t="shared" si="48"/>
        <v>1.0347715263974269</v>
      </c>
      <c r="BB46" s="333">
        <f t="shared" si="48"/>
        <v>1.0128824937500052</v>
      </c>
      <c r="BC46" s="333">
        <f t="shared" si="48"/>
        <v>1.0356004470369409</v>
      </c>
      <c r="BD46" s="334">
        <f t="shared" si="48"/>
        <v>1.0315980876306592</v>
      </c>
      <c r="BE46" s="81"/>
      <c r="BF46" s="332">
        <f t="shared" si="49"/>
        <v>1.0355972359439467</v>
      </c>
      <c r="BG46" s="333">
        <f t="shared" si="49"/>
        <v>1.0356</v>
      </c>
      <c r="BH46" s="333">
        <f t="shared" si="49"/>
        <v>1.035598600380636</v>
      </c>
      <c r="BI46" s="333">
        <f t="shared" si="49"/>
        <v>1.0355291853297492</v>
      </c>
      <c r="BJ46" s="333">
        <f t="shared" si="49"/>
        <v>1.034770590198988</v>
      </c>
      <c r="BK46" s="333">
        <f t="shared" si="49"/>
        <v>1.0125372786975695</v>
      </c>
      <c r="BL46" s="333">
        <f t="shared" si="49"/>
        <v>1.0355998191760951</v>
      </c>
      <c r="BM46" s="334">
        <f t="shared" si="49"/>
        <v>1.0330381446861634</v>
      </c>
      <c r="BN46" s="81"/>
      <c r="BO46" s="81"/>
      <c r="BP46" s="81"/>
      <c r="BQ46" s="81"/>
      <c r="BR46" s="81"/>
    </row>
    <row r="47" spans="1:70" ht="12.75">
      <c r="A47" s="723"/>
      <c r="B47" s="316" t="s">
        <v>51</v>
      </c>
      <c r="D47" s="332">
        <f t="shared" si="43"/>
        <v>1.035598232452068</v>
      </c>
      <c r="E47" s="333">
        <f t="shared" si="43"/>
        <v>1.0356</v>
      </c>
      <c r="F47" s="333">
        <f t="shared" si="43"/>
        <v>1.0355989328447075</v>
      </c>
      <c r="G47" s="333">
        <f t="shared" si="43"/>
        <v>1.0354758952621943</v>
      </c>
      <c r="H47" s="333">
        <f t="shared" si="43"/>
        <v>1.0346300316465344</v>
      </c>
      <c r="I47" s="333">
        <f t="shared" si="43"/>
        <v>1.0124458798942442</v>
      </c>
      <c r="J47" s="333">
        <f t="shared" si="43"/>
        <v>1.0355997415818685</v>
      </c>
      <c r="K47" s="334">
        <f t="shared" si="43"/>
        <v>1.0335914081184099</v>
      </c>
      <c r="M47" s="332">
        <f t="shared" si="44"/>
        <v>1.0356005527618355</v>
      </c>
      <c r="N47" s="333">
        <f t="shared" si="44"/>
        <v>1.0356</v>
      </c>
      <c r="O47" s="333">
        <f t="shared" si="44"/>
        <v>1.0356035182339778</v>
      </c>
      <c r="P47" s="333">
        <f t="shared" si="44"/>
        <v>1.0354833866264608</v>
      </c>
      <c r="Q47" s="333">
        <f t="shared" si="44"/>
        <v>1.0343868050546432</v>
      </c>
      <c r="R47" s="333">
        <f t="shared" si="44"/>
        <v>1.0136653985699646</v>
      </c>
      <c r="S47" s="333">
        <f t="shared" si="44"/>
        <v>1.0356000745593388</v>
      </c>
      <c r="T47" s="334">
        <f t="shared" si="44"/>
        <v>1.0333024854710986</v>
      </c>
      <c r="V47" s="332">
        <f t="shared" si="45"/>
        <v>1.0355990826663997</v>
      </c>
      <c r="W47" s="333">
        <f t="shared" si="45"/>
        <v>1.0356</v>
      </c>
      <c r="X47" s="333">
        <f t="shared" si="45"/>
        <v>1.0356011553243127</v>
      </c>
      <c r="Y47" s="333">
        <f t="shared" si="45"/>
        <v>1.0355365084956547</v>
      </c>
      <c r="Z47" s="333">
        <f t="shared" si="45"/>
        <v>1.0343145242303655</v>
      </c>
      <c r="AA47" s="333">
        <f t="shared" si="45"/>
        <v>1.0136871633015445</v>
      </c>
      <c r="AB47" s="333">
        <f t="shared" si="45"/>
        <v>1.0355998295879147</v>
      </c>
      <c r="AC47" s="334">
        <f t="shared" si="45"/>
        <v>1.0332621372529243</v>
      </c>
      <c r="AE47" s="332">
        <f t="shared" si="46"/>
        <v>1.0355969353135144</v>
      </c>
      <c r="AF47" s="333">
        <f t="shared" si="46"/>
        <v>1.0356</v>
      </c>
      <c r="AG47" s="333">
        <f t="shared" si="46"/>
        <v>1.0355922541290252</v>
      </c>
      <c r="AH47" s="333">
        <f t="shared" si="46"/>
        <v>1.0355443159361346</v>
      </c>
      <c r="AI47" s="333">
        <f t="shared" si="46"/>
        <v>1.0342918637263474</v>
      </c>
      <c r="AJ47" s="333">
        <f t="shared" si="46"/>
        <v>1.0137760176075887</v>
      </c>
      <c r="AK47" s="333">
        <f t="shared" si="46"/>
        <v>1.035600205042381</v>
      </c>
      <c r="AL47" s="334">
        <f t="shared" si="46"/>
        <v>1.0331874078680048</v>
      </c>
      <c r="AM47" s="335"/>
      <c r="AN47" s="332">
        <f t="shared" si="47"/>
        <v>1.0355971058104605</v>
      </c>
      <c r="AO47" s="333">
        <f t="shared" si="47"/>
        <v>1.0356</v>
      </c>
      <c r="AP47" s="333">
        <f t="shared" si="47"/>
        <v>1.0355819052873685</v>
      </c>
      <c r="AQ47" s="333">
        <f t="shared" si="47"/>
        <v>1.0355444350790584</v>
      </c>
      <c r="AR47" s="333">
        <f t="shared" si="47"/>
        <v>1.034629601771218</v>
      </c>
      <c r="AS47" s="333">
        <f t="shared" si="47"/>
        <v>1.0129083888398007</v>
      </c>
      <c r="AT47" s="333">
        <f t="shared" si="47"/>
        <v>1.0356001390699836</v>
      </c>
      <c r="AU47" s="334">
        <f t="shared" si="47"/>
        <v>1.0329692460038842</v>
      </c>
      <c r="AV47" s="336"/>
      <c r="AW47" s="332">
        <f t="shared" si="48"/>
        <v>1.0355995922167642</v>
      </c>
      <c r="AX47" s="333">
        <f t="shared" si="48"/>
        <v>1.0356</v>
      </c>
      <c r="AY47" s="333">
        <f t="shared" si="48"/>
        <v>1.0154400195501394</v>
      </c>
      <c r="AZ47" s="333">
        <f t="shared" si="48"/>
        <v>1.0355588609536732</v>
      </c>
      <c r="BA47" s="333">
        <f t="shared" si="48"/>
        <v>1.0347818759879452</v>
      </c>
      <c r="BB47" s="333">
        <f t="shared" si="48"/>
        <v>1.012974314969314</v>
      </c>
      <c r="BC47" s="333">
        <f t="shared" si="48"/>
        <v>1.0355998520383591</v>
      </c>
      <c r="BD47" s="334">
        <f t="shared" si="48"/>
        <v>1.0314076387446902</v>
      </c>
      <c r="BE47" s="81"/>
      <c r="BF47" s="332">
        <f t="shared" si="49"/>
        <v>1.0355981325892698</v>
      </c>
      <c r="BG47" s="333">
        <f t="shared" si="49"/>
        <v>1.0356</v>
      </c>
      <c r="BH47" s="333">
        <f t="shared" si="49"/>
        <v>1.0355994350561943</v>
      </c>
      <c r="BI47" s="333">
        <f t="shared" si="49"/>
        <v>1.0355262925611728</v>
      </c>
      <c r="BJ47" s="333">
        <f t="shared" si="49"/>
        <v>1.0347638256296923</v>
      </c>
      <c r="BK47" s="333">
        <f t="shared" si="49"/>
        <v>1.0127211465099872</v>
      </c>
      <c r="BL47" s="333">
        <f t="shared" si="49"/>
        <v>1.0355999162736493</v>
      </c>
      <c r="BM47" s="334">
        <f t="shared" si="49"/>
        <v>1.0329818742826469</v>
      </c>
      <c r="BN47" s="81"/>
      <c r="BO47" s="81"/>
      <c r="BP47" s="81"/>
      <c r="BQ47" s="81"/>
      <c r="BR47" s="81"/>
    </row>
    <row r="48" spans="1:70" ht="12.75">
      <c r="A48" s="723"/>
      <c r="B48" s="316" t="s">
        <v>19</v>
      </c>
      <c r="D48" s="332">
        <f t="shared" si="43"/>
        <v>1.035598445596009</v>
      </c>
      <c r="E48" s="333">
        <f t="shared" si="43"/>
        <v>1.0356</v>
      </c>
      <c r="F48" s="333">
        <f t="shared" si="43"/>
        <v>1.0355999932501962</v>
      </c>
      <c r="G48" s="333">
        <f t="shared" si="43"/>
        <v>1.0354916883957548</v>
      </c>
      <c r="H48" s="333">
        <f t="shared" si="43"/>
        <v>1.0346469806602014</v>
      </c>
      <c r="I48" s="333">
        <f t="shared" si="43"/>
        <v>1.012500648940668</v>
      </c>
      <c r="J48" s="333">
        <f t="shared" si="43"/>
        <v>1.0355996179054947</v>
      </c>
      <c r="K48" s="334">
        <f t="shared" si="43"/>
        <v>1.0333534761953715</v>
      </c>
      <c r="M48" s="332">
        <f t="shared" si="44"/>
        <v>1.0355959080685073</v>
      </c>
      <c r="N48" s="333">
        <f t="shared" si="44"/>
        <v>1.0356</v>
      </c>
      <c r="O48" s="333">
        <f t="shared" si="44"/>
        <v>1.0356002752336373</v>
      </c>
      <c r="P48" s="333">
        <f t="shared" si="44"/>
        <v>1.0354221459877917</v>
      </c>
      <c r="Q48" s="333">
        <f t="shared" si="44"/>
        <v>1.0343640234622016</v>
      </c>
      <c r="R48" s="333">
        <f t="shared" si="44"/>
        <v>1.0137373265001262</v>
      </c>
      <c r="S48" s="333">
        <f t="shared" si="44"/>
        <v>1.0355998496284307</v>
      </c>
      <c r="T48" s="334">
        <f t="shared" si="44"/>
        <v>1.0332900347121838</v>
      </c>
      <c r="V48" s="332">
        <f t="shared" si="45"/>
        <v>1.0356002592150406</v>
      </c>
      <c r="W48" s="333">
        <f t="shared" si="45"/>
        <v>1.0356</v>
      </c>
      <c r="X48" s="333">
        <f t="shared" si="45"/>
        <v>1.035601233878069</v>
      </c>
      <c r="Y48" s="333">
        <f t="shared" si="45"/>
        <v>1.035550778026305</v>
      </c>
      <c r="Z48" s="333">
        <f t="shared" si="45"/>
        <v>1.034397827853616</v>
      </c>
      <c r="AA48" s="333">
        <f t="shared" si="45"/>
        <v>1.0137414763594559</v>
      </c>
      <c r="AB48" s="333">
        <f t="shared" si="45"/>
        <v>1.035600023343992</v>
      </c>
      <c r="AC48" s="334">
        <f t="shared" si="45"/>
        <v>1.0333747484426086</v>
      </c>
      <c r="AE48" s="332">
        <f t="shared" si="46"/>
        <v>1.0355976654919457</v>
      </c>
      <c r="AF48" s="333">
        <f t="shared" si="46"/>
        <v>1.0356</v>
      </c>
      <c r="AG48" s="333">
        <f t="shared" si="46"/>
        <v>1.0355955256371379</v>
      </c>
      <c r="AH48" s="333">
        <f t="shared" si="46"/>
        <v>1.0355437371680214</v>
      </c>
      <c r="AI48" s="333">
        <f t="shared" si="46"/>
        <v>1.0342749716595794</v>
      </c>
      <c r="AJ48" s="333">
        <f t="shared" si="46"/>
        <v>1.013852747534266</v>
      </c>
      <c r="AK48" s="333">
        <f t="shared" si="46"/>
        <v>1.035600007656516</v>
      </c>
      <c r="AL48" s="334">
        <f t="shared" si="46"/>
        <v>1.0333077967805566</v>
      </c>
      <c r="AM48" s="335"/>
      <c r="AN48" s="332">
        <f t="shared" si="47"/>
        <v>1.035599592326675</v>
      </c>
      <c r="AO48" s="333">
        <f t="shared" si="47"/>
        <v>1.0356</v>
      </c>
      <c r="AP48" s="333">
        <f t="shared" si="47"/>
        <v>1.0355855861264978</v>
      </c>
      <c r="AQ48" s="333">
        <f t="shared" si="47"/>
        <v>1.0363385396932452</v>
      </c>
      <c r="AR48" s="333">
        <f t="shared" si="47"/>
        <v>1.034592205374763</v>
      </c>
      <c r="AS48" s="333">
        <f t="shared" si="47"/>
        <v>1.0130264461492577</v>
      </c>
      <c r="AT48" s="333">
        <f t="shared" si="47"/>
        <v>1.03559992408884</v>
      </c>
      <c r="AU48" s="334">
        <f t="shared" si="47"/>
        <v>1.0333502730460469</v>
      </c>
      <c r="AV48" s="336"/>
      <c r="AW48" s="332">
        <f t="shared" si="48"/>
        <v>1.0355998708348595</v>
      </c>
      <c r="AX48" s="333">
        <f t="shared" si="48"/>
        <v>1.0356</v>
      </c>
      <c r="AY48" s="333">
        <f t="shared" si="48"/>
        <v>1.0356008539004589</v>
      </c>
      <c r="AZ48" s="333">
        <f t="shared" si="48"/>
        <v>1.0355659594435709</v>
      </c>
      <c r="BA48" s="333">
        <f t="shared" si="48"/>
        <v>1.0348055569249623</v>
      </c>
      <c r="BB48" s="333">
        <f t="shared" si="48"/>
        <v>1.0128628829834454</v>
      </c>
      <c r="BC48" s="333">
        <f t="shared" si="48"/>
        <v>1.0356002097940746</v>
      </c>
      <c r="BD48" s="334">
        <f t="shared" si="48"/>
        <v>1.0331120279565624</v>
      </c>
      <c r="BE48" s="81"/>
      <c r="BF48" s="332">
        <f t="shared" si="49"/>
        <v>1.0355977198316264</v>
      </c>
      <c r="BG48" s="333">
        <f t="shared" si="49"/>
        <v>1.0356</v>
      </c>
      <c r="BH48" s="333">
        <f t="shared" si="49"/>
        <v>1.0355995174707144</v>
      </c>
      <c r="BI48" s="333">
        <f t="shared" si="49"/>
        <v>1.0355405536089108</v>
      </c>
      <c r="BJ48" s="333">
        <f t="shared" si="49"/>
        <v>1.0347034624966345</v>
      </c>
      <c r="BK48" s="333">
        <f t="shared" si="49"/>
        <v>1.0126141696601574</v>
      </c>
      <c r="BL48" s="333">
        <f t="shared" si="49"/>
        <v>1.035599946112519</v>
      </c>
      <c r="BM48" s="334">
        <f t="shared" si="49"/>
        <v>1.0332066642388276</v>
      </c>
      <c r="BN48" s="81"/>
      <c r="BO48" s="81"/>
      <c r="BP48" s="81"/>
      <c r="BQ48" s="81"/>
      <c r="BR48" s="81"/>
    </row>
    <row r="49" spans="1:70" ht="13.5" thickBot="1">
      <c r="A49" s="723"/>
      <c r="B49" s="269" t="s">
        <v>20</v>
      </c>
      <c r="D49" s="332">
        <f t="shared" si="43"/>
        <v>1.0355978766320426</v>
      </c>
      <c r="E49" s="333">
        <f t="shared" si="43"/>
        <v>1.0356</v>
      </c>
      <c r="F49" s="333">
        <f t="shared" si="43"/>
        <v>1.035598170315592</v>
      </c>
      <c r="G49" s="333">
        <f t="shared" si="43"/>
        <v>1.0354746644471293</v>
      </c>
      <c r="H49" s="333">
        <f t="shared" si="43"/>
        <v>1.034682809717041</v>
      </c>
      <c r="I49" s="333">
        <f t="shared" si="43"/>
        <v>1.0126546774428997</v>
      </c>
      <c r="J49" s="333">
        <f t="shared" si="43"/>
        <v>1.0356004815619615</v>
      </c>
      <c r="K49" s="334">
        <f t="shared" si="43"/>
        <v>1.0334516797691264</v>
      </c>
      <c r="M49" s="332">
        <f t="shared" si="44"/>
        <v>1.035598771298595</v>
      </c>
      <c r="N49" s="333">
        <f t="shared" si="44"/>
        <v>1.0356</v>
      </c>
      <c r="O49" s="333">
        <f t="shared" si="44"/>
        <v>1.03559867618137</v>
      </c>
      <c r="P49" s="333">
        <f t="shared" si="44"/>
        <v>1.035535626222931</v>
      </c>
      <c r="Q49" s="333">
        <f t="shared" si="44"/>
        <v>1.0341955355457866</v>
      </c>
      <c r="R49" s="333">
        <f t="shared" si="44"/>
        <v>1.0136859044448934</v>
      </c>
      <c r="S49" s="333">
        <f t="shared" si="44"/>
        <v>1.03560028943611</v>
      </c>
      <c r="T49" s="334">
        <f t="shared" si="44"/>
        <v>1.0335360492990937</v>
      </c>
      <c r="V49" s="332">
        <f t="shared" si="45"/>
        <v>1.0355999652291554</v>
      </c>
      <c r="W49" s="333">
        <f t="shared" si="45"/>
        <v>1.0356</v>
      </c>
      <c r="X49" s="333">
        <f t="shared" si="45"/>
        <v>1.0356004186827414</v>
      </c>
      <c r="Y49" s="333">
        <f t="shared" si="45"/>
        <v>1.0355451938989544</v>
      </c>
      <c r="Z49" s="333">
        <f t="shared" si="45"/>
        <v>1.0346553009592991</v>
      </c>
      <c r="AA49" s="333">
        <f t="shared" si="45"/>
        <v>1.0136899322628536</v>
      </c>
      <c r="AB49" s="333">
        <f t="shared" si="45"/>
        <v>1.0356001093784775</v>
      </c>
      <c r="AC49" s="334">
        <f t="shared" si="45"/>
        <v>1.0335855784082193</v>
      </c>
      <c r="AE49" s="332">
        <f t="shared" si="46"/>
        <v>1.0355980543171777</v>
      </c>
      <c r="AF49" s="333">
        <f t="shared" si="46"/>
        <v>1.0356</v>
      </c>
      <c r="AG49" s="333">
        <f t="shared" si="46"/>
        <v>1.035593666672578</v>
      </c>
      <c r="AH49" s="333">
        <f t="shared" si="46"/>
        <v>1.0355534038254657</v>
      </c>
      <c r="AI49" s="333">
        <f t="shared" si="46"/>
        <v>1.0343433752106708</v>
      </c>
      <c r="AJ49" s="333">
        <f t="shared" si="46"/>
        <v>1.013748386897663</v>
      </c>
      <c r="AK49" s="333">
        <f t="shared" si="46"/>
        <v>1.0356001335264353</v>
      </c>
      <c r="AL49" s="334">
        <f t="shared" si="46"/>
        <v>1.033444782633914</v>
      </c>
      <c r="AM49" s="337"/>
      <c r="AN49" s="332">
        <f t="shared" si="47"/>
        <v>1.0355994884702295</v>
      </c>
      <c r="AO49" s="333">
        <f t="shared" si="47"/>
        <v>1.0356</v>
      </c>
      <c r="AP49" s="333">
        <f t="shared" si="47"/>
        <v>1.0356011638590972</v>
      </c>
      <c r="AQ49" s="333">
        <f t="shared" si="47"/>
        <v>1.035569539877302</v>
      </c>
      <c r="AR49" s="333">
        <f t="shared" si="47"/>
        <v>1.034562322136873</v>
      </c>
      <c r="AS49" s="333">
        <f t="shared" si="47"/>
        <v>1.0129698325640042</v>
      </c>
      <c r="AT49" s="333">
        <f t="shared" si="47"/>
        <v>1.0356002203121553</v>
      </c>
      <c r="AU49" s="334">
        <f t="shared" si="47"/>
        <v>1.0331082262786424</v>
      </c>
      <c r="AV49" s="336"/>
      <c r="AW49" s="332">
        <f t="shared" si="48"/>
        <v>1.035595756024065</v>
      </c>
      <c r="AX49" s="333">
        <f t="shared" si="48"/>
        <v>1.0356</v>
      </c>
      <c r="AY49" s="333">
        <f t="shared" si="48"/>
        <v>1.0355987491076983</v>
      </c>
      <c r="AZ49" s="333">
        <f t="shared" si="48"/>
        <v>1.0355705272015696</v>
      </c>
      <c r="BA49" s="333">
        <f t="shared" si="48"/>
        <v>1.034827565775563</v>
      </c>
      <c r="BB49" s="333">
        <f t="shared" si="48"/>
        <v>1.0124927751630748</v>
      </c>
      <c r="BC49" s="333">
        <f t="shared" si="48"/>
        <v>1.0355998811696303</v>
      </c>
      <c r="BD49" s="334">
        <f t="shared" si="48"/>
        <v>1.033288318639034</v>
      </c>
      <c r="BE49" s="81"/>
      <c r="BF49" s="332">
        <f t="shared" si="49"/>
        <v>1.0356001288681937</v>
      </c>
      <c r="BG49" s="333">
        <f t="shared" si="49"/>
        <v>1.0356</v>
      </c>
      <c r="BH49" s="333">
        <f t="shared" si="49"/>
        <v>1.0355981812062367</v>
      </c>
      <c r="BI49" s="333">
        <f t="shared" si="49"/>
        <v>1.0355380903555431</v>
      </c>
      <c r="BJ49" s="333">
        <f t="shared" si="49"/>
        <v>1.0347294145062935</v>
      </c>
      <c r="BK49" s="333">
        <f t="shared" si="49"/>
        <v>1.0127036482063856</v>
      </c>
      <c r="BL49" s="333">
        <f t="shared" si="49"/>
        <v>1.0355999541183953</v>
      </c>
      <c r="BM49" s="334">
        <f t="shared" si="49"/>
        <v>1.0330590272744151</v>
      </c>
      <c r="BN49" s="81"/>
      <c r="BO49" s="81"/>
      <c r="BP49" s="81"/>
      <c r="BQ49" s="81"/>
      <c r="BR49" s="81"/>
    </row>
    <row r="50" spans="1:70" ht="13.5" thickBot="1">
      <c r="A50" s="723"/>
      <c r="B50" s="231"/>
      <c r="D50" s="332"/>
      <c r="E50" s="333"/>
      <c r="F50" s="333"/>
      <c r="G50" s="333"/>
      <c r="H50" s="333"/>
      <c r="I50" s="333"/>
      <c r="J50" s="333"/>
      <c r="K50" s="334"/>
      <c r="M50" s="332"/>
      <c r="N50" s="333"/>
      <c r="O50" s="333"/>
      <c r="P50" s="333"/>
      <c r="Q50" s="333"/>
      <c r="R50" s="333"/>
      <c r="S50" s="333"/>
      <c r="T50" s="334"/>
      <c r="V50" s="332"/>
      <c r="W50" s="333"/>
      <c r="X50" s="333"/>
      <c r="Y50" s="333"/>
      <c r="Z50" s="333"/>
      <c r="AA50" s="333"/>
      <c r="AB50" s="333"/>
      <c r="AC50" s="334"/>
      <c r="AE50" s="332"/>
      <c r="AF50" s="333"/>
      <c r="AG50" s="333"/>
      <c r="AH50" s="333"/>
      <c r="AI50" s="333"/>
      <c r="AJ50" s="333"/>
      <c r="AK50" s="333"/>
      <c r="AL50" s="334"/>
      <c r="AM50" s="199"/>
      <c r="AN50" s="332"/>
      <c r="AO50" s="333"/>
      <c r="AP50" s="333"/>
      <c r="AQ50" s="333"/>
      <c r="AR50" s="333"/>
      <c r="AS50" s="333"/>
      <c r="AT50" s="333"/>
      <c r="AU50" s="334"/>
      <c r="AV50" s="81"/>
      <c r="AW50" s="332"/>
      <c r="AX50" s="333"/>
      <c r="AY50" s="333"/>
      <c r="AZ50" s="333"/>
      <c r="BA50" s="333"/>
      <c r="BB50" s="333"/>
      <c r="BC50" s="333"/>
      <c r="BD50" s="334"/>
      <c r="BE50" s="81"/>
      <c r="BF50" s="332"/>
      <c r="BG50" s="333"/>
      <c r="BH50" s="333"/>
      <c r="BI50" s="333"/>
      <c r="BJ50" s="333"/>
      <c r="BK50" s="333"/>
      <c r="BL50" s="333"/>
      <c r="BM50" s="334"/>
      <c r="BN50" s="81"/>
      <c r="BO50" s="81"/>
      <c r="BP50" s="81"/>
      <c r="BQ50" s="81"/>
      <c r="BR50" s="81"/>
    </row>
    <row r="51" spans="1:70" ht="13.5" thickBot="1">
      <c r="A51" s="723"/>
      <c r="B51" s="317" t="s">
        <v>114</v>
      </c>
      <c r="D51" s="338">
        <f aca="true" t="shared" si="50" ref="D51:K51">D16/D34</f>
        <v>1.0356047313555912</v>
      </c>
      <c r="E51" s="339">
        <f t="shared" si="50"/>
        <v>1</v>
      </c>
      <c r="F51" s="339">
        <f t="shared" si="50"/>
        <v>1.0355855960507592</v>
      </c>
      <c r="G51" s="339">
        <f t="shared" si="50"/>
        <v>1.0354980762286083</v>
      </c>
      <c r="H51" s="339">
        <f t="shared" si="50"/>
        <v>1.034620485252627</v>
      </c>
      <c r="I51" s="339">
        <f t="shared" si="50"/>
        <v>1.0126966322981596</v>
      </c>
      <c r="J51" s="339">
        <f t="shared" si="50"/>
        <v>1.035599934403947</v>
      </c>
      <c r="K51" s="340">
        <f t="shared" si="50"/>
        <v>1.033382680247022</v>
      </c>
      <c r="M51" s="338">
        <f aca="true" t="shared" si="51" ref="M51:T51">M16/M34</f>
        <v>1.0355995447968325</v>
      </c>
      <c r="N51" s="339">
        <f t="shared" si="51"/>
        <v>1.0000000000000002</v>
      </c>
      <c r="O51" s="339">
        <f t="shared" si="51"/>
        <v>1.0355994998038718</v>
      </c>
      <c r="P51" s="339">
        <f t="shared" si="51"/>
        <v>1.0354921028228905</v>
      </c>
      <c r="Q51" s="339">
        <f t="shared" si="51"/>
        <v>1.034403247809094</v>
      </c>
      <c r="R51" s="339">
        <f t="shared" si="51"/>
        <v>1.0135391446702613</v>
      </c>
      <c r="S51" s="339">
        <f t="shared" si="51"/>
        <v>1.035600099922406</v>
      </c>
      <c r="T51" s="340">
        <f t="shared" si="51"/>
        <v>1.033411528258664</v>
      </c>
      <c r="V51" s="338">
        <f aca="true" t="shared" si="52" ref="V51:AC51">V16/V34</f>
        <v>1.0355992611634623</v>
      </c>
      <c r="W51" s="339">
        <f t="shared" si="52"/>
        <v>1.0000000000000002</v>
      </c>
      <c r="X51" s="339">
        <f t="shared" si="52"/>
        <v>1.0355999511906426</v>
      </c>
      <c r="Y51" s="339">
        <f t="shared" si="52"/>
        <v>1.035537330517005</v>
      </c>
      <c r="Z51" s="339">
        <f t="shared" si="52"/>
        <v>1.0342963983994722</v>
      </c>
      <c r="AA51" s="339">
        <f t="shared" si="52"/>
        <v>1.0136418461508543</v>
      </c>
      <c r="AB51" s="339">
        <f t="shared" si="52"/>
        <v>1.0355999184058038</v>
      </c>
      <c r="AC51" s="340">
        <f t="shared" si="52"/>
        <v>1.0334523052916855</v>
      </c>
      <c r="AE51" s="338">
        <f aca="true" t="shared" si="53" ref="AE51:AL51">AE16/AE34</f>
        <v>1.035598924919081</v>
      </c>
      <c r="AF51" s="339">
        <f t="shared" si="53"/>
        <v>1</v>
      </c>
      <c r="AG51" s="339">
        <f t="shared" si="53"/>
        <v>1.0355940150775431</v>
      </c>
      <c r="AH51" s="339">
        <f t="shared" si="53"/>
        <v>1.0355446922955216</v>
      </c>
      <c r="AI51" s="339">
        <f t="shared" si="53"/>
        <v>1.0342934197382816</v>
      </c>
      <c r="AJ51" s="339">
        <f t="shared" si="53"/>
        <v>1.0137711237367344</v>
      </c>
      <c r="AK51" s="339">
        <f t="shared" si="53"/>
        <v>1.035600080097403</v>
      </c>
      <c r="AL51" s="340">
        <f t="shared" si="53"/>
        <v>1.0332881459372492</v>
      </c>
      <c r="AM51" s="209"/>
      <c r="AN51" s="338">
        <f aca="true" t="shared" si="54" ref="AN51:AU51">AN16/AN34</f>
        <v>1.03559935072936</v>
      </c>
      <c r="AO51" s="339">
        <f t="shared" si="54"/>
        <v>1</v>
      </c>
      <c r="AP51" s="339">
        <f t="shared" si="54"/>
        <v>1.0355864194347597</v>
      </c>
      <c r="AQ51" s="339">
        <f t="shared" si="54"/>
        <v>1.035620020084323</v>
      </c>
      <c r="AR51" s="339">
        <f t="shared" si="54"/>
        <v>1.0345489974062558</v>
      </c>
      <c r="AS51" s="339">
        <f t="shared" si="54"/>
        <v>1.012970822076776</v>
      </c>
      <c r="AT51" s="339">
        <f t="shared" si="54"/>
        <v>1.0356000082674743</v>
      </c>
      <c r="AU51" s="340">
        <f t="shared" si="54"/>
        <v>1.0332522691401775</v>
      </c>
      <c r="AV51" s="81"/>
      <c r="AW51" s="338">
        <f aca="true" t="shared" si="55" ref="AW51:BD51">AW16/AW34</f>
        <v>1.0355987064609375</v>
      </c>
      <c r="AX51" s="339">
        <f t="shared" si="55"/>
        <v>1</v>
      </c>
      <c r="AY51" s="339">
        <f t="shared" si="55"/>
        <v>1.0204819647607066</v>
      </c>
      <c r="AZ51" s="339">
        <f t="shared" si="55"/>
        <v>1.035517263731255</v>
      </c>
      <c r="BA51" s="339">
        <f t="shared" si="55"/>
        <v>1.0346913808344167</v>
      </c>
      <c r="BB51" s="339">
        <f t="shared" si="55"/>
        <v>1.0128619944974455</v>
      </c>
      <c r="BC51" s="339">
        <f t="shared" si="55"/>
        <v>1.035600015192904</v>
      </c>
      <c r="BD51" s="340">
        <f t="shared" si="55"/>
        <v>1.0318867558862221</v>
      </c>
      <c r="BE51" s="81"/>
      <c r="BF51" s="338">
        <f aca="true" t="shared" si="56" ref="BF51:BM51">BF16/BF34</f>
        <v>1.0355985068717788</v>
      </c>
      <c r="BG51" s="339">
        <f t="shared" si="56"/>
        <v>1</v>
      </c>
      <c r="BH51" s="339">
        <f t="shared" si="56"/>
        <v>1.0356000120688515</v>
      </c>
      <c r="BI51" s="339">
        <f t="shared" si="56"/>
        <v>1.0355444815879762</v>
      </c>
      <c r="BJ51" s="339">
        <f t="shared" si="56"/>
        <v>1.0347609603914483</v>
      </c>
      <c r="BK51" s="339">
        <f t="shared" si="56"/>
        <v>1.0125184443608362</v>
      </c>
      <c r="BL51" s="339">
        <f t="shared" si="56"/>
        <v>1.035600001258072</v>
      </c>
      <c r="BM51" s="340">
        <f t="shared" si="56"/>
        <v>1.0332107887450888</v>
      </c>
      <c r="BN51" s="81"/>
      <c r="BO51" s="81"/>
      <c r="BP51" s="81"/>
      <c r="BQ51" s="81"/>
      <c r="BR51" s="81"/>
    </row>
    <row r="52" spans="1:70" ht="13.5" thickBot="1">
      <c r="A52" s="734"/>
      <c r="B52" s="235"/>
      <c r="D52" s="180"/>
      <c r="E52" s="179"/>
      <c r="F52" s="179"/>
      <c r="G52" s="181"/>
      <c r="H52" s="181"/>
      <c r="I52" s="179"/>
      <c r="J52" s="179"/>
      <c r="K52" s="235"/>
      <c r="M52" s="180"/>
      <c r="N52" s="179"/>
      <c r="O52" s="179"/>
      <c r="P52" s="181"/>
      <c r="Q52" s="181"/>
      <c r="R52" s="179"/>
      <c r="S52" s="179"/>
      <c r="T52" s="235"/>
      <c r="V52" s="180"/>
      <c r="W52" s="179"/>
      <c r="X52" s="179"/>
      <c r="Y52" s="181"/>
      <c r="Z52" s="181"/>
      <c r="AA52" s="179"/>
      <c r="AB52" s="179"/>
      <c r="AC52" s="235"/>
      <c r="AE52" s="180"/>
      <c r="AF52" s="179"/>
      <c r="AG52" s="179"/>
      <c r="AH52" s="181"/>
      <c r="AI52" s="181"/>
      <c r="AJ52" s="179"/>
      <c r="AK52" s="179"/>
      <c r="AL52" s="235"/>
      <c r="AN52" s="180"/>
      <c r="AO52" s="179"/>
      <c r="AP52" s="179"/>
      <c r="AQ52" s="181"/>
      <c r="AR52" s="181"/>
      <c r="AS52" s="179"/>
      <c r="AT52" s="179"/>
      <c r="AU52" s="235"/>
      <c r="AV52" s="81"/>
      <c r="AW52" s="180"/>
      <c r="AX52" s="179"/>
      <c r="AY52" s="179"/>
      <c r="AZ52" s="181"/>
      <c r="BA52" s="181"/>
      <c r="BB52" s="179"/>
      <c r="BC52" s="179"/>
      <c r="BD52" s="235"/>
      <c r="BE52" s="81"/>
      <c r="BF52" s="180"/>
      <c r="BG52" s="179"/>
      <c r="BH52" s="179"/>
      <c r="BI52" s="181"/>
      <c r="BJ52" s="181"/>
      <c r="BK52" s="179"/>
      <c r="BL52" s="179"/>
      <c r="BM52" s="235"/>
      <c r="BN52" s="81"/>
      <c r="BO52" s="81"/>
      <c r="BP52" s="81"/>
      <c r="BQ52" s="81"/>
      <c r="BR52" s="81"/>
    </row>
    <row r="53" ht="12.75"/>
    <row r="54" spans="2:20" s="119" customFormat="1" ht="12.75">
      <c r="B54" s="220" t="s">
        <v>115</v>
      </c>
      <c r="D54" s="341">
        <v>918500653</v>
      </c>
      <c r="E54" s="341"/>
      <c r="F54" s="735">
        <v>2110101091</v>
      </c>
      <c r="G54" s="736"/>
      <c r="H54" s="736"/>
      <c r="I54" s="341">
        <v>281784328</v>
      </c>
      <c r="J54" s="341">
        <v>19110906</v>
      </c>
      <c r="K54" s="342">
        <f>SUM(D54:J54)</f>
        <v>3329496978</v>
      </c>
      <c r="M54" s="341"/>
      <c r="N54" s="341"/>
      <c r="O54" s="341"/>
      <c r="P54" s="343"/>
      <c r="Q54" s="343"/>
      <c r="R54" s="341"/>
      <c r="S54" s="341"/>
      <c r="T54" s="344"/>
    </row>
    <row r="55" spans="2:20" ht="12.75">
      <c r="B55" s="5"/>
      <c r="D55" s="345"/>
      <c r="E55" s="345"/>
      <c r="G55" s="346"/>
      <c r="H55" s="346"/>
      <c r="I55" s="347"/>
      <c r="J55" s="347"/>
      <c r="K55" s="5"/>
      <c r="P55" s="346"/>
      <c r="Q55" s="346"/>
      <c r="R55" s="347"/>
      <c r="S55" s="347"/>
      <c r="T55" s="5"/>
    </row>
    <row r="56" spans="2:65" s="119" customFormat="1" ht="12.75">
      <c r="B56" s="220" t="s">
        <v>116</v>
      </c>
      <c r="D56" s="348"/>
      <c r="E56" s="348"/>
      <c r="G56" s="343"/>
      <c r="H56" s="343"/>
      <c r="I56" s="341"/>
      <c r="J56" s="341"/>
      <c r="K56" s="220"/>
      <c r="M56" s="341">
        <v>966448805</v>
      </c>
      <c r="N56" s="341"/>
      <c r="O56" s="737">
        <v>2317026840</v>
      </c>
      <c r="P56" s="738"/>
      <c r="Q56" s="738"/>
      <c r="R56" s="341">
        <v>294248777</v>
      </c>
      <c r="S56" s="341">
        <v>21710597</v>
      </c>
      <c r="T56" s="344">
        <f>SUM(M56:S56)</f>
        <v>3599435019</v>
      </c>
      <c r="V56" s="341">
        <v>1104270425</v>
      </c>
      <c r="W56" s="341"/>
      <c r="X56" s="341">
        <v>304064860</v>
      </c>
      <c r="Y56" s="341">
        <v>2108467545</v>
      </c>
      <c r="Z56" s="349"/>
      <c r="AA56" s="341">
        <v>308575243</v>
      </c>
      <c r="AB56" s="341">
        <v>22688359</v>
      </c>
      <c r="AC56" s="344">
        <f>SUM(V56:AB56)</f>
        <v>3848066432</v>
      </c>
      <c r="AE56" s="341">
        <f>1075118931</f>
        <v>1075118931</v>
      </c>
      <c r="AF56" s="341"/>
      <c r="AG56" s="341">
        <v>296334369</v>
      </c>
      <c r="AH56" s="735">
        <v>2107263059</v>
      </c>
      <c r="AI56" s="739"/>
      <c r="AJ56" s="341">
        <v>340579142</v>
      </c>
      <c r="AK56" s="341">
        <v>23784499</v>
      </c>
      <c r="AL56" s="342">
        <f>SUM(AE56:AK56)</f>
        <v>3843080000</v>
      </c>
      <c r="AN56" s="341">
        <v>1141600000</v>
      </c>
      <c r="AO56" s="341"/>
      <c r="AP56" s="341">
        <v>314700000</v>
      </c>
      <c r="AQ56" s="737">
        <v>2124100000</v>
      </c>
      <c r="AR56" s="737"/>
      <c r="AS56" s="341">
        <v>359900000</v>
      </c>
      <c r="AT56" s="341">
        <v>26700000</v>
      </c>
      <c r="AU56" s="342">
        <f>SUM(AN56:AT56)</f>
        <v>3967000000</v>
      </c>
      <c r="AW56" s="341">
        <v>1136600000</v>
      </c>
      <c r="AX56" s="341"/>
      <c r="AY56" s="341">
        <v>304000000</v>
      </c>
      <c r="AZ56" s="341">
        <v>1152900000</v>
      </c>
      <c r="BA56" s="341">
        <v>899700000</v>
      </c>
      <c r="BB56" s="341">
        <v>392300000</v>
      </c>
      <c r="BC56" s="350">
        <v>27600000</v>
      </c>
      <c r="BD56" s="351">
        <f>SUM(AW56:BC56)</f>
        <v>3913100000</v>
      </c>
      <c r="BF56" s="350">
        <v>1121000000</v>
      </c>
      <c r="BG56" s="740">
        <v>296400000</v>
      </c>
      <c r="BH56" s="736"/>
      <c r="BI56" s="350">
        <v>1116100000</v>
      </c>
      <c r="BJ56" s="350">
        <v>815600000</v>
      </c>
      <c r="BK56" s="350">
        <v>346800000</v>
      </c>
      <c r="BL56" s="350">
        <v>28300000</v>
      </c>
      <c r="BM56" s="146">
        <f>SUM(BF56:BL56)</f>
        <v>3724200000</v>
      </c>
    </row>
    <row r="57" spans="2:56" ht="12.75">
      <c r="B57" s="5"/>
      <c r="D57" s="345"/>
      <c r="E57" s="345"/>
      <c r="G57" s="346"/>
      <c r="H57" s="346"/>
      <c r="I57" s="347"/>
      <c r="J57" s="347"/>
      <c r="K57" s="5"/>
      <c r="P57" s="346"/>
      <c r="Q57" s="346"/>
      <c r="R57" s="347"/>
      <c r="S57" s="347"/>
      <c r="T57" s="5"/>
      <c r="AE57" s="347"/>
      <c r="AF57" s="347"/>
      <c r="AG57" s="347"/>
      <c r="AH57" s="191"/>
      <c r="AI57" s="191"/>
      <c r="AJ57" s="347"/>
      <c r="AK57" s="347"/>
      <c r="AL57" s="352"/>
      <c r="AN57" s="353"/>
      <c r="AO57" s="353"/>
      <c r="AP57" s="353"/>
      <c r="AQ57" s="346"/>
      <c r="AR57" s="346"/>
      <c r="AS57" s="347"/>
      <c r="AT57" s="347"/>
      <c r="AU57" s="353"/>
      <c r="AW57" s="354"/>
      <c r="AX57" s="354"/>
      <c r="AY57" s="354"/>
      <c r="AZ57" s="354"/>
      <c r="BA57" s="354"/>
      <c r="BB57" s="354"/>
      <c r="BC57" s="354"/>
      <c r="BD57" s="355"/>
    </row>
    <row r="58" spans="2:56" s="119" customFormat="1" ht="12.75">
      <c r="B58" s="220" t="s">
        <v>117</v>
      </c>
      <c r="D58" s="348"/>
      <c r="E58" s="348"/>
      <c r="G58" s="349"/>
      <c r="H58" s="349"/>
      <c r="I58" s="342"/>
      <c r="J58" s="342"/>
      <c r="K58" s="342">
        <v>3547487092</v>
      </c>
      <c r="P58" s="349"/>
      <c r="Q58" s="349"/>
      <c r="R58" s="342"/>
      <c r="S58" s="342"/>
      <c r="T58" s="342">
        <v>3599518806</v>
      </c>
      <c r="AC58" s="342">
        <v>3848066432</v>
      </c>
      <c r="AE58" s="342"/>
      <c r="AF58" s="342"/>
      <c r="AG58" s="342"/>
      <c r="AJ58" s="342"/>
      <c r="AK58" s="342"/>
      <c r="AL58" s="342">
        <v>3858671535</v>
      </c>
      <c r="AN58" s="349"/>
      <c r="AO58" s="349"/>
      <c r="AP58" s="349"/>
      <c r="AQ58" s="349"/>
      <c r="AR58" s="349"/>
      <c r="AS58" s="342"/>
      <c r="AT58" s="342"/>
      <c r="AU58" s="342">
        <v>3962800000</v>
      </c>
      <c r="AW58" s="342"/>
      <c r="AX58" s="349"/>
      <c r="AY58" s="349"/>
      <c r="AZ58" s="349"/>
      <c r="BA58" s="349"/>
      <c r="BB58" s="309"/>
      <c r="BC58" s="309"/>
      <c r="BD58" s="356">
        <v>3913100000</v>
      </c>
    </row>
    <row r="59" spans="16:56" ht="12.75">
      <c r="P59" s="346"/>
      <c r="Q59" s="346"/>
      <c r="R59" s="347"/>
      <c r="S59" s="347"/>
      <c r="T59" s="5"/>
      <c r="AC59" s="5"/>
      <c r="AE59" s="347"/>
      <c r="AF59" s="347"/>
      <c r="AG59" s="347"/>
      <c r="AH59" s="191"/>
      <c r="AI59" s="191"/>
      <c r="AJ59" s="347"/>
      <c r="AK59" s="347"/>
      <c r="AL59" s="352"/>
      <c r="AN59" s="353"/>
      <c r="AO59" s="353"/>
      <c r="AP59" s="353"/>
      <c r="AQ59" s="353"/>
      <c r="AR59" s="353"/>
      <c r="AS59" s="353"/>
      <c r="AT59" s="353"/>
      <c r="AU59" s="353"/>
      <c r="AW59" s="346"/>
      <c r="AX59" s="346"/>
      <c r="AY59" s="346"/>
      <c r="AZ59" s="346"/>
      <c r="BA59" s="346"/>
      <c r="BB59" s="315"/>
      <c r="BC59" s="315"/>
      <c r="BD59" s="172"/>
    </row>
    <row r="60" spans="2:65" s="119" customFormat="1" ht="12.75">
      <c r="B60" s="260" t="s">
        <v>118</v>
      </c>
      <c r="G60" s="692"/>
      <c r="H60" s="692"/>
      <c r="P60" s="343"/>
      <c r="Q60" s="343"/>
      <c r="R60" s="341"/>
      <c r="S60" s="341"/>
      <c r="T60" s="342">
        <v>3483144427</v>
      </c>
      <c r="AC60" s="342">
        <v>3723506554</v>
      </c>
      <c r="AH60" s="692"/>
      <c r="AI60" s="692"/>
      <c r="AJ60" s="46"/>
      <c r="AK60" s="46"/>
      <c r="AL60" s="356">
        <v>3718723113</v>
      </c>
      <c r="AN60" s="341"/>
      <c r="AO60" s="341"/>
      <c r="AP60" s="349"/>
      <c r="AQ60" s="349"/>
      <c r="AR60" s="349"/>
      <c r="AS60" s="349"/>
      <c r="AT60" s="350"/>
      <c r="AU60" s="356">
        <v>3839000000</v>
      </c>
      <c r="AW60" s="693"/>
      <c r="AX60" s="693"/>
      <c r="AY60" s="693"/>
      <c r="AZ60" s="693"/>
      <c r="BA60" s="693"/>
      <c r="BB60" s="694"/>
      <c r="BC60" s="298"/>
      <c r="BD60" s="351">
        <v>3791763566</v>
      </c>
      <c r="BM60" s="344">
        <f>BM34</f>
        <v>3611622564</v>
      </c>
    </row>
    <row r="61" spans="16:20" ht="12.75">
      <c r="P61" s="346"/>
      <c r="Q61" s="346"/>
      <c r="R61" s="347"/>
      <c r="S61" s="347"/>
      <c r="T61" s="5"/>
    </row>
    <row r="62" spans="2:65" ht="12.75">
      <c r="B62" s="357" t="s">
        <v>119</v>
      </c>
      <c r="K62" s="543">
        <f>K54/K34</f>
        <v>1</v>
      </c>
      <c r="P62" s="346"/>
      <c r="Q62" s="346"/>
      <c r="R62" s="347"/>
      <c r="S62" s="347"/>
      <c r="T62" s="545">
        <f>T60/T34</f>
        <v>1.0000240555674047</v>
      </c>
      <c r="AC62" s="545">
        <f>AC60/AC34</f>
        <v>1</v>
      </c>
      <c r="AL62" s="547">
        <f>AL60/AL34</f>
        <v>0.9935437615519133</v>
      </c>
      <c r="AU62" s="547">
        <f>AU60/AU34</f>
        <v>0.9999375720141938</v>
      </c>
      <c r="BD62" s="547">
        <f>BD60/BD34</f>
        <v>1.0036113062517622</v>
      </c>
      <c r="BM62" s="548">
        <f>BM60/BM34</f>
        <v>1</v>
      </c>
    </row>
    <row r="63" ht="13.5" thickBot="1"/>
    <row r="64" spans="4:65" ht="13.5" thickBot="1">
      <c r="D64" s="720" t="s">
        <v>120</v>
      </c>
      <c r="E64" s="721"/>
      <c r="F64" s="721"/>
      <c r="G64" s="721"/>
      <c r="H64" s="721"/>
      <c r="I64" s="721"/>
      <c r="J64" s="721"/>
      <c r="K64" s="159"/>
      <c r="M64" s="720" t="s">
        <v>121</v>
      </c>
      <c r="N64" s="721"/>
      <c r="O64" s="721"/>
      <c r="P64" s="721"/>
      <c r="Q64" s="721"/>
      <c r="R64" s="721"/>
      <c r="S64" s="721"/>
      <c r="T64" s="159"/>
      <c r="V64" s="720" t="s">
        <v>122</v>
      </c>
      <c r="W64" s="721"/>
      <c r="X64" s="721"/>
      <c r="Y64" s="721"/>
      <c r="Z64" s="721"/>
      <c r="AA64" s="721"/>
      <c r="AB64" s="721"/>
      <c r="AC64" s="159"/>
      <c r="AE64" s="720" t="s">
        <v>123</v>
      </c>
      <c r="AF64" s="721"/>
      <c r="AG64" s="721"/>
      <c r="AH64" s="721"/>
      <c r="AI64" s="721"/>
      <c r="AJ64" s="721"/>
      <c r="AK64" s="721"/>
      <c r="AL64" s="159"/>
      <c r="AN64" s="720" t="s">
        <v>124</v>
      </c>
      <c r="AO64" s="721"/>
      <c r="AP64" s="721"/>
      <c r="AQ64" s="721"/>
      <c r="AR64" s="721"/>
      <c r="AS64" s="721"/>
      <c r="AT64" s="721"/>
      <c r="AU64" s="159"/>
      <c r="AW64" s="720" t="s">
        <v>125</v>
      </c>
      <c r="AX64" s="741"/>
      <c r="AY64" s="741"/>
      <c r="AZ64" s="741"/>
      <c r="BA64" s="741"/>
      <c r="BB64" s="741"/>
      <c r="BC64" s="741"/>
      <c r="BD64" s="742"/>
      <c r="BF64" s="720" t="s">
        <v>126</v>
      </c>
      <c r="BG64" s="721"/>
      <c r="BH64" s="721"/>
      <c r="BI64" s="721"/>
      <c r="BJ64" s="721"/>
      <c r="BK64" s="721"/>
      <c r="BL64" s="721"/>
      <c r="BM64" s="160"/>
    </row>
    <row r="65" spans="4:65" ht="13.5" thickBot="1">
      <c r="D65" s="300" t="s">
        <v>75</v>
      </c>
      <c r="E65" s="225"/>
      <c r="F65" s="225" t="s">
        <v>77</v>
      </c>
      <c r="G65" s="301" t="s">
        <v>78</v>
      </c>
      <c r="H65" s="301" t="s">
        <v>79</v>
      </c>
      <c r="I65" s="162" t="s">
        <v>92</v>
      </c>
      <c r="J65" s="225" t="s">
        <v>81</v>
      </c>
      <c r="K65" s="160" t="s">
        <v>82</v>
      </c>
      <c r="M65" s="300" t="s">
        <v>75</v>
      </c>
      <c r="N65" s="225"/>
      <c r="O65" s="225" t="s">
        <v>77</v>
      </c>
      <c r="P65" s="301" t="s">
        <v>78</v>
      </c>
      <c r="Q65" s="301" t="s">
        <v>79</v>
      </c>
      <c r="R65" s="225" t="s">
        <v>80</v>
      </c>
      <c r="S65" s="225" t="s">
        <v>81</v>
      </c>
      <c r="T65" s="160" t="s">
        <v>82</v>
      </c>
      <c r="V65" s="161" t="s">
        <v>75</v>
      </c>
      <c r="W65" s="162"/>
      <c r="X65" s="162" t="s">
        <v>77</v>
      </c>
      <c r="Y65" s="302" t="s">
        <v>78</v>
      </c>
      <c r="Z65" s="302" t="s">
        <v>79</v>
      </c>
      <c r="AA65" s="162" t="s">
        <v>80</v>
      </c>
      <c r="AB65" s="162" t="s">
        <v>81</v>
      </c>
      <c r="AC65" s="163" t="s">
        <v>82</v>
      </c>
      <c r="AE65" s="164" t="s">
        <v>75</v>
      </c>
      <c r="AF65" s="165"/>
      <c r="AG65" s="165" t="s">
        <v>77</v>
      </c>
      <c r="AH65" s="358" t="s">
        <v>78</v>
      </c>
      <c r="AI65" s="358" t="s">
        <v>79</v>
      </c>
      <c r="AJ65" s="166" t="s">
        <v>80</v>
      </c>
      <c r="AK65" s="165" t="s">
        <v>81</v>
      </c>
      <c r="AL65" s="163" t="s">
        <v>82</v>
      </c>
      <c r="AN65" s="161" t="s">
        <v>75</v>
      </c>
      <c r="AO65" s="162"/>
      <c r="AP65" s="162" t="s">
        <v>77</v>
      </c>
      <c r="AQ65" s="302" t="s">
        <v>78</v>
      </c>
      <c r="AR65" s="302" t="s">
        <v>79</v>
      </c>
      <c r="AS65" s="162" t="s">
        <v>80</v>
      </c>
      <c r="AT65" s="162" t="s">
        <v>81</v>
      </c>
      <c r="AU65" s="167" t="s">
        <v>82</v>
      </c>
      <c r="AW65" s="359" t="s">
        <v>75</v>
      </c>
      <c r="AX65" s="302" t="s">
        <v>101</v>
      </c>
      <c r="AY65" s="302" t="s">
        <v>77</v>
      </c>
      <c r="AZ65" s="302" t="s">
        <v>78</v>
      </c>
      <c r="BA65" s="302" t="s">
        <v>79</v>
      </c>
      <c r="BB65" s="162" t="s">
        <v>80</v>
      </c>
      <c r="BC65" s="162" t="s">
        <v>81</v>
      </c>
      <c r="BD65" s="168" t="s">
        <v>82</v>
      </c>
      <c r="BF65" s="161" t="s">
        <v>75</v>
      </c>
      <c r="BG65" s="302" t="s">
        <v>101</v>
      </c>
      <c r="BH65" s="302" t="s">
        <v>77</v>
      </c>
      <c r="BI65" s="302" t="s">
        <v>78</v>
      </c>
      <c r="BJ65" s="302" t="s">
        <v>79</v>
      </c>
      <c r="BK65" s="162" t="s">
        <v>80</v>
      </c>
      <c r="BL65" s="162" t="s">
        <v>81</v>
      </c>
      <c r="BM65" s="168" t="s">
        <v>82</v>
      </c>
    </row>
    <row r="66" spans="1:65" ht="12.75">
      <c r="A66" s="360"/>
      <c r="B66" s="331" t="s">
        <v>9</v>
      </c>
      <c r="D66" s="305">
        <f>D21*$K$62</f>
        <v>95835825</v>
      </c>
      <c r="E66" s="306">
        <f aca="true" t="shared" si="57" ref="E66:J66">E21*$K$62</f>
        <v>626894.3124758593</v>
      </c>
      <c r="F66" s="306">
        <f t="shared" si="57"/>
        <v>27500622.68752414</v>
      </c>
      <c r="G66" s="306">
        <f t="shared" si="57"/>
        <v>103812165</v>
      </c>
      <c r="H66" s="306">
        <f t="shared" si="57"/>
        <v>69160178</v>
      </c>
      <c r="I66" s="306">
        <f t="shared" si="57"/>
        <v>24321611</v>
      </c>
      <c r="J66" s="306">
        <f t="shared" si="57"/>
        <v>2167609</v>
      </c>
      <c r="K66" s="361">
        <f>SUM(D66:J66)</f>
        <v>323424905</v>
      </c>
      <c r="M66" s="253">
        <f>$T$62*M21</f>
        <v>96703333.19759199</v>
      </c>
      <c r="N66" s="254">
        <f aca="true" t="shared" si="58" ref="N66:S66">$T$62*N21</f>
        <v>484803.48954645166</v>
      </c>
      <c r="O66" s="254">
        <f t="shared" si="58"/>
        <v>25198404.31972842</v>
      </c>
      <c r="P66" s="254">
        <f t="shared" si="58"/>
        <v>104155437.45787612</v>
      </c>
      <c r="Q66" s="254">
        <f t="shared" si="58"/>
        <v>73019151.47486714</v>
      </c>
      <c r="R66" s="254">
        <f t="shared" si="58"/>
        <v>24579195.252265237</v>
      </c>
      <c r="S66" s="254">
        <f t="shared" si="58"/>
        <v>2339254.270735162</v>
      </c>
      <c r="T66" s="255">
        <f>SUM(M66:S66)</f>
        <v>326479579.4626105</v>
      </c>
      <c r="V66" s="304">
        <f>V21*$AC$62</f>
        <v>101234974</v>
      </c>
      <c r="W66" s="256">
        <f aca="true" t="shared" si="59" ref="W66:AB66">W21*$AC$62</f>
        <v>460680.92571134283</v>
      </c>
      <c r="X66" s="256">
        <f t="shared" si="59"/>
        <v>26413664.07428866</v>
      </c>
      <c r="Y66" s="256">
        <f t="shared" si="59"/>
        <v>90654817</v>
      </c>
      <c r="Z66" s="256">
        <f t="shared" si="59"/>
        <v>74924606</v>
      </c>
      <c r="AA66" s="256">
        <f t="shared" si="59"/>
        <v>25094959</v>
      </c>
      <c r="AB66" s="256">
        <f t="shared" si="59"/>
        <v>2257824</v>
      </c>
      <c r="AC66" s="259">
        <f>SUM(V66:AB66)</f>
        <v>321041525</v>
      </c>
      <c r="AD66" s="256"/>
      <c r="AE66" s="304">
        <f>AE21*$AL$62</f>
        <v>98458354.6750983</v>
      </c>
      <c r="AF66" s="256">
        <f aca="true" t="shared" si="60" ref="AF66:AK66">AF21*$AL$62</f>
        <v>441237.2200826389</v>
      </c>
      <c r="AG66" s="256">
        <f t="shared" si="60"/>
        <v>26342127.325927</v>
      </c>
      <c r="AH66" s="256">
        <f t="shared" si="60"/>
        <v>91006866.87594126</v>
      </c>
      <c r="AI66" s="256">
        <f t="shared" si="60"/>
        <v>79832836.87197728</v>
      </c>
      <c r="AJ66" s="256">
        <f t="shared" si="60"/>
        <v>25883693.779680435</v>
      </c>
      <c r="AK66" s="256">
        <f t="shared" si="60"/>
        <v>2449964.6584544396</v>
      </c>
      <c r="AL66" s="259">
        <f>SUM(AE66:AK66)</f>
        <v>324415081.40716136</v>
      </c>
      <c r="AN66" s="304">
        <f>AN21*$AU$62</f>
        <v>93319104.91253217</v>
      </c>
      <c r="AO66" s="256">
        <f aca="true" t="shared" si="61" ref="AO66:AT66">AO21*$AU$62</f>
        <v>420607.0289819398</v>
      </c>
      <c r="AP66" s="256">
        <f t="shared" si="61"/>
        <v>24217861.745010797</v>
      </c>
      <c r="AQ66" s="256">
        <f t="shared" si="61"/>
        <v>95905359.44779083</v>
      </c>
      <c r="AR66" s="256">
        <f t="shared" si="61"/>
        <v>77848768.75475383</v>
      </c>
      <c r="AS66" s="256">
        <f t="shared" si="61"/>
        <v>23769132.048321746</v>
      </c>
      <c r="AT66" s="256">
        <f t="shared" si="61"/>
        <v>2596872.8723358815</v>
      </c>
      <c r="AU66" s="259">
        <f>SUM(AN66:AT66)</f>
        <v>318077706.8097272</v>
      </c>
      <c r="AW66" s="304">
        <f>AW21*$BD$62</f>
        <v>98653851.30210432</v>
      </c>
      <c r="AX66" s="256">
        <f aca="true" t="shared" si="62" ref="AX66:BC66">AX21*$BD$62</f>
        <v>425756.5282999154</v>
      </c>
      <c r="AY66" s="256">
        <f t="shared" si="62"/>
        <v>25297275.95908061</v>
      </c>
      <c r="AZ66" s="256">
        <f t="shared" si="62"/>
        <v>99785778.3283056</v>
      </c>
      <c r="BA66" s="256">
        <f t="shared" si="62"/>
        <v>72886783.36143939</v>
      </c>
      <c r="BB66" s="256">
        <f t="shared" si="62"/>
        <v>32686172.033504974</v>
      </c>
      <c r="BC66" s="256">
        <f t="shared" si="62"/>
        <v>2837550.390617857</v>
      </c>
      <c r="BD66" s="303">
        <f>SUM(AW66:BC66)</f>
        <v>332573167.9033527</v>
      </c>
      <c r="BF66" s="304">
        <f>BF21*$BM$62</f>
        <v>114929995</v>
      </c>
      <c r="BG66" s="256">
        <f aca="true" t="shared" si="63" ref="BG66:BL66">BG21*$BM$62</f>
        <v>425415.37916827603</v>
      </c>
      <c r="BH66" s="256">
        <f t="shared" si="63"/>
        <v>27400042.620831724</v>
      </c>
      <c r="BI66" s="256">
        <f t="shared" si="63"/>
        <v>98470898</v>
      </c>
      <c r="BJ66" s="256">
        <f t="shared" si="63"/>
        <v>62466253</v>
      </c>
      <c r="BK66" s="256">
        <f t="shared" si="63"/>
        <v>30269110</v>
      </c>
      <c r="BL66" s="256">
        <f t="shared" si="63"/>
        <v>2869091</v>
      </c>
      <c r="BM66" s="259">
        <f>SUM(BF66:BL66)</f>
        <v>336830805</v>
      </c>
    </row>
    <row r="67" spans="1:65" ht="12.75">
      <c r="A67" s="360"/>
      <c r="B67" s="316" t="s">
        <v>10</v>
      </c>
      <c r="D67" s="304">
        <f aca="true" t="shared" si="64" ref="D67:J77">D22*$K$62</f>
        <v>80671677</v>
      </c>
      <c r="E67" s="256">
        <f t="shared" si="64"/>
        <v>626894.3124758593</v>
      </c>
      <c r="F67" s="256">
        <f t="shared" si="64"/>
        <v>24649020.68752414</v>
      </c>
      <c r="G67" s="256">
        <f t="shared" si="64"/>
        <v>89968164</v>
      </c>
      <c r="H67" s="256">
        <f t="shared" si="64"/>
        <v>64846317</v>
      </c>
      <c r="I67" s="256">
        <f t="shared" si="64"/>
        <v>23902704</v>
      </c>
      <c r="J67" s="256">
        <f t="shared" si="64"/>
        <v>1773999</v>
      </c>
      <c r="K67" s="259">
        <f aca="true" t="shared" si="65" ref="K67:K77">SUM(D67:J67)</f>
        <v>286438776</v>
      </c>
      <c r="M67" s="253">
        <f aca="true" t="shared" si="66" ref="M67:S77">$T$62*M22</f>
        <v>84636165.92201896</v>
      </c>
      <c r="N67" s="254">
        <f t="shared" si="66"/>
        <v>484803.48954645166</v>
      </c>
      <c r="O67" s="254">
        <f t="shared" si="66"/>
        <v>24601913.971159797</v>
      </c>
      <c r="P67" s="254">
        <f t="shared" si="66"/>
        <v>83965293.78419723</v>
      </c>
      <c r="Q67" s="254">
        <f t="shared" si="66"/>
        <v>74306616.4448225</v>
      </c>
      <c r="R67" s="254">
        <f t="shared" si="66"/>
        <v>21771546.714311246</v>
      </c>
      <c r="S67" s="254">
        <f t="shared" si="66"/>
        <v>1849319.4853594124</v>
      </c>
      <c r="T67" s="255">
        <f aca="true" t="shared" si="67" ref="T67:T77">SUM(M67:S67)</f>
        <v>291615659.8114156</v>
      </c>
      <c r="V67" s="304">
        <f aca="true" t="shared" si="68" ref="V67:AB77">V22*$AC$62</f>
        <v>86270169</v>
      </c>
      <c r="W67" s="256">
        <f t="shared" si="68"/>
        <v>460680.92571134283</v>
      </c>
      <c r="X67" s="256">
        <f t="shared" si="68"/>
        <v>24209751.07428866</v>
      </c>
      <c r="Y67" s="256">
        <f t="shared" si="68"/>
        <v>92165629</v>
      </c>
      <c r="Z67" s="256">
        <f t="shared" si="68"/>
        <v>72579489</v>
      </c>
      <c r="AA67" s="256">
        <f t="shared" si="68"/>
        <v>22740386</v>
      </c>
      <c r="AB67" s="256">
        <f t="shared" si="68"/>
        <v>1879556</v>
      </c>
      <c r="AC67" s="259">
        <f aca="true" t="shared" si="69" ref="AC67:AC77">SUM(V67:AB67)</f>
        <v>300305661</v>
      </c>
      <c r="AE67" s="304">
        <f aca="true" t="shared" si="70" ref="AE67:AK77">AE22*$AL$62</f>
        <v>83349754.26634966</v>
      </c>
      <c r="AF67" s="256">
        <f t="shared" si="70"/>
        <v>441237.2200826389</v>
      </c>
      <c r="AG67" s="256">
        <f t="shared" si="70"/>
        <v>24334630.426873375</v>
      </c>
      <c r="AH67" s="256">
        <f t="shared" si="70"/>
        <v>89730272.43216081</v>
      </c>
      <c r="AI67" s="256">
        <f t="shared" si="70"/>
        <v>74288762.33459769</v>
      </c>
      <c r="AJ67" s="256">
        <f t="shared" si="70"/>
        <v>26895910.202686954</v>
      </c>
      <c r="AK67" s="256">
        <f t="shared" si="70"/>
        <v>2026620.6293759772</v>
      </c>
      <c r="AL67" s="259">
        <f aca="true" t="shared" si="71" ref="AL67:AL77">SUM(AE67:AK67)</f>
        <v>301067187.51212716</v>
      </c>
      <c r="AN67" s="304">
        <f aca="true" t="shared" si="72" ref="AN67:AT77">AN22*$AU$62</f>
        <v>102055857.46061663</v>
      </c>
      <c r="AO67" s="256">
        <f t="shared" si="72"/>
        <v>420607.0289819398</v>
      </c>
      <c r="AP67" s="256">
        <f t="shared" si="72"/>
        <v>27955450.400312036</v>
      </c>
      <c r="AQ67" s="256">
        <f t="shared" si="72"/>
        <v>94967064.02734102</v>
      </c>
      <c r="AR67" s="256">
        <f t="shared" si="72"/>
        <v>73114414.32941683</v>
      </c>
      <c r="AS67" s="256">
        <f t="shared" si="72"/>
        <v>25338044.098187737</v>
      </c>
      <c r="AT67" s="256">
        <f t="shared" si="72"/>
        <v>2209984.026535154</v>
      </c>
      <c r="AU67" s="259">
        <f aca="true" t="shared" si="73" ref="AU67:AU77">SUM(AN67:AT67)</f>
        <v>326061421.37139136</v>
      </c>
      <c r="AW67" s="304">
        <f aca="true" t="shared" si="74" ref="AW67:BC77">AW22*$BD$62</f>
        <v>100180658.22925211</v>
      </c>
      <c r="AX67" s="256">
        <f t="shared" si="74"/>
        <v>425756.5282999154</v>
      </c>
      <c r="AY67" s="256">
        <f t="shared" si="74"/>
        <v>26787608.64052529</v>
      </c>
      <c r="AZ67" s="256">
        <f t="shared" si="74"/>
        <v>95821283.84162201</v>
      </c>
      <c r="BA67" s="256">
        <f t="shared" si="74"/>
        <v>68211313.56401485</v>
      </c>
      <c r="BB67" s="256">
        <f t="shared" si="74"/>
        <v>32565026.11272732</v>
      </c>
      <c r="BC67" s="256">
        <f t="shared" si="74"/>
        <v>2414791.1711949776</v>
      </c>
      <c r="BD67" s="303">
        <f aca="true" t="shared" si="75" ref="BD67:BD77">SUM(AW67:BC67)</f>
        <v>326406438.0876365</v>
      </c>
      <c r="BF67" s="304">
        <f aca="true" t="shared" si="76" ref="BF67:BL77">BF22*$BM$62</f>
        <v>100314756</v>
      </c>
      <c r="BG67" s="256">
        <f t="shared" si="76"/>
        <v>425415.37916827603</v>
      </c>
      <c r="BH67" s="256">
        <f t="shared" si="76"/>
        <v>26081127.620831724</v>
      </c>
      <c r="BI67" s="256">
        <f t="shared" si="76"/>
        <v>89223138</v>
      </c>
      <c r="BJ67" s="256">
        <f t="shared" si="76"/>
        <v>59894713</v>
      </c>
      <c r="BK67" s="256">
        <f t="shared" si="76"/>
        <v>27575448</v>
      </c>
      <c r="BL67" s="256">
        <f t="shared" si="76"/>
        <v>2376729</v>
      </c>
      <c r="BM67" s="259">
        <f aca="true" t="shared" si="77" ref="BM67:BM77">SUM(BF67:BL67)</f>
        <v>305891327</v>
      </c>
    </row>
    <row r="68" spans="1:65" ht="12.75">
      <c r="A68" s="360"/>
      <c r="B68" s="316" t="s">
        <v>11</v>
      </c>
      <c r="D68" s="304">
        <f t="shared" si="64"/>
        <v>76572741</v>
      </c>
      <c r="E68" s="256">
        <f t="shared" si="64"/>
        <v>626894.3124758593</v>
      </c>
      <c r="F68" s="256">
        <f t="shared" si="64"/>
        <v>22593438.68752414</v>
      </c>
      <c r="G68" s="256">
        <f t="shared" si="64"/>
        <v>79323772</v>
      </c>
      <c r="H68" s="256">
        <f t="shared" si="64"/>
        <v>71031338</v>
      </c>
      <c r="I68" s="256">
        <f t="shared" si="64"/>
        <v>27167404</v>
      </c>
      <c r="J68" s="256">
        <f t="shared" si="64"/>
        <v>1628909</v>
      </c>
      <c r="K68" s="259">
        <f t="shared" si="65"/>
        <v>278944497</v>
      </c>
      <c r="M68" s="253">
        <f t="shared" si="66"/>
        <v>69377650.87861127</v>
      </c>
      <c r="N68" s="254">
        <f t="shared" si="66"/>
        <v>484803.48954645166</v>
      </c>
      <c r="O68" s="254">
        <f t="shared" si="66"/>
        <v>20291117.274993774</v>
      </c>
      <c r="P68" s="254">
        <f t="shared" si="66"/>
        <v>89048340.05681813</v>
      </c>
      <c r="Q68" s="254">
        <f t="shared" si="66"/>
        <v>80324216.19811687</v>
      </c>
      <c r="R68" s="254">
        <f t="shared" si="66"/>
        <v>24118324.16601644</v>
      </c>
      <c r="S68" s="254">
        <f t="shared" si="66"/>
        <v>2000257.116162423</v>
      </c>
      <c r="T68" s="255">
        <f t="shared" si="67"/>
        <v>285644709.18026537</v>
      </c>
      <c r="V68" s="304">
        <f t="shared" si="68"/>
        <v>79078475</v>
      </c>
      <c r="W68" s="256">
        <f t="shared" si="68"/>
        <v>460680.92571134283</v>
      </c>
      <c r="X68" s="256">
        <f t="shared" si="68"/>
        <v>23356969.07428866</v>
      </c>
      <c r="Y68" s="256">
        <f t="shared" si="68"/>
        <v>90387744</v>
      </c>
      <c r="Z68" s="256">
        <f t="shared" si="68"/>
        <v>77590145</v>
      </c>
      <c r="AA68" s="256">
        <f t="shared" si="68"/>
        <v>24524462</v>
      </c>
      <c r="AB68" s="256">
        <f t="shared" si="68"/>
        <v>1857430</v>
      </c>
      <c r="AC68" s="259">
        <f t="shared" si="69"/>
        <v>297255906</v>
      </c>
      <c r="AE68" s="304">
        <f t="shared" si="70"/>
        <v>80562836.19597122</v>
      </c>
      <c r="AF68" s="256">
        <f t="shared" si="70"/>
        <v>441237.2200826389</v>
      </c>
      <c r="AG68" s="256">
        <f t="shared" si="70"/>
        <v>22842106.136763576</v>
      </c>
      <c r="AH68" s="256">
        <f t="shared" si="70"/>
        <v>91160102.12382917</v>
      </c>
      <c r="AI68" s="256">
        <f t="shared" si="70"/>
        <v>79825722.10510081</v>
      </c>
      <c r="AJ68" s="256">
        <f t="shared" si="70"/>
        <v>29311709.87181291</v>
      </c>
      <c r="AK68" s="256">
        <f t="shared" si="70"/>
        <v>2009462.1286139756</v>
      </c>
      <c r="AL68" s="259">
        <f t="shared" si="71"/>
        <v>306153175.7821742</v>
      </c>
      <c r="AN68" s="304">
        <f t="shared" si="72"/>
        <v>86845356.08086376</v>
      </c>
      <c r="AO68" s="256">
        <f t="shared" si="72"/>
        <v>420607.0289819398</v>
      </c>
      <c r="AP68" s="256">
        <f t="shared" si="72"/>
        <v>24862107.523533534</v>
      </c>
      <c r="AQ68" s="256">
        <f t="shared" si="72"/>
        <v>93112012.84168017</v>
      </c>
      <c r="AR68" s="256">
        <f t="shared" si="72"/>
        <v>79724487.65009063</v>
      </c>
      <c r="AS68" s="256">
        <f t="shared" si="72"/>
        <v>30151982.554943778</v>
      </c>
      <c r="AT68" s="256">
        <f t="shared" si="72"/>
        <v>2254407.2531094565</v>
      </c>
      <c r="AU68" s="259">
        <f t="shared" si="73"/>
        <v>317370960.9332033</v>
      </c>
      <c r="AW68" s="304">
        <f t="shared" si="74"/>
        <v>94619365.96653403</v>
      </c>
      <c r="AX68" s="256">
        <f t="shared" si="74"/>
        <v>425756.5282999154</v>
      </c>
      <c r="AY68" s="256">
        <f t="shared" si="74"/>
        <v>25978437.992358048</v>
      </c>
      <c r="AZ68" s="256">
        <f t="shared" si="74"/>
        <v>97233384.01813306</v>
      </c>
      <c r="BA68" s="256">
        <f t="shared" si="74"/>
        <v>71242085.22498013</v>
      </c>
      <c r="BB68" s="256">
        <f t="shared" si="74"/>
        <v>31924883.680759005</v>
      </c>
      <c r="BC68" s="256">
        <f t="shared" si="74"/>
        <v>2349819.382450851</v>
      </c>
      <c r="BD68" s="303">
        <f t="shared" si="75"/>
        <v>323773732.7935151</v>
      </c>
      <c r="BF68" s="304">
        <f t="shared" si="76"/>
        <v>84993353</v>
      </c>
      <c r="BG68" s="256">
        <f t="shared" si="76"/>
        <v>425415.37916827603</v>
      </c>
      <c r="BH68" s="256">
        <f t="shared" si="76"/>
        <v>22596220.620831724</v>
      </c>
      <c r="BI68" s="256">
        <f t="shared" si="76"/>
        <v>93267497</v>
      </c>
      <c r="BJ68" s="256">
        <f t="shared" si="76"/>
        <v>66945485</v>
      </c>
      <c r="BK68" s="256">
        <f t="shared" si="76"/>
        <v>30119516</v>
      </c>
      <c r="BL68" s="256">
        <f t="shared" si="76"/>
        <v>2368403</v>
      </c>
      <c r="BM68" s="259">
        <f t="shared" si="77"/>
        <v>300715890</v>
      </c>
    </row>
    <row r="69" spans="1:65" ht="12.75">
      <c r="A69" s="360"/>
      <c r="B69" s="316" t="s">
        <v>12</v>
      </c>
      <c r="D69" s="304">
        <f t="shared" si="64"/>
        <v>67295647</v>
      </c>
      <c r="E69" s="256">
        <f t="shared" si="64"/>
        <v>626894.3124758593</v>
      </c>
      <c r="F69" s="256">
        <f t="shared" si="64"/>
        <v>20913734.68752414</v>
      </c>
      <c r="G69" s="256">
        <f t="shared" si="64"/>
        <v>80475757</v>
      </c>
      <c r="H69" s="256">
        <f t="shared" si="64"/>
        <v>67817496</v>
      </c>
      <c r="I69" s="256">
        <f t="shared" si="64"/>
        <v>25659378</v>
      </c>
      <c r="J69" s="256">
        <f t="shared" si="64"/>
        <v>1480278</v>
      </c>
      <c r="K69" s="259">
        <f t="shared" si="65"/>
        <v>264269185</v>
      </c>
      <c r="M69" s="253">
        <f t="shared" si="66"/>
        <v>79244091.21572256</v>
      </c>
      <c r="N69" s="254">
        <f t="shared" si="66"/>
        <v>484803.48954645166</v>
      </c>
      <c r="O69" s="254">
        <f t="shared" si="66"/>
        <v>23310696.91094794</v>
      </c>
      <c r="P69" s="254">
        <f t="shared" si="66"/>
        <v>79946850.1205801</v>
      </c>
      <c r="Q69" s="254">
        <f t="shared" si="66"/>
        <v>75392432.56411703</v>
      </c>
      <c r="R69" s="254">
        <f t="shared" si="66"/>
        <v>23755274.432859194</v>
      </c>
      <c r="S69" s="254">
        <f t="shared" si="66"/>
        <v>1508105.2774554805</v>
      </c>
      <c r="T69" s="255">
        <f t="shared" si="67"/>
        <v>283642254.0112288</v>
      </c>
      <c r="V69" s="304">
        <f t="shared" si="68"/>
        <v>79227360</v>
      </c>
      <c r="W69" s="256">
        <f t="shared" si="68"/>
        <v>460680.92571134283</v>
      </c>
      <c r="X69" s="256">
        <f t="shared" si="68"/>
        <v>23467108.07428866</v>
      </c>
      <c r="Y69" s="256">
        <f t="shared" si="68"/>
        <v>82584190</v>
      </c>
      <c r="Z69" s="256">
        <f t="shared" si="68"/>
        <v>76171266</v>
      </c>
      <c r="AA69" s="256">
        <f t="shared" si="68"/>
        <v>24015019</v>
      </c>
      <c r="AB69" s="256">
        <f t="shared" si="68"/>
        <v>1585420</v>
      </c>
      <c r="AC69" s="259">
        <f t="shared" si="69"/>
        <v>287511044</v>
      </c>
      <c r="AE69" s="304">
        <f t="shared" si="70"/>
        <v>83837908.14853792</v>
      </c>
      <c r="AF69" s="256">
        <f t="shared" si="70"/>
        <v>441237.2200826389</v>
      </c>
      <c r="AG69" s="256">
        <f t="shared" si="70"/>
        <v>24484167.704880793</v>
      </c>
      <c r="AH69" s="256">
        <f t="shared" si="70"/>
        <v>81677834.72111028</v>
      </c>
      <c r="AI69" s="256">
        <f t="shared" si="70"/>
        <v>71937804.3119819</v>
      </c>
      <c r="AJ69" s="256">
        <f t="shared" si="70"/>
        <v>27935602.08487543</v>
      </c>
      <c r="AK69" s="256">
        <f t="shared" si="70"/>
        <v>1711886.8301353236</v>
      </c>
      <c r="AL69" s="259">
        <f t="shared" si="71"/>
        <v>292026441.0216043</v>
      </c>
      <c r="AN69" s="304">
        <f t="shared" si="72"/>
        <v>82760074.13270961</v>
      </c>
      <c r="AO69" s="256">
        <f t="shared" si="72"/>
        <v>420607.0289819398</v>
      </c>
      <c r="AP69" s="256">
        <f t="shared" si="72"/>
        <v>24158560.447302494</v>
      </c>
      <c r="AQ69" s="256">
        <f t="shared" si="72"/>
        <v>87588400.69118935</v>
      </c>
      <c r="AR69" s="256">
        <f t="shared" si="72"/>
        <v>75290160.49348621</v>
      </c>
      <c r="AS69" s="256">
        <f t="shared" si="72"/>
        <v>27510198.48649845</v>
      </c>
      <c r="AT69" s="256">
        <f t="shared" si="72"/>
        <v>1961245.555746335</v>
      </c>
      <c r="AU69" s="259">
        <f t="shared" si="73"/>
        <v>299689246.8359144</v>
      </c>
      <c r="AW69" s="304">
        <f t="shared" si="74"/>
        <v>75036348.1655086</v>
      </c>
      <c r="AX69" s="256">
        <f t="shared" si="74"/>
        <v>425756.5282999154</v>
      </c>
      <c r="AY69" s="256">
        <f t="shared" si="74"/>
        <v>21711708.971630655</v>
      </c>
      <c r="AZ69" s="256">
        <f t="shared" si="74"/>
        <v>90369347.07405573</v>
      </c>
      <c r="BA69" s="256">
        <f t="shared" si="74"/>
        <v>75551403.49509962</v>
      </c>
      <c r="BB69" s="256">
        <f t="shared" si="74"/>
        <v>31010581.737427976</v>
      </c>
      <c r="BC69" s="256">
        <f t="shared" si="74"/>
        <v>1947145.4360999877</v>
      </c>
      <c r="BD69" s="303">
        <f t="shared" si="75"/>
        <v>296052291.4081225</v>
      </c>
      <c r="BF69" s="304">
        <f t="shared" si="76"/>
        <v>89892055</v>
      </c>
      <c r="BG69" s="256">
        <f t="shared" si="76"/>
        <v>425415.37916827603</v>
      </c>
      <c r="BH69" s="256">
        <f t="shared" si="76"/>
        <v>23554665.620831724</v>
      </c>
      <c r="BI69" s="256">
        <f t="shared" si="76"/>
        <v>85881705</v>
      </c>
      <c r="BJ69" s="256">
        <f t="shared" si="76"/>
        <v>62607105</v>
      </c>
      <c r="BK69" s="256">
        <f t="shared" si="76"/>
        <v>27295581</v>
      </c>
      <c r="BL69" s="256">
        <f t="shared" si="76"/>
        <v>1986143</v>
      </c>
      <c r="BM69" s="259">
        <f t="shared" si="77"/>
        <v>291642670</v>
      </c>
    </row>
    <row r="70" spans="1:65" ht="12.75">
      <c r="A70" s="360"/>
      <c r="B70" s="316" t="s">
        <v>13</v>
      </c>
      <c r="D70" s="304">
        <f t="shared" si="64"/>
        <v>63501813</v>
      </c>
      <c r="E70" s="256">
        <f t="shared" si="64"/>
        <v>626894.3124758593</v>
      </c>
      <c r="F70" s="256">
        <f t="shared" si="64"/>
        <v>19396110.68752414</v>
      </c>
      <c r="G70" s="256">
        <f t="shared" si="64"/>
        <v>86801807</v>
      </c>
      <c r="H70" s="256">
        <f t="shared" si="64"/>
        <v>71284663</v>
      </c>
      <c r="I70" s="256">
        <f t="shared" si="64"/>
        <v>25865193</v>
      </c>
      <c r="J70" s="256">
        <f t="shared" si="64"/>
        <v>1335937</v>
      </c>
      <c r="K70" s="259">
        <f t="shared" si="65"/>
        <v>268812418</v>
      </c>
      <c r="M70" s="253">
        <f t="shared" si="66"/>
        <v>67852563.19264415</v>
      </c>
      <c r="N70" s="254">
        <f t="shared" si="66"/>
        <v>484803.48954645166</v>
      </c>
      <c r="O70" s="254">
        <f t="shared" si="66"/>
        <v>20851512.75530075</v>
      </c>
      <c r="P70" s="254">
        <f t="shared" si="66"/>
        <v>82215364.68967254</v>
      </c>
      <c r="Q70" s="254">
        <f t="shared" si="66"/>
        <v>76804103.52184604</v>
      </c>
      <c r="R70" s="254">
        <f t="shared" si="66"/>
        <v>25169695.45674101</v>
      </c>
      <c r="S70" s="254">
        <f t="shared" si="66"/>
        <v>1332471.052576177</v>
      </c>
      <c r="T70" s="255">
        <f t="shared" si="67"/>
        <v>274710514.15832716</v>
      </c>
      <c r="V70" s="304">
        <f t="shared" si="68"/>
        <v>68385013</v>
      </c>
      <c r="W70" s="256">
        <f t="shared" si="68"/>
        <v>460680.92571134283</v>
      </c>
      <c r="X70" s="256">
        <f t="shared" si="68"/>
        <v>21653135.07428866</v>
      </c>
      <c r="Y70" s="256">
        <f t="shared" si="68"/>
        <v>84462278</v>
      </c>
      <c r="Z70" s="256">
        <f t="shared" si="68"/>
        <v>78587389</v>
      </c>
      <c r="AA70" s="256">
        <f t="shared" si="68"/>
        <v>25166564</v>
      </c>
      <c r="AB70" s="256">
        <f t="shared" si="68"/>
        <v>1429477</v>
      </c>
      <c r="AC70" s="259">
        <f t="shared" si="69"/>
        <v>280144537</v>
      </c>
      <c r="AE70" s="304">
        <f t="shared" si="70"/>
        <v>63141913.70086226</v>
      </c>
      <c r="AF70" s="256">
        <f t="shared" si="70"/>
        <v>441237.2200826389</v>
      </c>
      <c r="AG70" s="256">
        <f t="shared" si="70"/>
        <v>20077050.003314324</v>
      </c>
      <c r="AH70" s="256">
        <f t="shared" si="70"/>
        <v>85898181.09866142</v>
      </c>
      <c r="AI70" s="256">
        <f t="shared" si="70"/>
        <v>82894337.65110454</v>
      </c>
      <c r="AJ70" s="256">
        <f t="shared" si="70"/>
        <v>29701826.816873793</v>
      </c>
      <c r="AK70" s="256">
        <f t="shared" si="70"/>
        <v>1558834.394299536</v>
      </c>
      <c r="AL70" s="259">
        <f t="shared" si="71"/>
        <v>283713380.8851985</v>
      </c>
      <c r="AN70" s="304">
        <f t="shared" si="72"/>
        <v>70077886.9055426</v>
      </c>
      <c r="AO70" s="256">
        <f t="shared" si="72"/>
        <v>420607.0289819398</v>
      </c>
      <c r="AP70" s="256">
        <f t="shared" si="72"/>
        <v>22556027.49645267</v>
      </c>
      <c r="AQ70" s="256">
        <f t="shared" si="72"/>
        <v>89096125.56108622</v>
      </c>
      <c r="AR70" s="256">
        <f t="shared" si="72"/>
        <v>82233255.02301878</v>
      </c>
      <c r="AS70" s="256">
        <f t="shared" si="72"/>
        <v>31774021.28801088</v>
      </c>
      <c r="AT70" s="256">
        <f t="shared" si="72"/>
        <v>1741549.2717990966</v>
      </c>
      <c r="AU70" s="259">
        <f t="shared" si="73"/>
        <v>297899472.57489216</v>
      </c>
      <c r="AW70" s="304">
        <f t="shared" si="74"/>
        <v>76482956.51317382</v>
      </c>
      <c r="AX70" s="256">
        <f t="shared" si="74"/>
        <v>425756.5282999154</v>
      </c>
      <c r="AY70" s="256">
        <f t="shared" si="74"/>
        <v>22827002.144042116</v>
      </c>
      <c r="AZ70" s="256">
        <f t="shared" si="74"/>
        <v>83820542.43404949</v>
      </c>
      <c r="BA70" s="256">
        <f t="shared" si="74"/>
        <v>73945732.79150657</v>
      </c>
      <c r="BB70" s="256">
        <f t="shared" si="74"/>
        <v>31781175.57420551</v>
      </c>
      <c r="BC70" s="256">
        <f t="shared" si="74"/>
        <v>1727582.3797973709</v>
      </c>
      <c r="BD70" s="303">
        <f t="shared" si="75"/>
        <v>291010748.3650748</v>
      </c>
      <c r="BF70" s="304">
        <f t="shared" si="76"/>
        <v>77171913</v>
      </c>
      <c r="BG70" s="256">
        <f t="shared" si="76"/>
        <v>425415.37916827603</v>
      </c>
      <c r="BH70" s="256">
        <f t="shared" si="76"/>
        <v>21218837.620831724</v>
      </c>
      <c r="BI70" s="256">
        <f t="shared" si="76"/>
        <v>82709262</v>
      </c>
      <c r="BJ70" s="256">
        <f t="shared" si="76"/>
        <v>64769595</v>
      </c>
      <c r="BK70" s="256">
        <f t="shared" si="76"/>
        <v>21729889</v>
      </c>
      <c r="BL70" s="256">
        <f t="shared" si="76"/>
        <v>1767971</v>
      </c>
      <c r="BM70" s="259">
        <f t="shared" si="77"/>
        <v>269792883</v>
      </c>
    </row>
    <row r="71" spans="1:65" ht="12.75">
      <c r="A71" s="360"/>
      <c r="B71" s="316" t="s">
        <v>14</v>
      </c>
      <c r="D71" s="304">
        <f t="shared" si="64"/>
        <v>61838475</v>
      </c>
      <c r="E71" s="256">
        <f t="shared" si="64"/>
        <v>626894.3124758593</v>
      </c>
      <c r="F71" s="256">
        <f t="shared" si="64"/>
        <v>19680024.68752414</v>
      </c>
      <c r="G71" s="256">
        <f t="shared" si="64"/>
        <v>71035189</v>
      </c>
      <c r="H71" s="256">
        <f t="shared" si="64"/>
        <v>71972313</v>
      </c>
      <c r="I71" s="256">
        <f t="shared" si="64"/>
        <v>26315987</v>
      </c>
      <c r="J71" s="256">
        <f t="shared" si="64"/>
        <v>1084101</v>
      </c>
      <c r="K71" s="259">
        <f t="shared" si="65"/>
        <v>252552984</v>
      </c>
      <c r="M71" s="253">
        <f t="shared" si="66"/>
        <v>64151147.15512301</v>
      </c>
      <c r="N71" s="254">
        <f t="shared" si="66"/>
        <v>484803.48954645166</v>
      </c>
      <c r="O71" s="254">
        <f t="shared" si="66"/>
        <v>19775018.860252216</v>
      </c>
      <c r="P71" s="254">
        <f t="shared" si="66"/>
        <v>84705900.59948583</v>
      </c>
      <c r="Q71" s="254">
        <f t="shared" si="66"/>
        <v>78795472.42420258</v>
      </c>
      <c r="R71" s="254">
        <f t="shared" si="66"/>
        <v>24604866.869795706</v>
      </c>
      <c r="S71" s="254">
        <f t="shared" si="66"/>
        <v>1171956.1913929975</v>
      </c>
      <c r="T71" s="255">
        <f t="shared" si="67"/>
        <v>273689165.58979875</v>
      </c>
      <c r="V71" s="304">
        <f t="shared" si="68"/>
        <v>82879065</v>
      </c>
      <c r="W71" s="256">
        <f t="shared" si="68"/>
        <v>460680.92571134283</v>
      </c>
      <c r="X71" s="256">
        <f t="shared" si="68"/>
        <v>23105684.07428866</v>
      </c>
      <c r="Y71" s="256">
        <f t="shared" si="68"/>
        <v>91804571</v>
      </c>
      <c r="Z71" s="256">
        <f t="shared" si="68"/>
        <v>84433776</v>
      </c>
      <c r="AA71" s="256">
        <f t="shared" si="68"/>
        <v>27545365</v>
      </c>
      <c r="AB71" s="256">
        <f t="shared" si="68"/>
        <v>1274605</v>
      </c>
      <c r="AC71" s="259">
        <f t="shared" si="69"/>
        <v>311503747</v>
      </c>
      <c r="AE71" s="304">
        <f t="shared" si="70"/>
        <v>83998828.45742144</v>
      </c>
      <c r="AF71" s="256">
        <f t="shared" si="70"/>
        <v>441237.2200826389</v>
      </c>
      <c r="AG71" s="256">
        <f t="shared" si="70"/>
        <v>23159974.566571925</v>
      </c>
      <c r="AH71" s="256">
        <f t="shared" si="70"/>
        <v>94949356.81804925</v>
      </c>
      <c r="AI71" s="256">
        <f t="shared" si="70"/>
        <v>84053496.21581331</v>
      </c>
      <c r="AJ71" s="256">
        <f t="shared" si="70"/>
        <v>30003381.25811746</v>
      </c>
      <c r="AK71" s="256">
        <f t="shared" si="70"/>
        <v>1382388.9705980087</v>
      </c>
      <c r="AL71" s="259">
        <f t="shared" si="71"/>
        <v>317988663.506654</v>
      </c>
      <c r="AN71" s="304">
        <f t="shared" si="72"/>
        <v>91697027.18189976</v>
      </c>
      <c r="AO71" s="256">
        <f t="shared" si="72"/>
        <v>420607.0289819398</v>
      </c>
      <c r="AP71" s="256">
        <f t="shared" si="72"/>
        <v>25108174.16112993</v>
      </c>
      <c r="AQ71" s="256">
        <f t="shared" si="72"/>
        <v>92943751.34656219</v>
      </c>
      <c r="AR71" s="256">
        <f t="shared" si="72"/>
        <v>83601151.6226579</v>
      </c>
      <c r="AS71" s="256">
        <f t="shared" si="72"/>
        <v>32819475.018365588</v>
      </c>
      <c r="AT71" s="256">
        <f t="shared" si="72"/>
        <v>1574223.7182485296</v>
      </c>
      <c r="AU71" s="259">
        <f t="shared" si="73"/>
        <v>328164410.0778458</v>
      </c>
      <c r="AW71" s="304">
        <f t="shared" si="74"/>
        <v>83870856.47966582</v>
      </c>
      <c r="AX71" s="256">
        <f t="shared" si="74"/>
        <v>425756.5282999154</v>
      </c>
      <c r="AY71" s="256">
        <f t="shared" si="74"/>
        <v>23084622.141077798</v>
      </c>
      <c r="AZ71" s="256">
        <f t="shared" si="74"/>
        <v>97910574.76147166</v>
      </c>
      <c r="BA71" s="256">
        <f t="shared" si="74"/>
        <v>75663049.2312523</v>
      </c>
      <c r="BB71" s="256">
        <f t="shared" si="74"/>
        <v>34728379.53253313</v>
      </c>
      <c r="BC71" s="256">
        <f t="shared" si="74"/>
        <v>1531842.0450712522</v>
      </c>
      <c r="BD71" s="303">
        <f t="shared" si="75"/>
        <v>317215080.71937186</v>
      </c>
      <c r="BF71" s="304">
        <f t="shared" si="76"/>
        <v>71910668</v>
      </c>
      <c r="BG71" s="256">
        <f t="shared" si="76"/>
        <v>425415.37916827603</v>
      </c>
      <c r="BH71" s="256">
        <f t="shared" si="76"/>
        <v>20134164.620831724</v>
      </c>
      <c r="BI71" s="256">
        <f t="shared" si="76"/>
        <v>88276045</v>
      </c>
      <c r="BJ71" s="256">
        <f t="shared" si="76"/>
        <v>66245644</v>
      </c>
      <c r="BK71" s="256">
        <f t="shared" si="76"/>
        <v>25383350</v>
      </c>
      <c r="BL71" s="256">
        <f t="shared" si="76"/>
        <v>1562749</v>
      </c>
      <c r="BM71" s="259">
        <f t="shared" si="77"/>
        <v>273938036</v>
      </c>
    </row>
    <row r="72" spans="1:65" ht="12.75">
      <c r="A72" s="360"/>
      <c r="B72" s="316" t="s">
        <v>15</v>
      </c>
      <c r="D72" s="304">
        <f t="shared" si="64"/>
        <v>91204614</v>
      </c>
      <c r="E72" s="256">
        <f t="shared" si="64"/>
        <v>626894.3124758593</v>
      </c>
      <c r="F72" s="256">
        <f t="shared" si="64"/>
        <v>22400149.68752414</v>
      </c>
      <c r="G72" s="256">
        <f t="shared" si="64"/>
        <v>89670036</v>
      </c>
      <c r="H72" s="256">
        <f t="shared" si="64"/>
        <v>75348788</v>
      </c>
      <c r="I72" s="256">
        <f t="shared" si="64"/>
        <v>24717308</v>
      </c>
      <c r="J72" s="256">
        <f t="shared" si="64"/>
        <v>1149708</v>
      </c>
      <c r="K72" s="259">
        <f t="shared" si="65"/>
        <v>305117498</v>
      </c>
      <c r="M72" s="253">
        <f t="shared" si="66"/>
        <v>82824898.35199794</v>
      </c>
      <c r="N72" s="254">
        <f t="shared" si="66"/>
        <v>484803.48954645166</v>
      </c>
      <c r="O72" s="254">
        <f t="shared" si="66"/>
        <v>23407892.248980705</v>
      </c>
      <c r="P72" s="254">
        <f t="shared" si="66"/>
        <v>103637673.00305799</v>
      </c>
      <c r="Q72" s="254">
        <f t="shared" si="66"/>
        <v>78785577.18617274</v>
      </c>
      <c r="R72" s="254">
        <f t="shared" si="66"/>
        <v>24024194.901738048</v>
      </c>
      <c r="S72" s="254">
        <f t="shared" si="66"/>
        <v>1225790.4863763575</v>
      </c>
      <c r="T72" s="255">
        <f t="shared" si="67"/>
        <v>314390829.6678702</v>
      </c>
      <c r="V72" s="304">
        <f t="shared" si="68"/>
        <v>128480389</v>
      </c>
      <c r="W72" s="256">
        <f t="shared" si="68"/>
        <v>460680.92571134283</v>
      </c>
      <c r="X72" s="256">
        <f t="shared" si="68"/>
        <v>27817309.07428866</v>
      </c>
      <c r="Y72" s="256">
        <f t="shared" si="68"/>
        <v>93000462</v>
      </c>
      <c r="Z72" s="256">
        <f t="shared" si="68"/>
        <v>82486731</v>
      </c>
      <c r="AA72" s="256">
        <f t="shared" si="68"/>
        <v>24358531</v>
      </c>
      <c r="AB72" s="256">
        <f t="shared" si="68"/>
        <v>1383628</v>
      </c>
      <c r="AC72" s="259">
        <f t="shared" si="69"/>
        <v>357987731</v>
      </c>
      <c r="AE72" s="304">
        <f t="shared" si="70"/>
        <v>111186032.77492651</v>
      </c>
      <c r="AF72" s="256">
        <f t="shared" si="70"/>
        <v>441237.2200826389</v>
      </c>
      <c r="AG72" s="256">
        <f t="shared" si="70"/>
        <v>25589655.035590522</v>
      </c>
      <c r="AH72" s="256">
        <f t="shared" si="70"/>
        <v>95157357.19161767</v>
      </c>
      <c r="AI72" s="256">
        <f t="shared" si="70"/>
        <v>83247742.16063231</v>
      </c>
      <c r="AJ72" s="256">
        <f t="shared" si="70"/>
        <v>26457504.050183367</v>
      </c>
      <c r="AK72" s="256">
        <f t="shared" si="70"/>
        <v>1495086.6394708422</v>
      </c>
      <c r="AL72" s="259">
        <f t="shared" si="71"/>
        <v>343574615.07250386</v>
      </c>
      <c r="AN72" s="304">
        <f t="shared" si="72"/>
        <v>105258833.49279077</v>
      </c>
      <c r="AO72" s="256">
        <f t="shared" si="72"/>
        <v>420607.0289819398</v>
      </c>
      <c r="AP72" s="256">
        <f t="shared" si="72"/>
        <v>25225026.865795508</v>
      </c>
      <c r="AQ72" s="256">
        <f t="shared" si="72"/>
        <v>93132731.5481723</v>
      </c>
      <c r="AR72" s="256">
        <f t="shared" si="72"/>
        <v>79006485.47631857</v>
      </c>
      <c r="AS72" s="256">
        <f t="shared" si="72"/>
        <v>31987995.929171056</v>
      </c>
      <c r="AT72" s="256">
        <f t="shared" si="72"/>
        <v>1641015.5483087897</v>
      </c>
      <c r="AU72" s="259">
        <f t="shared" si="73"/>
        <v>336672695.88953894</v>
      </c>
      <c r="AW72" s="304">
        <f t="shared" si="74"/>
        <v>107087353.67190166</v>
      </c>
      <c r="AX72" s="256">
        <f t="shared" si="74"/>
        <v>425756.5282999154</v>
      </c>
      <c r="AY72" s="256">
        <f t="shared" si="74"/>
        <v>25056366.09029402</v>
      </c>
      <c r="AZ72" s="256">
        <f t="shared" si="74"/>
        <v>93105375.15576708</v>
      </c>
      <c r="BA72" s="256">
        <f t="shared" si="74"/>
        <v>77902130.14217132</v>
      </c>
      <c r="BB72" s="256">
        <f t="shared" si="74"/>
        <v>33375551.636158004</v>
      </c>
      <c r="BC72" s="256">
        <f t="shared" si="74"/>
        <v>1650786.042642986</v>
      </c>
      <c r="BD72" s="303">
        <f t="shared" si="75"/>
        <v>338603319.267235</v>
      </c>
      <c r="BF72" s="304">
        <f t="shared" si="76"/>
        <v>96389222</v>
      </c>
      <c r="BG72" s="256">
        <f t="shared" si="76"/>
        <v>425415.37916827603</v>
      </c>
      <c r="BH72" s="256">
        <f t="shared" si="76"/>
        <v>23117923.620831724</v>
      </c>
      <c r="BI72" s="256">
        <f t="shared" si="76"/>
        <v>90697163</v>
      </c>
      <c r="BJ72" s="256">
        <f t="shared" si="76"/>
        <v>69334333</v>
      </c>
      <c r="BK72" s="256">
        <f t="shared" si="76"/>
        <v>28839597</v>
      </c>
      <c r="BL72" s="256">
        <f t="shared" si="76"/>
        <v>1693925</v>
      </c>
      <c r="BM72" s="259">
        <f t="shared" si="77"/>
        <v>310497579</v>
      </c>
    </row>
    <row r="73" spans="1:65" ht="12.75">
      <c r="A73" s="360"/>
      <c r="B73" s="316" t="s">
        <v>16</v>
      </c>
      <c r="D73" s="304">
        <f t="shared" si="64"/>
        <v>92505717</v>
      </c>
      <c r="E73" s="256">
        <f t="shared" si="64"/>
        <v>626894.3124758593</v>
      </c>
      <c r="F73" s="256">
        <f t="shared" si="64"/>
        <v>22935140.68752414</v>
      </c>
      <c r="G73" s="256">
        <f t="shared" si="64"/>
        <v>83412431</v>
      </c>
      <c r="H73" s="256">
        <f t="shared" si="64"/>
        <v>67701528</v>
      </c>
      <c r="I73" s="256">
        <f t="shared" si="64"/>
        <v>24908899</v>
      </c>
      <c r="J73" s="256">
        <f t="shared" si="64"/>
        <v>1382361</v>
      </c>
      <c r="K73" s="259">
        <f t="shared" si="65"/>
        <v>293472971</v>
      </c>
      <c r="M73" s="253">
        <f t="shared" si="66"/>
        <v>87422440.9458333</v>
      </c>
      <c r="N73" s="254">
        <f t="shared" si="66"/>
        <v>484803.48954645166</v>
      </c>
      <c r="O73" s="254">
        <f t="shared" si="66"/>
        <v>21702502.225842886</v>
      </c>
      <c r="P73" s="254">
        <f t="shared" si="66"/>
        <v>72323869.74987307</v>
      </c>
      <c r="Q73" s="254">
        <f t="shared" si="66"/>
        <v>81182470.8434227</v>
      </c>
      <c r="R73" s="254">
        <f t="shared" si="66"/>
        <v>26255684.580197155</v>
      </c>
      <c r="S73" s="254">
        <f t="shared" si="66"/>
        <v>1522853.6322269884</v>
      </c>
      <c r="T73" s="255">
        <f t="shared" si="67"/>
        <v>290894625.46694255</v>
      </c>
      <c r="V73" s="304">
        <f t="shared" si="68"/>
        <v>112838134</v>
      </c>
      <c r="W73" s="256">
        <f t="shared" si="68"/>
        <v>460680.92571134283</v>
      </c>
      <c r="X73" s="256">
        <f t="shared" si="68"/>
        <v>25240068.07428866</v>
      </c>
      <c r="Y73" s="256">
        <f t="shared" si="68"/>
        <v>95085316</v>
      </c>
      <c r="Z73" s="256">
        <f t="shared" si="68"/>
        <v>87931959</v>
      </c>
      <c r="AA73" s="256">
        <f t="shared" si="68"/>
        <v>28296971</v>
      </c>
      <c r="AB73" s="256">
        <f t="shared" si="68"/>
        <v>1585446</v>
      </c>
      <c r="AC73" s="259">
        <f t="shared" si="69"/>
        <v>351438575</v>
      </c>
      <c r="AE73" s="304">
        <f t="shared" si="70"/>
        <v>117709184.08314605</v>
      </c>
      <c r="AF73" s="256">
        <f t="shared" si="70"/>
        <v>441237.2200826389</v>
      </c>
      <c r="AG73" s="256">
        <f t="shared" si="70"/>
        <v>24941825.754851975</v>
      </c>
      <c r="AH73" s="256">
        <f t="shared" si="70"/>
        <v>96099149.24571787</v>
      </c>
      <c r="AI73" s="256">
        <f t="shared" si="70"/>
        <v>86520258.7186443</v>
      </c>
      <c r="AJ73" s="256">
        <f t="shared" si="70"/>
        <v>30727074.559856825</v>
      </c>
      <c r="AK73" s="256">
        <f t="shared" si="70"/>
        <v>1704572.3609627783</v>
      </c>
      <c r="AL73" s="259">
        <f t="shared" si="71"/>
        <v>358143301.94326246</v>
      </c>
      <c r="AN73" s="304">
        <f t="shared" si="72"/>
        <v>114216996.21782091</v>
      </c>
      <c r="AO73" s="256">
        <f t="shared" si="72"/>
        <v>420607.0289819398</v>
      </c>
      <c r="AP73" s="256">
        <f t="shared" si="72"/>
        <v>25638509.051323954</v>
      </c>
      <c r="AQ73" s="256">
        <f t="shared" si="72"/>
        <v>95744189.50993358</v>
      </c>
      <c r="AR73" s="256">
        <f t="shared" si="72"/>
        <v>88403081.82911162</v>
      </c>
      <c r="AS73" s="256">
        <f t="shared" si="72"/>
        <v>27313856.744483173</v>
      </c>
      <c r="AT73" s="256">
        <f t="shared" si="72"/>
        <v>1793222.0457705022</v>
      </c>
      <c r="AU73" s="259">
        <f t="shared" si="73"/>
        <v>353530462.42742574</v>
      </c>
      <c r="AW73" s="304">
        <f t="shared" si="74"/>
        <v>112579436.89894061</v>
      </c>
      <c r="AX73" s="256">
        <f t="shared" si="74"/>
        <v>425756.5282999154</v>
      </c>
      <c r="AY73" s="256">
        <f t="shared" si="74"/>
        <v>25682933.675733972</v>
      </c>
      <c r="AZ73" s="256">
        <f t="shared" si="74"/>
        <v>93074995.84152685</v>
      </c>
      <c r="BA73" s="256">
        <f t="shared" si="74"/>
        <v>77402657.88533248</v>
      </c>
      <c r="BB73" s="256">
        <f t="shared" si="74"/>
        <v>35669308.28743032</v>
      </c>
      <c r="BC73" s="256">
        <f t="shared" si="74"/>
        <v>1904602.3528279755</v>
      </c>
      <c r="BD73" s="303">
        <f t="shared" si="75"/>
        <v>346739691.4700921</v>
      </c>
      <c r="BF73" s="304">
        <f t="shared" si="76"/>
        <v>106837454</v>
      </c>
      <c r="BG73" s="256">
        <f t="shared" si="76"/>
        <v>425415.37916827603</v>
      </c>
      <c r="BH73" s="256">
        <f t="shared" si="76"/>
        <v>31105212.620831724</v>
      </c>
      <c r="BI73" s="256">
        <f t="shared" si="76"/>
        <v>92877653</v>
      </c>
      <c r="BJ73" s="256">
        <f t="shared" si="76"/>
        <v>71088497</v>
      </c>
      <c r="BK73" s="256">
        <f t="shared" si="76"/>
        <v>31566349</v>
      </c>
      <c r="BL73" s="256">
        <f t="shared" si="76"/>
        <v>1948305</v>
      </c>
      <c r="BM73" s="259">
        <f t="shared" si="77"/>
        <v>335848886</v>
      </c>
    </row>
    <row r="74" spans="1:65" ht="12.75">
      <c r="A74" s="360"/>
      <c r="B74" s="316" t="s">
        <v>17</v>
      </c>
      <c r="D74" s="304">
        <f t="shared" si="64"/>
        <v>78427414</v>
      </c>
      <c r="E74" s="256">
        <f t="shared" si="64"/>
        <v>626894.3124758593</v>
      </c>
      <c r="F74" s="256">
        <f t="shared" si="64"/>
        <v>20985775.68752414</v>
      </c>
      <c r="G74" s="256">
        <f t="shared" si="64"/>
        <v>82575759</v>
      </c>
      <c r="H74" s="256">
        <f t="shared" si="64"/>
        <v>72293429</v>
      </c>
      <c r="I74" s="256">
        <f t="shared" si="64"/>
        <v>16357992</v>
      </c>
      <c r="J74" s="256">
        <f t="shared" si="64"/>
        <v>1426706</v>
      </c>
      <c r="K74" s="259">
        <f t="shared" si="65"/>
        <v>272693970</v>
      </c>
      <c r="M74" s="253">
        <f t="shared" si="66"/>
        <v>81041314.4479072</v>
      </c>
      <c r="N74" s="254">
        <f t="shared" si="66"/>
        <v>484803.48954645166</v>
      </c>
      <c r="O74" s="254">
        <f t="shared" si="66"/>
        <v>22094453.654230088</v>
      </c>
      <c r="P74" s="254">
        <f t="shared" si="66"/>
        <v>86541953.7657241</v>
      </c>
      <c r="Q74" s="254">
        <f t="shared" si="66"/>
        <v>78802147.5847735</v>
      </c>
      <c r="R74" s="254">
        <f t="shared" si="66"/>
        <v>24812635.867676612</v>
      </c>
      <c r="S74" s="254">
        <f t="shared" si="66"/>
        <v>1653444.7735954248</v>
      </c>
      <c r="T74" s="255">
        <f t="shared" si="67"/>
        <v>295430753.58345336</v>
      </c>
      <c r="V74" s="304">
        <f t="shared" si="68"/>
        <v>96349384</v>
      </c>
      <c r="W74" s="256">
        <f t="shared" si="68"/>
        <v>460680.92571134283</v>
      </c>
      <c r="X74" s="256">
        <f t="shared" si="68"/>
        <v>25129040.07428866</v>
      </c>
      <c r="Y74" s="256">
        <f t="shared" si="68"/>
        <v>92220235</v>
      </c>
      <c r="Z74" s="256">
        <f t="shared" si="68"/>
        <v>80458193</v>
      </c>
      <c r="AA74" s="256">
        <f t="shared" si="68"/>
        <v>26483669</v>
      </c>
      <c r="AB74" s="256">
        <f t="shared" si="68"/>
        <v>1735399</v>
      </c>
      <c r="AC74" s="259">
        <f t="shared" si="69"/>
        <v>322836601</v>
      </c>
      <c r="AE74" s="304">
        <f t="shared" si="70"/>
        <v>86607920.0782698</v>
      </c>
      <c r="AF74" s="256">
        <f t="shared" si="70"/>
        <v>441237.2200826389</v>
      </c>
      <c r="AG74" s="256">
        <f t="shared" si="70"/>
        <v>23753485.81632267</v>
      </c>
      <c r="AH74" s="256">
        <f t="shared" si="70"/>
        <v>84139055.23683935</v>
      </c>
      <c r="AI74" s="256">
        <f t="shared" si="70"/>
        <v>79514747.87545387</v>
      </c>
      <c r="AJ74" s="256">
        <f t="shared" si="70"/>
        <v>28545776.057051163</v>
      </c>
      <c r="AK74" s="256">
        <f t="shared" si="70"/>
        <v>1959234.5172924802</v>
      </c>
      <c r="AL74" s="259">
        <f t="shared" si="71"/>
        <v>304961456.801312</v>
      </c>
      <c r="AN74" s="304">
        <f t="shared" si="72"/>
        <v>103891689.84614338</v>
      </c>
      <c r="AO74" s="256">
        <f t="shared" si="72"/>
        <v>420607.0289819398</v>
      </c>
      <c r="AP74" s="256">
        <f t="shared" si="72"/>
        <v>26519148.071371425</v>
      </c>
      <c r="AQ74" s="256">
        <f t="shared" si="72"/>
        <v>88944043.05588344</v>
      </c>
      <c r="AR74" s="256">
        <f t="shared" si="72"/>
        <v>79588558.13642618</v>
      </c>
      <c r="AS74" s="256">
        <f t="shared" si="72"/>
        <v>31047407.65186862</v>
      </c>
      <c r="AT74" s="256">
        <f t="shared" si="72"/>
        <v>2004250.8708435216</v>
      </c>
      <c r="AU74" s="259">
        <f t="shared" si="73"/>
        <v>332415704.6615185</v>
      </c>
      <c r="AW74" s="304">
        <f t="shared" si="74"/>
        <v>92228480.81665398</v>
      </c>
      <c r="AX74" s="256">
        <f t="shared" si="74"/>
        <v>425756.5282999154</v>
      </c>
      <c r="AY74" s="256">
        <f t="shared" si="74"/>
        <v>22978221.2776116</v>
      </c>
      <c r="AZ74" s="256">
        <f t="shared" si="74"/>
        <v>93319171.46150398</v>
      </c>
      <c r="BA74" s="256">
        <f t="shared" si="74"/>
        <v>75559204.56578311</v>
      </c>
      <c r="BB74" s="256">
        <f t="shared" si="74"/>
        <v>34156533.85356655</v>
      </c>
      <c r="BC74" s="256">
        <f t="shared" si="74"/>
        <v>2161514.8038927517</v>
      </c>
      <c r="BD74" s="303">
        <f t="shared" si="75"/>
        <v>320828883.3073119</v>
      </c>
      <c r="BF74" s="304">
        <f t="shared" si="76"/>
        <v>92707816</v>
      </c>
      <c r="BG74" s="256">
        <f t="shared" si="76"/>
        <v>425415.37916827603</v>
      </c>
      <c r="BH74" s="256">
        <f t="shared" si="76"/>
        <v>15244144.620831724</v>
      </c>
      <c r="BI74" s="256">
        <f t="shared" si="76"/>
        <v>89536165</v>
      </c>
      <c r="BJ74" s="256">
        <f t="shared" si="76"/>
        <v>69913251</v>
      </c>
      <c r="BK74" s="256">
        <f t="shared" si="76"/>
        <v>30593880</v>
      </c>
      <c r="BL74" s="256">
        <f t="shared" si="76"/>
        <v>2214309</v>
      </c>
      <c r="BM74" s="259">
        <f t="shared" si="77"/>
        <v>300634981</v>
      </c>
    </row>
    <row r="75" spans="1:65" ht="12.75">
      <c r="A75" s="360"/>
      <c r="B75" s="316" t="s">
        <v>51</v>
      </c>
      <c r="D75" s="304">
        <f t="shared" si="64"/>
        <v>65785373</v>
      </c>
      <c r="E75" s="256">
        <f t="shared" si="64"/>
        <v>626894.3124758593</v>
      </c>
      <c r="F75" s="256">
        <f t="shared" si="64"/>
        <v>18551751.68752414</v>
      </c>
      <c r="G75" s="256">
        <f t="shared" si="64"/>
        <v>80094441</v>
      </c>
      <c r="H75" s="256">
        <f t="shared" si="64"/>
        <v>73731928</v>
      </c>
      <c r="I75" s="256">
        <f t="shared" si="64"/>
        <v>18989015</v>
      </c>
      <c r="J75" s="256">
        <f t="shared" si="64"/>
        <v>1739816</v>
      </c>
      <c r="K75" s="259">
        <f t="shared" si="65"/>
        <v>259519219</v>
      </c>
      <c r="M75" s="253">
        <f t="shared" si="66"/>
        <v>70172958.00971536</v>
      </c>
      <c r="N75" s="254">
        <f t="shared" si="66"/>
        <v>484803.48954645166</v>
      </c>
      <c r="O75" s="254">
        <f t="shared" si="66"/>
        <v>20496344.21172543</v>
      </c>
      <c r="P75" s="254">
        <f t="shared" si="66"/>
        <v>81302932.74113229</v>
      </c>
      <c r="Q75" s="254">
        <f t="shared" si="66"/>
        <v>77944387.95137516</v>
      </c>
      <c r="R75" s="254">
        <f t="shared" si="66"/>
        <v>24236905.018477514</v>
      </c>
      <c r="S75" s="254">
        <f t="shared" si="66"/>
        <v>1990408.8792631952</v>
      </c>
      <c r="T75" s="255">
        <f t="shared" si="67"/>
        <v>276628740.30123544</v>
      </c>
      <c r="V75" s="304">
        <f t="shared" si="68"/>
        <v>75430792</v>
      </c>
      <c r="W75" s="256">
        <f t="shared" si="68"/>
        <v>460680.92571134283</v>
      </c>
      <c r="X75" s="256">
        <f t="shared" si="68"/>
        <v>22187363.07428866</v>
      </c>
      <c r="Y75" s="256">
        <f t="shared" si="68"/>
        <v>85901855</v>
      </c>
      <c r="Z75" s="256">
        <f t="shared" si="68"/>
        <v>84066210</v>
      </c>
      <c r="AA75" s="256">
        <f t="shared" si="68"/>
        <v>26468231</v>
      </c>
      <c r="AB75" s="256">
        <f t="shared" si="68"/>
        <v>2147735</v>
      </c>
      <c r="AC75" s="259">
        <f t="shared" si="69"/>
        <v>296662867</v>
      </c>
      <c r="AE75" s="304">
        <f t="shared" si="70"/>
        <v>67558809.86012992</v>
      </c>
      <c r="AF75" s="256">
        <f t="shared" si="70"/>
        <v>441237.2200826389</v>
      </c>
      <c r="AG75" s="256">
        <f t="shared" si="70"/>
        <v>20343435.97603034</v>
      </c>
      <c r="AH75" s="256">
        <f t="shared" si="70"/>
        <v>92550026.13031478</v>
      </c>
      <c r="AI75" s="256">
        <f t="shared" si="70"/>
        <v>79385481.8708134</v>
      </c>
      <c r="AJ75" s="256">
        <f t="shared" si="70"/>
        <v>27003714.668534145</v>
      </c>
      <c r="AK75" s="256">
        <f t="shared" si="70"/>
        <v>2320050.8632814344</v>
      </c>
      <c r="AL75" s="259">
        <f t="shared" si="71"/>
        <v>289602756.58918667</v>
      </c>
      <c r="AN75" s="304">
        <f t="shared" si="72"/>
        <v>73007108.02875127</v>
      </c>
      <c r="AO75" s="256">
        <f t="shared" si="72"/>
        <v>420607.0289819398</v>
      </c>
      <c r="AP75" s="256">
        <f t="shared" si="72"/>
        <v>21442803.997092273</v>
      </c>
      <c r="AQ75" s="256">
        <f t="shared" si="72"/>
        <v>91831258.80156693</v>
      </c>
      <c r="AR75" s="256">
        <f t="shared" si="72"/>
        <v>81578085.92645936</v>
      </c>
      <c r="AS75" s="256">
        <f t="shared" si="72"/>
        <v>31276234.36578592</v>
      </c>
      <c r="AT75" s="256">
        <f t="shared" si="72"/>
        <v>2476296.400152122</v>
      </c>
      <c r="AU75" s="259">
        <f t="shared" si="73"/>
        <v>302032394.5487898</v>
      </c>
      <c r="AW75" s="304">
        <f t="shared" si="74"/>
        <v>76305159.74499217</v>
      </c>
      <c r="AX75" s="256">
        <f t="shared" si="74"/>
        <v>425756.5282999154</v>
      </c>
      <c r="AY75" s="256">
        <f t="shared" si="74"/>
        <v>21975784.19658815</v>
      </c>
      <c r="AZ75" s="256">
        <f t="shared" si="74"/>
        <v>88838843.84646703</v>
      </c>
      <c r="BA75" s="256">
        <f t="shared" si="74"/>
        <v>73286479.59304461</v>
      </c>
      <c r="BB75" s="256">
        <f t="shared" si="74"/>
        <v>32419478.386649467</v>
      </c>
      <c r="BC75" s="256">
        <f t="shared" si="74"/>
        <v>2569368.3881951803</v>
      </c>
      <c r="BD75" s="303">
        <f t="shared" si="75"/>
        <v>295820870.68423647</v>
      </c>
      <c r="BF75" s="304">
        <f t="shared" si="76"/>
        <v>80822498</v>
      </c>
      <c r="BG75" s="256">
        <f t="shared" si="76"/>
        <v>425415.37916827603</v>
      </c>
      <c r="BH75" s="256">
        <f t="shared" si="76"/>
        <v>22169992.620831724</v>
      </c>
      <c r="BI75" s="256">
        <f t="shared" si="76"/>
        <v>87178137</v>
      </c>
      <c r="BJ75" s="256">
        <f t="shared" si="76"/>
        <v>68128434</v>
      </c>
      <c r="BK75" s="256">
        <f t="shared" si="76"/>
        <v>30638512</v>
      </c>
      <c r="BL75" s="256">
        <f t="shared" si="76"/>
        <v>2651495</v>
      </c>
      <c r="BM75" s="259">
        <f t="shared" si="77"/>
        <v>292014484</v>
      </c>
    </row>
    <row r="76" spans="1:65" ht="12.75">
      <c r="A76" s="360"/>
      <c r="B76" s="316" t="s">
        <v>19</v>
      </c>
      <c r="D76" s="304">
        <f t="shared" si="64"/>
        <v>67288556</v>
      </c>
      <c r="E76" s="256">
        <f t="shared" si="64"/>
        <v>626894.3124758593</v>
      </c>
      <c r="F76" s="256">
        <f t="shared" si="64"/>
        <v>19615384.68752414</v>
      </c>
      <c r="G76" s="256">
        <f t="shared" si="64"/>
        <v>77560779</v>
      </c>
      <c r="H76" s="256">
        <f t="shared" si="64"/>
        <v>72072312</v>
      </c>
      <c r="I76" s="256">
        <f t="shared" si="64"/>
        <v>22055175</v>
      </c>
      <c r="J76" s="256">
        <f t="shared" si="64"/>
        <v>1918897</v>
      </c>
      <c r="K76" s="259">
        <f t="shared" si="65"/>
        <v>261137998</v>
      </c>
      <c r="M76" s="253">
        <f t="shared" si="66"/>
        <v>66697051.396820895</v>
      </c>
      <c r="N76" s="254">
        <f t="shared" si="66"/>
        <v>484803.48954645166</v>
      </c>
      <c r="O76" s="254">
        <f t="shared" si="66"/>
        <v>19326591.073326845</v>
      </c>
      <c r="P76" s="254">
        <f t="shared" si="66"/>
        <v>87516368.20525247</v>
      </c>
      <c r="Q76" s="254">
        <f t="shared" si="66"/>
        <v>77098967.61479849</v>
      </c>
      <c r="R76" s="254">
        <f t="shared" si="66"/>
        <v>24232444.911189683</v>
      </c>
      <c r="S76" s="254">
        <f t="shared" si="66"/>
        <v>2098851.4878489245</v>
      </c>
      <c r="T76" s="255">
        <f t="shared" si="67"/>
        <v>277455078.1787838</v>
      </c>
      <c r="V76" s="304">
        <f t="shared" si="68"/>
        <v>72376973</v>
      </c>
      <c r="W76" s="256">
        <f t="shared" si="68"/>
        <v>460680.92571134283</v>
      </c>
      <c r="X76" s="256">
        <f t="shared" si="68"/>
        <v>21544106.07428866</v>
      </c>
      <c r="Y76" s="256">
        <f t="shared" si="68"/>
        <v>94121175</v>
      </c>
      <c r="Z76" s="256">
        <f t="shared" si="68"/>
        <v>82152106</v>
      </c>
      <c r="AA76" s="256">
        <f t="shared" si="68"/>
        <v>25672569</v>
      </c>
      <c r="AB76" s="256">
        <f t="shared" si="68"/>
        <v>2296094</v>
      </c>
      <c r="AC76" s="259">
        <f t="shared" si="69"/>
        <v>298623704</v>
      </c>
      <c r="AE76" s="304">
        <f t="shared" si="70"/>
        <v>77795335.94486855</v>
      </c>
      <c r="AF76" s="256">
        <f t="shared" si="70"/>
        <v>441237.2200826389</v>
      </c>
      <c r="AG76" s="256">
        <f t="shared" si="70"/>
        <v>22286616.813223664</v>
      </c>
      <c r="AH76" s="256">
        <f t="shared" si="70"/>
        <v>89930687.09910978</v>
      </c>
      <c r="AI76" s="256">
        <f t="shared" si="70"/>
        <v>77636544.80026604</v>
      </c>
      <c r="AJ76" s="256">
        <f t="shared" si="70"/>
        <v>26317949.89989202</v>
      </c>
      <c r="AK76" s="256">
        <f t="shared" si="70"/>
        <v>2491477.8974433634</v>
      </c>
      <c r="AL76" s="259">
        <f t="shared" si="71"/>
        <v>296899849.67488605</v>
      </c>
      <c r="AN76" s="304">
        <f t="shared" si="72"/>
        <v>80052239.18794487</v>
      </c>
      <c r="AO76" s="256">
        <f t="shared" si="72"/>
        <v>420607.0289819398</v>
      </c>
      <c r="AP76" s="256">
        <f t="shared" si="72"/>
        <v>23927701.86023886</v>
      </c>
      <c r="AQ76" s="256">
        <f t="shared" si="72"/>
        <v>92467921.05354352</v>
      </c>
      <c r="AR76" s="256">
        <f t="shared" si="72"/>
        <v>77468830.47501616</v>
      </c>
      <c r="AS76" s="256">
        <f t="shared" si="72"/>
        <v>30161600.95444898</v>
      </c>
      <c r="AT76" s="256">
        <f t="shared" si="72"/>
        <v>2655570.207750687</v>
      </c>
      <c r="AU76" s="259">
        <f t="shared" si="73"/>
        <v>307154470.767925</v>
      </c>
      <c r="AW76" s="304">
        <f t="shared" si="74"/>
        <v>87253832.48161317</v>
      </c>
      <c r="AX76" s="256">
        <f t="shared" si="74"/>
        <v>425756.5282999154</v>
      </c>
      <c r="AY76" s="256">
        <f t="shared" si="74"/>
        <v>23186828.912895173</v>
      </c>
      <c r="AZ76" s="256">
        <f t="shared" si="74"/>
        <v>89213855.25438367</v>
      </c>
      <c r="BA76" s="256">
        <f t="shared" si="74"/>
        <v>69094324.91403955</v>
      </c>
      <c r="BB76" s="256">
        <f t="shared" si="74"/>
        <v>30549525.714169834</v>
      </c>
      <c r="BC76" s="256">
        <f t="shared" si="74"/>
        <v>2742069.8217749833</v>
      </c>
      <c r="BD76" s="303">
        <f t="shared" si="75"/>
        <v>302466193.6271763</v>
      </c>
      <c r="BF76" s="304">
        <f t="shared" si="76"/>
        <v>84768126</v>
      </c>
      <c r="BG76" s="256">
        <f t="shared" si="76"/>
        <v>425415.37916827603</v>
      </c>
      <c r="BH76" s="256">
        <f t="shared" si="76"/>
        <v>22777477.620831724</v>
      </c>
      <c r="BI76" s="256">
        <f t="shared" si="76"/>
        <v>88350312</v>
      </c>
      <c r="BJ76" s="256">
        <f t="shared" si="76"/>
        <v>66028714</v>
      </c>
      <c r="BK76" s="256">
        <f t="shared" si="76"/>
        <v>27681172</v>
      </c>
      <c r="BL76" s="256">
        <f t="shared" si="76"/>
        <v>2835538</v>
      </c>
      <c r="BM76" s="259">
        <f t="shared" si="77"/>
        <v>292866755</v>
      </c>
    </row>
    <row r="77" spans="1:65" ht="13.5" thickBot="1">
      <c r="A77" s="360"/>
      <c r="B77" s="269" t="s">
        <v>20</v>
      </c>
      <c r="D77" s="304">
        <f t="shared" si="64"/>
        <v>77572801</v>
      </c>
      <c r="E77" s="256">
        <f t="shared" si="64"/>
        <v>626894.3124758593</v>
      </c>
      <c r="F77" s="256">
        <f t="shared" si="64"/>
        <v>22202954.68752414</v>
      </c>
      <c r="G77" s="256">
        <f t="shared" si="64"/>
        <v>71302549</v>
      </c>
      <c r="H77" s="256">
        <f t="shared" si="64"/>
        <v>67861111</v>
      </c>
      <c r="I77" s="256">
        <f t="shared" si="64"/>
        <v>21523662</v>
      </c>
      <c r="J77" s="256">
        <f t="shared" si="64"/>
        <v>2022585</v>
      </c>
      <c r="K77" s="259">
        <f t="shared" si="65"/>
        <v>263112557</v>
      </c>
      <c r="M77" s="253">
        <f t="shared" si="66"/>
        <v>83125205.57588483</v>
      </c>
      <c r="N77" s="254">
        <f t="shared" si="66"/>
        <v>484803.48954645166</v>
      </c>
      <c r="O77" s="254">
        <f t="shared" si="66"/>
        <v>23059906.878196526</v>
      </c>
      <c r="P77" s="254">
        <f t="shared" si="66"/>
        <v>90347619.31096596</v>
      </c>
      <c r="Q77" s="254">
        <f t="shared" si="66"/>
        <v>70508590.0833411</v>
      </c>
      <c r="R77" s="254">
        <f t="shared" si="66"/>
        <v>22764333.59578851</v>
      </c>
      <c r="S77" s="254">
        <f t="shared" si="66"/>
        <v>2272058.6543453657</v>
      </c>
      <c r="T77" s="255">
        <f t="shared" si="67"/>
        <v>292562517.5880687</v>
      </c>
      <c r="V77" s="304">
        <f t="shared" si="68"/>
        <v>83759829</v>
      </c>
      <c r="W77" s="256">
        <f t="shared" si="68"/>
        <v>460680.92571134283</v>
      </c>
      <c r="X77" s="256">
        <f t="shared" si="68"/>
        <v>23959908.07428866</v>
      </c>
      <c r="Y77" s="256">
        <f t="shared" si="68"/>
        <v>90803584</v>
      </c>
      <c r="Z77" s="256">
        <f t="shared" si="68"/>
        <v>72679213</v>
      </c>
      <c r="AA77" s="256">
        <f t="shared" si="68"/>
        <v>24055634</v>
      </c>
      <c r="AB77" s="256">
        <f t="shared" si="68"/>
        <v>2475807</v>
      </c>
      <c r="AC77" s="259">
        <f t="shared" si="69"/>
        <v>298194656</v>
      </c>
      <c r="AE77" s="304">
        <f t="shared" si="70"/>
        <v>87402188.76756723</v>
      </c>
      <c r="AF77" s="256">
        <f t="shared" si="70"/>
        <v>441237.2200826389</v>
      </c>
      <c r="AG77" s="256">
        <f t="shared" si="70"/>
        <v>24548690.423843496</v>
      </c>
      <c r="AH77" s="256">
        <f t="shared" si="70"/>
        <v>88518984.61337094</v>
      </c>
      <c r="AI77" s="256">
        <f t="shared" si="70"/>
        <v>71280858.27368735</v>
      </c>
      <c r="AJ77" s="256">
        <f t="shared" si="70"/>
        <v>25303578.480466697</v>
      </c>
      <c r="AK77" s="256">
        <f t="shared" si="70"/>
        <v>2681665.024910915</v>
      </c>
      <c r="AL77" s="259">
        <f t="shared" si="71"/>
        <v>300177202.8039293</v>
      </c>
      <c r="AN77" s="304">
        <f t="shared" si="72"/>
        <v>99056671.7054317</v>
      </c>
      <c r="AO77" s="256">
        <f t="shared" si="72"/>
        <v>420607.0289819398</v>
      </c>
      <c r="AP77" s="256">
        <f t="shared" si="72"/>
        <v>27170321.417393073</v>
      </c>
      <c r="AQ77" s="256">
        <f t="shared" si="72"/>
        <v>94058515.74972107</v>
      </c>
      <c r="AR77" s="256">
        <f t="shared" si="72"/>
        <v>64191071.43051936</v>
      </c>
      <c r="AS77" s="256">
        <f t="shared" si="72"/>
        <v>32156310.42098034</v>
      </c>
      <c r="AT77" s="256">
        <f t="shared" si="72"/>
        <v>2877555.3488002657</v>
      </c>
      <c r="AU77" s="259">
        <f t="shared" si="73"/>
        <v>319931053.1018277</v>
      </c>
      <c r="AW77" s="304">
        <f t="shared" si="74"/>
        <v>89271211.64053597</v>
      </c>
      <c r="AX77" s="256">
        <f t="shared" si="74"/>
        <v>425756.5282999154</v>
      </c>
      <c r="AY77" s="256">
        <f t="shared" si="74"/>
        <v>23485403.27650507</v>
      </c>
      <c r="AZ77" s="256">
        <f t="shared" si="74"/>
        <v>94458541.26915242</v>
      </c>
      <c r="BA77" s="256">
        <f t="shared" si="74"/>
        <v>61841877.34749583</v>
      </c>
      <c r="BB77" s="256">
        <f t="shared" si="74"/>
        <v>27834346.65373456</v>
      </c>
      <c r="BC77" s="256">
        <f t="shared" si="74"/>
        <v>2956011.651151284</v>
      </c>
      <c r="BD77" s="303">
        <f t="shared" si="75"/>
        <v>300273148.36687505</v>
      </c>
      <c r="BF77" s="304">
        <f t="shared" si="76"/>
        <v>87819963</v>
      </c>
      <c r="BG77" s="256">
        <f t="shared" si="76"/>
        <v>425415.37916827603</v>
      </c>
      <c r="BH77" s="256">
        <f t="shared" si="76"/>
        <v>23499970.620831724</v>
      </c>
      <c r="BI77" s="256">
        <f t="shared" si="76"/>
        <v>94539745</v>
      </c>
      <c r="BJ77" s="256">
        <f t="shared" si="76"/>
        <v>60763420</v>
      </c>
      <c r="BK77" s="256">
        <f t="shared" si="76"/>
        <v>30830986</v>
      </c>
      <c r="BL77" s="256">
        <f t="shared" si="76"/>
        <v>3068768</v>
      </c>
      <c r="BM77" s="259">
        <f t="shared" si="77"/>
        <v>300948268</v>
      </c>
    </row>
    <row r="78" spans="4:65" ht="13.5" thickBot="1">
      <c r="D78" s="304"/>
      <c r="E78" s="256"/>
      <c r="F78" s="256"/>
      <c r="G78" s="254"/>
      <c r="H78" s="254"/>
      <c r="I78" s="256"/>
      <c r="J78" s="256"/>
      <c r="K78" s="231"/>
      <c r="M78" s="253"/>
      <c r="N78" s="254"/>
      <c r="O78" s="254"/>
      <c r="P78" s="254"/>
      <c r="Q78" s="254"/>
      <c r="R78" s="254"/>
      <c r="S78" s="254"/>
      <c r="T78" s="255"/>
      <c r="V78" s="362"/>
      <c r="W78" s="363"/>
      <c r="X78" s="363"/>
      <c r="Y78" s="363"/>
      <c r="Z78" s="363"/>
      <c r="AA78" s="363"/>
      <c r="AB78" s="363"/>
      <c r="AC78" s="270"/>
      <c r="AE78" s="304"/>
      <c r="AF78" s="256"/>
      <c r="AG78" s="256"/>
      <c r="AH78" s="254"/>
      <c r="AI78" s="254"/>
      <c r="AJ78" s="256"/>
      <c r="AK78" s="256"/>
      <c r="AL78" s="235"/>
      <c r="AN78" s="304"/>
      <c r="AO78" s="256"/>
      <c r="AP78" s="256"/>
      <c r="AQ78" s="254"/>
      <c r="AR78" s="254"/>
      <c r="AS78" s="256"/>
      <c r="AT78" s="256"/>
      <c r="AU78" s="259"/>
      <c r="AW78" s="304"/>
      <c r="AX78" s="254"/>
      <c r="AY78" s="254"/>
      <c r="AZ78" s="254"/>
      <c r="BA78" s="254"/>
      <c r="BB78" s="256"/>
      <c r="BC78" s="256"/>
      <c r="BD78" s="231"/>
      <c r="BF78" s="304"/>
      <c r="BG78" s="254"/>
      <c r="BH78" s="254"/>
      <c r="BI78" s="254"/>
      <c r="BJ78" s="254"/>
      <c r="BK78" s="256"/>
      <c r="BL78" s="256"/>
      <c r="BM78" s="259"/>
    </row>
    <row r="79" spans="4:65" ht="13.5" thickBot="1">
      <c r="D79" s="318">
        <f aca="true" t="shared" si="78" ref="D79:J79">SUM(D66:D77)</f>
        <v>918500653</v>
      </c>
      <c r="E79" s="319">
        <f>SUM(E66:E77)</f>
        <v>7522731.749710311</v>
      </c>
      <c r="F79" s="319">
        <f t="shared" si="78"/>
        <v>261424109.25028968</v>
      </c>
      <c r="G79" s="319">
        <f>SUM(G66:G77)</f>
        <v>996032849</v>
      </c>
      <c r="H79" s="319">
        <f t="shared" si="78"/>
        <v>845121401</v>
      </c>
      <c r="I79" s="319">
        <f t="shared" si="78"/>
        <v>281784328</v>
      </c>
      <c r="J79" s="319">
        <f t="shared" si="78"/>
        <v>19110906</v>
      </c>
      <c r="K79" s="544">
        <f>SUM(D79:J79)</f>
        <v>3329496978</v>
      </c>
      <c r="M79" s="318">
        <f aca="true" t="shared" si="79" ref="M79:S79">SUM(M66:M77)</f>
        <v>933248820.2898715</v>
      </c>
      <c r="N79" s="319">
        <f>SUM(N66:N77)</f>
        <v>5817641.87455742</v>
      </c>
      <c r="O79" s="319">
        <f t="shared" si="79"/>
        <v>264116354.38468543</v>
      </c>
      <c r="P79" s="319">
        <f>SUM(P66:P77)</f>
        <v>1045707603.4846358</v>
      </c>
      <c r="Q79" s="319">
        <f t="shared" si="79"/>
        <v>922964133.891856</v>
      </c>
      <c r="R79" s="319">
        <f t="shared" si="79"/>
        <v>290325101.76705635</v>
      </c>
      <c r="S79" s="319">
        <f t="shared" si="79"/>
        <v>20964771.307337914</v>
      </c>
      <c r="T79" s="546">
        <f>SUM(T66:T77)</f>
        <v>3483144427</v>
      </c>
      <c r="V79" s="318">
        <f aca="true" t="shared" si="80" ref="V79:AB79">SUM(V66:V77)</f>
        <v>1066310557</v>
      </c>
      <c r="W79" s="319">
        <f>SUM(W66:W77)</f>
        <v>5528171.108536116</v>
      </c>
      <c r="X79" s="319">
        <f t="shared" si="80"/>
        <v>288084105.89146394</v>
      </c>
      <c r="Y79" s="319">
        <f>SUM(Y66:Y77)</f>
        <v>1083191856</v>
      </c>
      <c r="Z79" s="319">
        <f t="shared" si="80"/>
        <v>954061083</v>
      </c>
      <c r="AA79" s="319">
        <f t="shared" si="80"/>
        <v>304422360</v>
      </c>
      <c r="AB79" s="319">
        <f t="shared" si="80"/>
        <v>21908421</v>
      </c>
      <c r="AC79" s="544">
        <f>SUM(AC66:AC77)</f>
        <v>3723506554</v>
      </c>
      <c r="AE79" s="318">
        <f aca="true" t="shared" si="81" ref="AE79:AL79">SUM(AE66:AE77)</f>
        <v>1041609066.9531491</v>
      </c>
      <c r="AF79" s="319">
        <f t="shared" si="81"/>
        <v>5294846.640991666</v>
      </c>
      <c r="AG79" s="319">
        <f t="shared" si="81"/>
        <v>282703765.9841937</v>
      </c>
      <c r="AH79" s="319">
        <f>SUM(AH66:AH77)</f>
        <v>1080817873.5867229</v>
      </c>
      <c r="AI79" s="319">
        <f t="shared" si="81"/>
        <v>950418593.1900728</v>
      </c>
      <c r="AJ79" s="319">
        <f t="shared" si="81"/>
        <v>334087721.73003125</v>
      </c>
      <c r="AK79" s="319">
        <f t="shared" si="81"/>
        <v>23791244.91483907</v>
      </c>
      <c r="AL79" s="544">
        <f t="shared" si="81"/>
        <v>3718723113</v>
      </c>
      <c r="AN79" s="318">
        <f aca="true" t="shared" si="82" ref="AN79:AT79">SUM(AN66:AN77)</f>
        <v>1102238845.1530476</v>
      </c>
      <c r="AO79" s="319">
        <f>SUM(AO66:AO77)</f>
        <v>5047284.347783278</v>
      </c>
      <c r="AP79" s="319">
        <f t="shared" si="82"/>
        <v>298781693.0369566</v>
      </c>
      <c r="AQ79" s="319">
        <f>SUM(AQ66:AQ77)</f>
        <v>1109791373.6344707</v>
      </c>
      <c r="AR79" s="319">
        <f t="shared" si="82"/>
        <v>942048351.1472753</v>
      </c>
      <c r="AS79" s="319">
        <f t="shared" si="82"/>
        <v>355306259.56106627</v>
      </c>
      <c r="AT79" s="319">
        <f t="shared" si="82"/>
        <v>25786193.119400337</v>
      </c>
      <c r="AU79" s="546">
        <f>SUM(AU66:AU77)</f>
        <v>3839000000</v>
      </c>
      <c r="AW79" s="318">
        <f>SUM(AW66:AW77)</f>
        <v>1093569511.9108763</v>
      </c>
      <c r="AX79" s="319">
        <f aca="true" t="shared" si="83" ref="AX79:BC79">SUM(AX66:AX77)</f>
        <v>5109078.339598986</v>
      </c>
      <c r="AY79" s="319">
        <f t="shared" si="83"/>
        <v>288052193.27834255</v>
      </c>
      <c r="AZ79" s="319">
        <f>SUM(AZ66:AZ77)</f>
        <v>1116951693.2864387</v>
      </c>
      <c r="BA79" s="319">
        <f t="shared" si="83"/>
        <v>872587042.1161599</v>
      </c>
      <c r="BB79" s="319">
        <f t="shared" si="83"/>
        <v>388700963.20286673</v>
      </c>
      <c r="BC79" s="319">
        <f t="shared" si="83"/>
        <v>26793083.865717456</v>
      </c>
      <c r="BD79" s="544">
        <f>SUM(BD66:BD77)</f>
        <v>3791763566.0000005</v>
      </c>
      <c r="BF79" s="318">
        <f>SUM(BF66:BF77)</f>
        <v>1088557819</v>
      </c>
      <c r="BG79" s="319">
        <f aca="true" t="shared" si="84" ref="BG79:BL79">SUM(BG66:BG77)</f>
        <v>5104984.550019313</v>
      </c>
      <c r="BH79" s="319">
        <f t="shared" si="84"/>
        <v>278899780.4499807</v>
      </c>
      <c r="BI79" s="319">
        <f>SUM(BI66:BI77)</f>
        <v>1081007720</v>
      </c>
      <c r="BJ79" s="319">
        <f t="shared" si="84"/>
        <v>788185444</v>
      </c>
      <c r="BK79" s="319">
        <f t="shared" si="84"/>
        <v>342523390</v>
      </c>
      <c r="BL79" s="319">
        <f t="shared" si="84"/>
        <v>27343426</v>
      </c>
      <c r="BM79" s="546">
        <f>SUM(BM66:BM77)</f>
        <v>3611622564</v>
      </c>
    </row>
    <row r="80" spans="4:65" ht="13.5" thickBot="1">
      <c r="D80" s="246"/>
      <c r="E80" s="247"/>
      <c r="F80" s="247"/>
      <c r="G80" s="248"/>
      <c r="H80" s="248"/>
      <c r="I80" s="247"/>
      <c r="J80" s="247"/>
      <c r="K80" s="266"/>
      <c r="M80" s="180"/>
      <c r="N80" s="179"/>
      <c r="O80" s="179"/>
      <c r="P80" s="181"/>
      <c r="Q80" s="181"/>
      <c r="R80" s="179"/>
      <c r="S80" s="179"/>
      <c r="T80" s="235"/>
      <c r="V80" s="246"/>
      <c r="W80" s="247"/>
      <c r="X80" s="247"/>
      <c r="Y80" s="247"/>
      <c r="Z80" s="247"/>
      <c r="AA80" s="247"/>
      <c r="AB80" s="247"/>
      <c r="AC80" s="266"/>
      <c r="AE80" s="246"/>
      <c r="AF80" s="247"/>
      <c r="AG80" s="247"/>
      <c r="AH80" s="247"/>
      <c r="AI80" s="247"/>
      <c r="AJ80" s="247"/>
      <c r="AK80" s="247"/>
      <c r="AL80" s="266"/>
      <c r="AN80" s="246"/>
      <c r="AO80" s="247"/>
      <c r="AP80" s="247"/>
      <c r="AQ80" s="247"/>
      <c r="AR80" s="247"/>
      <c r="AS80" s="247"/>
      <c r="AT80" s="247"/>
      <c r="AU80" s="266"/>
      <c r="AW80" s="246"/>
      <c r="AX80" s="247"/>
      <c r="AY80" s="247"/>
      <c r="AZ80" s="247"/>
      <c r="BA80" s="247"/>
      <c r="BB80" s="247"/>
      <c r="BC80" s="247"/>
      <c r="BD80" s="266"/>
      <c r="BF80" s="246"/>
      <c r="BG80" s="247"/>
      <c r="BH80" s="247"/>
      <c r="BI80" s="247"/>
      <c r="BJ80" s="247"/>
      <c r="BK80" s="247"/>
      <c r="BL80" s="247"/>
      <c r="BM80" s="266"/>
    </row>
    <row r="83" spans="4:5" ht="12.75">
      <c r="D83" s="364"/>
      <c r="E83" s="365"/>
    </row>
    <row r="84" spans="4:5" ht="12.75">
      <c r="D84" s="364"/>
      <c r="E84" s="365"/>
    </row>
    <row r="85" spans="4:5" ht="12.75">
      <c r="D85" s="364"/>
      <c r="E85" s="365"/>
    </row>
    <row r="86" spans="4:5" ht="12.75">
      <c r="D86" s="364"/>
      <c r="E86" s="365"/>
    </row>
    <row r="87" spans="4:5" ht="12.75">
      <c r="D87" s="364"/>
      <c r="E87" s="365"/>
    </row>
    <row r="88" spans="4:5" ht="12.75">
      <c r="D88" s="364"/>
      <c r="E88" s="365"/>
    </row>
    <row r="89" spans="4:5" ht="12.75">
      <c r="D89" s="364"/>
      <c r="E89" s="365"/>
    </row>
  </sheetData>
  <sheetProtection/>
  <mergeCells count="36">
    <mergeCell ref="BF64:BL64"/>
    <mergeCell ref="D64:J64"/>
    <mergeCell ref="M64:S64"/>
    <mergeCell ref="V64:AB64"/>
    <mergeCell ref="AE64:AK64"/>
    <mergeCell ref="AN64:AT64"/>
    <mergeCell ref="AW64:BD64"/>
    <mergeCell ref="BF37:BM37"/>
    <mergeCell ref="A38:A52"/>
    <mergeCell ref="F54:H54"/>
    <mergeCell ref="O56:Q56"/>
    <mergeCell ref="AH56:AI56"/>
    <mergeCell ref="AQ56:AR56"/>
    <mergeCell ref="BG56:BH56"/>
    <mergeCell ref="AW19:BC19"/>
    <mergeCell ref="BF19:BL19"/>
    <mergeCell ref="D1:J1"/>
    <mergeCell ref="A21:A34"/>
    <mergeCell ref="D37:K37"/>
    <mergeCell ref="M37:T37"/>
    <mergeCell ref="V37:AC37"/>
    <mergeCell ref="AE37:AL37"/>
    <mergeCell ref="AN37:AU37"/>
    <mergeCell ref="AW37:BD37"/>
    <mergeCell ref="A3:A16"/>
    <mergeCell ref="D19:J19"/>
    <mergeCell ref="M19:S19"/>
    <mergeCell ref="V19:AB19"/>
    <mergeCell ref="AE19:AK19"/>
    <mergeCell ref="AN19:AT19"/>
    <mergeCell ref="BF1:BL1"/>
    <mergeCell ref="M1:S1"/>
    <mergeCell ref="V1:AB1"/>
    <mergeCell ref="AE1:AK1"/>
    <mergeCell ref="AN1:AT1"/>
    <mergeCell ref="AW1:BC1"/>
  </mergeCells>
  <printOptions horizontalCentered="1"/>
  <pageMargins left="0.7" right="0.7" top="0.75" bottom="0.75" header="0.3" footer="0.3"/>
  <pageSetup horizontalDpi="600" verticalDpi="600" orientation="portrait" scale="40" r:id="rId3"/>
  <colBreaks count="6" manualBreakCount="6">
    <brk id="12" max="65535" man="1"/>
    <brk id="21" max="65535" man="1"/>
    <brk id="30" max="65535" man="1"/>
    <brk id="39" max="65535" man="1"/>
    <brk id="48" max="65535" man="1"/>
    <brk id="57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R20"/>
  <sheetViews>
    <sheetView showGridLines="0" zoomScalePageLayoutView="0" workbookViewId="0" topLeftCell="A1">
      <pane xSplit="1" topLeftCell="AK1" activePane="topRight" state="frozen"/>
      <selection pane="topLeft" activeCell="A1" sqref="A1"/>
      <selection pane="topRight" activeCell="AO23" sqref="AO23"/>
    </sheetView>
  </sheetViews>
  <sheetFormatPr defaultColWidth="9.140625" defaultRowHeight="12.75" outlineLevelCol="1"/>
  <cols>
    <col min="1" max="1" width="14.7109375" style="0" bestFit="1" customWidth="1"/>
    <col min="3" max="3" width="10.57421875" style="277" customWidth="1" outlineLevel="1"/>
    <col min="4" max="4" width="12.57421875" style="277" customWidth="1" outlineLevel="1"/>
    <col min="5" max="5" width="10.140625" style="0" customWidth="1" outlineLevel="1"/>
    <col min="6" max="6" width="8.00390625" style="0" customWidth="1" outlineLevel="1"/>
    <col min="7" max="7" width="10.57421875" style="0" customWidth="1" outlineLevel="1"/>
    <col min="8" max="8" width="7.7109375" style="0" bestFit="1" customWidth="1"/>
    <col min="9" max="9" width="10.57421875" style="277" customWidth="1" outlineLevel="1"/>
    <col min="10" max="10" width="12.57421875" style="277" customWidth="1" outlineLevel="1"/>
    <col min="11" max="11" width="10.140625" style="0" customWidth="1" outlineLevel="1"/>
    <col min="12" max="12" width="8.00390625" style="0" customWidth="1" outlineLevel="1"/>
    <col min="13" max="13" width="10.57421875" style="0" customWidth="1" outlineLevel="1"/>
    <col min="14" max="14" width="7.7109375" style="0" bestFit="1" customWidth="1"/>
    <col min="15" max="15" width="10.57421875" style="278" customWidth="1" outlineLevel="1"/>
    <col min="16" max="16" width="12.57421875" style="278" customWidth="1" outlineLevel="1"/>
    <col min="17" max="17" width="9.00390625" style="278" customWidth="1" outlineLevel="1"/>
    <col min="18" max="18" width="8.00390625" style="278" customWidth="1" outlineLevel="1"/>
    <col min="19" max="19" width="10.57421875" style="278" customWidth="1" outlineLevel="1"/>
    <col min="20" max="20" width="5.00390625" style="0" bestFit="1" customWidth="1"/>
    <col min="21" max="21" width="10.57421875" style="279" customWidth="1" outlineLevel="1"/>
    <col min="22" max="22" width="12.57421875" style="279" customWidth="1" outlineLevel="1"/>
    <col min="23" max="23" width="9.00390625" style="279" customWidth="1" outlineLevel="1"/>
    <col min="24" max="24" width="8.00390625" style="279" customWidth="1" outlineLevel="1"/>
    <col min="25" max="25" width="10.57421875" style="279" customWidth="1" outlineLevel="1"/>
    <col min="26" max="26" width="5.00390625" style="0" bestFit="1" customWidth="1"/>
    <col min="27" max="27" width="10.57421875" style="0" customWidth="1" outlineLevel="1"/>
    <col min="28" max="28" width="12.57421875" style="0" customWidth="1" outlineLevel="1"/>
    <col min="29" max="29" width="9.00390625" style="0" customWidth="1" outlineLevel="1"/>
    <col min="30" max="30" width="8.00390625" style="0" customWidth="1" outlineLevel="1"/>
    <col min="31" max="31" width="10.57421875" style="0" customWidth="1" outlineLevel="1"/>
    <col min="32" max="32" width="7.7109375" style="0" bestFit="1" customWidth="1"/>
    <col min="33" max="33" width="10.57421875" style="280" customWidth="1" outlineLevel="1"/>
    <col min="34" max="34" width="12.57421875" style="280" customWidth="1" outlineLevel="1"/>
    <col min="35" max="35" width="9.00390625" style="280" customWidth="1" outlineLevel="1"/>
    <col min="36" max="36" width="8.00390625" style="280" customWidth="1" outlineLevel="1"/>
    <col min="37" max="37" width="10.57421875" style="280" customWidth="1" outlineLevel="1"/>
    <col min="38" max="38" width="7.7109375" style="0" bestFit="1" customWidth="1"/>
    <col min="39" max="39" width="10.57421875" style="0" customWidth="1" outlineLevel="1"/>
    <col min="40" max="40" width="12.57421875" style="0" customWidth="1" outlineLevel="1"/>
    <col min="41" max="41" width="9.00390625" style="0" customWidth="1" outlineLevel="1"/>
    <col min="42" max="42" width="8.00390625" style="0" customWidth="1" outlineLevel="1"/>
    <col min="43" max="43" width="10.57421875" style="0" customWidth="1" outlineLevel="1"/>
    <col min="44" max="44" width="7.7109375" style="0" bestFit="1" customWidth="1"/>
  </cols>
  <sheetData>
    <row r="1" spans="3:44" s="5" customFormat="1" ht="12.75">
      <c r="C1" s="720"/>
      <c r="D1" s="721"/>
      <c r="E1" s="721"/>
      <c r="F1" s="721"/>
      <c r="G1" s="158"/>
      <c r="H1" s="108">
        <v>2003</v>
      </c>
      <c r="I1" s="720"/>
      <c r="J1" s="721"/>
      <c r="K1" s="721"/>
      <c r="L1" s="721"/>
      <c r="M1" s="39"/>
      <c r="N1" s="108">
        <v>2004</v>
      </c>
      <c r="O1" s="720"/>
      <c r="P1" s="721"/>
      <c r="Q1" s="721"/>
      <c r="R1" s="721"/>
      <c r="S1" s="39"/>
      <c r="T1" s="108">
        <v>2005</v>
      </c>
      <c r="U1" s="720"/>
      <c r="V1" s="721"/>
      <c r="W1" s="721"/>
      <c r="X1" s="721"/>
      <c r="Y1" s="39"/>
      <c r="Z1" s="108">
        <v>2006</v>
      </c>
      <c r="AA1" s="720"/>
      <c r="AB1" s="721"/>
      <c r="AC1" s="721"/>
      <c r="AD1" s="721"/>
      <c r="AE1" s="39"/>
      <c r="AF1" s="108">
        <v>2007</v>
      </c>
      <c r="AG1" s="720"/>
      <c r="AH1" s="721"/>
      <c r="AI1" s="721"/>
      <c r="AJ1" s="721"/>
      <c r="AK1" s="39"/>
      <c r="AL1" s="108">
        <v>2008</v>
      </c>
      <c r="AM1" s="720"/>
      <c r="AN1" s="721"/>
      <c r="AO1" s="721"/>
      <c r="AP1" s="721"/>
      <c r="AQ1" s="160"/>
      <c r="AR1" s="108">
        <v>2009</v>
      </c>
    </row>
    <row r="2" spans="3:43" s="5" customFormat="1" ht="13.5" thickBot="1">
      <c r="C2" s="161" t="s">
        <v>78</v>
      </c>
      <c r="D2" s="162" t="s">
        <v>79</v>
      </c>
      <c r="E2" s="162" t="s">
        <v>92</v>
      </c>
      <c r="F2" s="162" t="s">
        <v>81</v>
      </c>
      <c r="G2" s="163" t="s">
        <v>82</v>
      </c>
      <c r="I2" s="161" t="s">
        <v>78</v>
      </c>
      <c r="J2" s="162" t="s">
        <v>79</v>
      </c>
      <c r="K2" s="162" t="s">
        <v>92</v>
      </c>
      <c r="L2" s="162" t="s">
        <v>81</v>
      </c>
      <c r="M2" s="163" t="s">
        <v>82</v>
      </c>
      <c r="O2" s="161" t="s">
        <v>78</v>
      </c>
      <c r="P2" s="162" t="s">
        <v>79</v>
      </c>
      <c r="Q2" s="162" t="s">
        <v>80</v>
      </c>
      <c r="R2" s="162" t="s">
        <v>81</v>
      </c>
      <c r="S2" s="163" t="s">
        <v>82</v>
      </c>
      <c r="U2" s="251" t="s">
        <v>78</v>
      </c>
      <c r="V2" s="166" t="s">
        <v>79</v>
      </c>
      <c r="W2" s="166" t="s">
        <v>80</v>
      </c>
      <c r="X2" s="165" t="s">
        <v>81</v>
      </c>
      <c r="Y2" s="163" t="s">
        <v>82</v>
      </c>
      <c r="AA2" s="161" t="s">
        <v>78</v>
      </c>
      <c r="AB2" s="162" t="s">
        <v>79</v>
      </c>
      <c r="AC2" s="162" t="s">
        <v>80</v>
      </c>
      <c r="AD2" s="162" t="s">
        <v>81</v>
      </c>
      <c r="AE2" s="167" t="s">
        <v>82</v>
      </c>
      <c r="AG2" s="161" t="s">
        <v>78</v>
      </c>
      <c r="AH2" s="162" t="s">
        <v>79</v>
      </c>
      <c r="AI2" s="162" t="s">
        <v>80</v>
      </c>
      <c r="AJ2" s="162" t="s">
        <v>81</v>
      </c>
      <c r="AK2" s="168" t="s">
        <v>82</v>
      </c>
      <c r="AM2" s="161" t="s">
        <v>78</v>
      </c>
      <c r="AN2" s="162" t="s">
        <v>79</v>
      </c>
      <c r="AO2" s="162" t="s">
        <v>80</v>
      </c>
      <c r="AP2" s="162" t="s">
        <v>81</v>
      </c>
      <c r="AQ2" s="168" t="s">
        <v>82</v>
      </c>
    </row>
    <row r="3" spans="1:43" s="29" customFormat="1" ht="12.75">
      <c r="A3" s="252" t="s">
        <v>9</v>
      </c>
      <c r="C3" s="253">
        <v>228091</v>
      </c>
      <c r="D3" s="254">
        <v>152121</v>
      </c>
      <c r="E3" s="254">
        <v>49432</v>
      </c>
      <c r="F3" s="254">
        <v>4859</v>
      </c>
      <c r="G3" s="255">
        <f>SUM(C3:F3)</f>
        <v>434503</v>
      </c>
      <c r="I3" s="253">
        <v>231787</v>
      </c>
      <c r="J3" s="254">
        <v>166256</v>
      </c>
      <c r="K3" s="254">
        <v>42040</v>
      </c>
      <c r="L3" s="254">
        <v>4940</v>
      </c>
      <c r="M3" s="255">
        <f>SUM(I3:L3)</f>
        <v>445023</v>
      </c>
      <c r="O3" s="253">
        <v>237681</v>
      </c>
      <c r="P3" s="254">
        <v>172709</v>
      </c>
      <c r="Q3" s="256">
        <v>42204</v>
      </c>
      <c r="R3" s="256">
        <v>5258</v>
      </c>
      <c r="S3" s="255">
        <f>SUM(O3:R3)</f>
        <v>457852</v>
      </c>
      <c r="U3" s="253">
        <v>236221</v>
      </c>
      <c r="V3" s="254">
        <v>174648</v>
      </c>
      <c r="W3" s="256">
        <v>42359</v>
      </c>
      <c r="X3" s="256">
        <v>5730</v>
      </c>
      <c r="Y3" s="255">
        <f>SUM(U3:X3)</f>
        <v>458958</v>
      </c>
      <c r="AA3" s="253">
        <v>246149</v>
      </c>
      <c r="AB3" s="254">
        <v>170000</v>
      </c>
      <c r="AC3" s="256">
        <v>46728</v>
      </c>
      <c r="AD3" s="256">
        <v>6098</v>
      </c>
      <c r="AE3" s="255">
        <f>SUM(AA3:AD3)</f>
        <v>468975</v>
      </c>
      <c r="AG3" s="253">
        <v>255704</v>
      </c>
      <c r="AH3" s="254">
        <v>162567</v>
      </c>
      <c r="AI3" s="256">
        <v>57398</v>
      </c>
      <c r="AJ3" s="256">
        <v>6603</v>
      </c>
      <c r="AK3" s="255">
        <f>SUM(AG3:AJ3)</f>
        <v>482272</v>
      </c>
      <c r="AM3" s="253">
        <v>255081</v>
      </c>
      <c r="AN3" s="254">
        <v>144247</v>
      </c>
      <c r="AO3" s="256">
        <v>55525</v>
      </c>
      <c r="AP3" s="256">
        <v>6745</v>
      </c>
      <c r="AQ3" s="255">
        <f>SUM(AM3:AP3)</f>
        <v>461598</v>
      </c>
    </row>
    <row r="4" spans="1:43" s="29" customFormat="1" ht="12.75">
      <c r="A4" s="257" t="s">
        <v>10</v>
      </c>
      <c r="C4" s="253">
        <v>226105</v>
      </c>
      <c r="D4" s="254">
        <v>154691</v>
      </c>
      <c r="E4" s="254">
        <v>47419</v>
      </c>
      <c r="F4" s="254">
        <v>4862</v>
      </c>
      <c r="G4" s="255">
        <f aca="true" t="shared" si="0" ref="G4:G14">SUM(C4:F4)</f>
        <v>433077</v>
      </c>
      <c r="I4" s="253">
        <v>227922</v>
      </c>
      <c r="J4" s="254">
        <v>171354</v>
      </c>
      <c r="K4" s="254">
        <v>37730</v>
      </c>
      <c r="L4" s="254">
        <v>4954</v>
      </c>
      <c r="M4" s="255">
        <f aca="true" t="shared" si="1" ref="M4:M14">SUM(I4:L4)</f>
        <v>441960</v>
      </c>
      <c r="O4" s="253">
        <v>235242</v>
      </c>
      <c r="P4" s="254">
        <v>173674</v>
      </c>
      <c r="Q4" s="256">
        <v>41354</v>
      </c>
      <c r="R4" s="256">
        <v>5288</v>
      </c>
      <c r="S4" s="255">
        <f aca="true" t="shared" si="2" ref="S4:S14">SUM(O4:R4)</f>
        <v>455558</v>
      </c>
      <c r="U4" s="253">
        <v>240459</v>
      </c>
      <c r="V4" s="254">
        <v>175085</v>
      </c>
      <c r="W4" s="256">
        <v>49949</v>
      </c>
      <c r="X4" s="256">
        <v>5744</v>
      </c>
      <c r="Y4" s="255">
        <f aca="true" t="shared" si="3" ref="Y4:Y14">SUM(U4:X4)</f>
        <v>471237</v>
      </c>
      <c r="AA4" s="253">
        <v>250951</v>
      </c>
      <c r="AB4" s="254">
        <v>169006</v>
      </c>
      <c r="AC4" s="256">
        <v>45680</v>
      </c>
      <c r="AD4" s="256">
        <v>6227</v>
      </c>
      <c r="AE4" s="255">
        <f aca="true" t="shared" si="4" ref="AE4:AE14">SUM(AA4:AD4)</f>
        <v>471864</v>
      </c>
      <c r="AG4" s="253">
        <v>254190</v>
      </c>
      <c r="AH4" s="254">
        <v>156802</v>
      </c>
      <c r="AI4" s="256">
        <v>56212</v>
      </c>
      <c r="AJ4" s="256">
        <v>6612</v>
      </c>
      <c r="AK4" s="255">
        <f aca="true" t="shared" si="5" ref="AK4:AK14">SUM(AG4:AJ4)</f>
        <v>473816</v>
      </c>
      <c r="AM4" s="253">
        <v>251215</v>
      </c>
      <c r="AN4" s="254">
        <v>151679</v>
      </c>
      <c r="AO4" s="256">
        <v>58244</v>
      </c>
      <c r="AP4" s="256">
        <v>6768</v>
      </c>
      <c r="AQ4" s="255">
        <f aca="true" t="shared" si="6" ref="AQ4:AQ14">SUM(AM4:AP4)</f>
        <v>467906</v>
      </c>
    </row>
    <row r="5" spans="1:43" s="29" customFormat="1" ht="12.75">
      <c r="A5" s="257" t="s">
        <v>11</v>
      </c>
      <c r="C5" s="253">
        <v>228013</v>
      </c>
      <c r="D5" s="254">
        <v>158199</v>
      </c>
      <c r="E5" s="254">
        <v>49311</v>
      </c>
      <c r="F5" s="254">
        <v>4861</v>
      </c>
      <c r="G5" s="255">
        <f t="shared" si="0"/>
        <v>440384</v>
      </c>
      <c r="I5" s="253">
        <v>225728</v>
      </c>
      <c r="J5" s="254">
        <v>173500</v>
      </c>
      <c r="K5" s="254">
        <v>40399</v>
      </c>
      <c r="L5" s="254">
        <v>4960</v>
      </c>
      <c r="M5" s="255">
        <f t="shared" si="1"/>
        <v>444587</v>
      </c>
      <c r="O5" s="253">
        <v>233430</v>
      </c>
      <c r="P5" s="254">
        <v>172916</v>
      </c>
      <c r="Q5" s="256">
        <v>40802</v>
      </c>
      <c r="R5" s="256">
        <v>5344</v>
      </c>
      <c r="S5" s="255">
        <f t="shared" si="2"/>
        <v>452492</v>
      </c>
      <c r="U5" s="253">
        <v>237612</v>
      </c>
      <c r="V5" s="254">
        <v>171688</v>
      </c>
      <c r="W5" s="256">
        <v>49261</v>
      </c>
      <c r="X5" s="256">
        <v>5765</v>
      </c>
      <c r="Y5" s="255">
        <f t="shared" si="3"/>
        <v>464326</v>
      </c>
      <c r="AA5" s="253">
        <v>248434</v>
      </c>
      <c r="AB5" s="254">
        <v>170084</v>
      </c>
      <c r="AC5" s="256">
        <v>55205</v>
      </c>
      <c r="AD5" s="256">
        <v>6255</v>
      </c>
      <c r="AE5" s="255">
        <f t="shared" si="4"/>
        <v>479978</v>
      </c>
      <c r="AG5" s="253">
        <v>253203</v>
      </c>
      <c r="AH5" s="254">
        <v>156406</v>
      </c>
      <c r="AI5" s="256">
        <v>57242</v>
      </c>
      <c r="AJ5" s="256">
        <v>6619</v>
      </c>
      <c r="AK5" s="255">
        <f t="shared" si="5"/>
        <v>473470</v>
      </c>
      <c r="AM5" s="253">
        <v>252831</v>
      </c>
      <c r="AN5" s="254">
        <v>152796</v>
      </c>
      <c r="AO5" s="256">
        <v>57967</v>
      </c>
      <c r="AP5" s="256">
        <v>6765</v>
      </c>
      <c r="AQ5" s="255">
        <f t="shared" si="6"/>
        <v>470359</v>
      </c>
    </row>
    <row r="6" spans="1:43" s="29" customFormat="1" ht="12.75">
      <c r="A6" s="257" t="s">
        <v>12</v>
      </c>
      <c r="C6" s="253">
        <v>224493</v>
      </c>
      <c r="D6" s="254">
        <v>159309</v>
      </c>
      <c r="E6" s="254">
        <v>45823</v>
      </c>
      <c r="F6" s="254">
        <v>4863</v>
      </c>
      <c r="G6" s="255">
        <f t="shared" si="0"/>
        <v>434488</v>
      </c>
      <c r="I6" s="253">
        <v>200145</v>
      </c>
      <c r="J6" s="254">
        <v>174346</v>
      </c>
      <c r="K6" s="254">
        <v>40107</v>
      </c>
      <c r="L6" s="254">
        <v>4967</v>
      </c>
      <c r="M6" s="255">
        <f t="shared" si="1"/>
        <v>419565</v>
      </c>
      <c r="O6" s="253">
        <v>233029</v>
      </c>
      <c r="P6" s="254">
        <v>178026</v>
      </c>
      <c r="Q6" s="256">
        <v>41194</v>
      </c>
      <c r="R6" s="256">
        <v>5376</v>
      </c>
      <c r="S6" s="255">
        <f t="shared" si="2"/>
        <v>457625</v>
      </c>
      <c r="U6" s="253">
        <v>235064</v>
      </c>
      <c r="V6" s="254">
        <v>166087</v>
      </c>
      <c r="W6" s="256">
        <v>49703</v>
      </c>
      <c r="X6" s="256">
        <v>5768</v>
      </c>
      <c r="Y6" s="255">
        <f t="shared" si="3"/>
        <v>456622</v>
      </c>
      <c r="AA6" s="253">
        <v>242906</v>
      </c>
      <c r="AB6" s="254">
        <v>170437</v>
      </c>
      <c r="AC6" s="256">
        <v>51344</v>
      </c>
      <c r="AD6" s="256">
        <v>6277</v>
      </c>
      <c r="AE6" s="255">
        <f t="shared" si="4"/>
        <v>470964</v>
      </c>
      <c r="AG6" s="253">
        <v>252368</v>
      </c>
      <c r="AH6" s="254">
        <v>167983</v>
      </c>
      <c r="AI6" s="256">
        <v>58743</v>
      </c>
      <c r="AJ6" s="256">
        <v>6625</v>
      </c>
      <c r="AK6" s="255">
        <f t="shared" si="5"/>
        <v>485719</v>
      </c>
      <c r="AM6" s="253">
        <v>254322</v>
      </c>
      <c r="AN6" s="254">
        <v>150148</v>
      </c>
      <c r="AO6" s="256">
        <v>58655</v>
      </c>
      <c r="AP6" s="256">
        <v>6777</v>
      </c>
      <c r="AQ6" s="255">
        <f t="shared" si="6"/>
        <v>469902</v>
      </c>
    </row>
    <row r="7" spans="1:43" s="29" customFormat="1" ht="12.75">
      <c r="A7" s="257" t="s">
        <v>13</v>
      </c>
      <c r="C7" s="253">
        <v>220504</v>
      </c>
      <c r="D7" s="254">
        <v>160905</v>
      </c>
      <c r="E7" s="254">
        <v>45962</v>
      </c>
      <c r="F7" s="254">
        <v>4874</v>
      </c>
      <c r="G7" s="255">
        <f t="shared" si="0"/>
        <v>432245</v>
      </c>
      <c r="I7" s="253">
        <v>238313</v>
      </c>
      <c r="J7" s="254">
        <v>174522</v>
      </c>
      <c r="K7" s="254">
        <v>42150</v>
      </c>
      <c r="L7" s="254">
        <v>4970</v>
      </c>
      <c r="M7" s="255">
        <f t="shared" si="1"/>
        <v>459955</v>
      </c>
      <c r="O7" s="253">
        <v>235317</v>
      </c>
      <c r="P7" s="254">
        <v>177927</v>
      </c>
      <c r="Q7" s="256">
        <v>41340</v>
      </c>
      <c r="R7" s="256">
        <v>5391</v>
      </c>
      <c r="S7" s="255">
        <f t="shared" si="2"/>
        <v>459975</v>
      </c>
      <c r="U7" s="253">
        <v>245850</v>
      </c>
      <c r="V7" s="254">
        <v>188905</v>
      </c>
      <c r="W7" s="256">
        <v>50635</v>
      </c>
      <c r="X7" s="256">
        <v>5789</v>
      </c>
      <c r="Y7" s="255">
        <f t="shared" si="3"/>
        <v>491179</v>
      </c>
      <c r="AA7" s="253">
        <v>251017</v>
      </c>
      <c r="AB7" s="254">
        <v>179957</v>
      </c>
      <c r="AC7" s="256">
        <v>54957</v>
      </c>
      <c r="AD7" s="256">
        <v>6311</v>
      </c>
      <c r="AE7" s="255">
        <f t="shared" si="4"/>
        <v>492242</v>
      </c>
      <c r="AG7" s="253">
        <v>248343</v>
      </c>
      <c r="AH7" s="254">
        <v>165407</v>
      </c>
      <c r="AI7" s="256">
        <v>59034</v>
      </c>
      <c r="AJ7" s="256">
        <v>6627</v>
      </c>
      <c r="AK7" s="255">
        <f t="shared" si="5"/>
        <v>479411</v>
      </c>
      <c r="AM7" s="253">
        <v>249379</v>
      </c>
      <c r="AN7" s="254">
        <v>155033</v>
      </c>
      <c r="AO7" s="256">
        <v>58459</v>
      </c>
      <c r="AP7" s="256">
        <v>6778</v>
      </c>
      <c r="AQ7" s="255">
        <f t="shared" si="6"/>
        <v>469649</v>
      </c>
    </row>
    <row r="8" spans="1:43" s="29" customFormat="1" ht="12.75">
      <c r="A8" s="257" t="s">
        <v>14</v>
      </c>
      <c r="C8" s="253">
        <v>232409</v>
      </c>
      <c r="D8" s="254">
        <v>171401</v>
      </c>
      <c r="E8" s="254">
        <v>48836</v>
      </c>
      <c r="F8" s="254">
        <v>4864</v>
      </c>
      <c r="G8" s="255">
        <f t="shared" si="0"/>
        <v>457510</v>
      </c>
      <c r="I8" s="253">
        <v>243761</v>
      </c>
      <c r="J8" s="254">
        <v>178672</v>
      </c>
      <c r="K8" s="254">
        <v>48129</v>
      </c>
      <c r="L8" s="254">
        <v>4998</v>
      </c>
      <c r="M8" s="255">
        <f t="shared" si="1"/>
        <v>475560</v>
      </c>
      <c r="O8" s="253">
        <v>252086</v>
      </c>
      <c r="P8" s="254">
        <v>189816</v>
      </c>
      <c r="Q8" s="256">
        <v>44299</v>
      </c>
      <c r="R8" s="256">
        <v>5457</v>
      </c>
      <c r="S8" s="255">
        <f t="shared" si="2"/>
        <v>491658</v>
      </c>
      <c r="U8" s="253">
        <v>261826</v>
      </c>
      <c r="V8" s="254">
        <v>183101</v>
      </c>
      <c r="W8" s="256">
        <v>49691</v>
      </c>
      <c r="X8" s="256">
        <v>5787</v>
      </c>
      <c r="Y8" s="255">
        <f t="shared" si="3"/>
        <v>500405</v>
      </c>
      <c r="AA8" s="253">
        <v>263857</v>
      </c>
      <c r="AB8" s="254">
        <v>188327</v>
      </c>
      <c r="AC8" s="256">
        <v>56675</v>
      </c>
      <c r="AD8" s="256">
        <v>6312</v>
      </c>
      <c r="AE8" s="255">
        <f t="shared" si="4"/>
        <v>515171</v>
      </c>
      <c r="AG8" s="253">
        <v>265813</v>
      </c>
      <c r="AH8" s="254">
        <v>177293</v>
      </c>
      <c r="AI8" s="256">
        <v>63496</v>
      </c>
      <c r="AJ8" s="256">
        <v>6627</v>
      </c>
      <c r="AK8" s="255">
        <f t="shared" si="5"/>
        <v>513229</v>
      </c>
      <c r="AM8" s="253">
        <v>261374</v>
      </c>
      <c r="AN8" s="254">
        <v>156083</v>
      </c>
      <c r="AO8" s="256">
        <v>61604</v>
      </c>
      <c r="AP8" s="256">
        <v>6786</v>
      </c>
      <c r="AQ8" s="255">
        <f t="shared" si="6"/>
        <v>485847</v>
      </c>
    </row>
    <row r="9" spans="1:43" s="29" customFormat="1" ht="12.75">
      <c r="A9" s="257" t="s">
        <v>15</v>
      </c>
      <c r="C9" s="253">
        <v>235676</v>
      </c>
      <c r="D9" s="254">
        <v>173042</v>
      </c>
      <c r="E9" s="254">
        <v>48000</v>
      </c>
      <c r="F9" s="254">
        <v>4866</v>
      </c>
      <c r="G9" s="255">
        <f t="shared" si="0"/>
        <v>461584</v>
      </c>
      <c r="I9" s="253">
        <v>240028</v>
      </c>
      <c r="J9" s="254">
        <v>183630</v>
      </c>
      <c r="K9" s="254">
        <v>39508</v>
      </c>
      <c r="L9" s="254">
        <v>5017</v>
      </c>
      <c r="M9" s="255">
        <f t="shared" si="1"/>
        <v>468183</v>
      </c>
      <c r="O9" s="253">
        <v>252717</v>
      </c>
      <c r="P9" s="254">
        <v>191155</v>
      </c>
      <c r="Q9" s="256">
        <v>46731</v>
      </c>
      <c r="R9" s="256">
        <v>5484</v>
      </c>
      <c r="S9" s="255">
        <f t="shared" si="2"/>
        <v>496087</v>
      </c>
      <c r="U9" s="253">
        <v>266072</v>
      </c>
      <c r="V9" s="254">
        <v>187617</v>
      </c>
      <c r="W9" s="256">
        <v>51473</v>
      </c>
      <c r="X9" s="256">
        <v>5828</v>
      </c>
      <c r="Y9" s="255">
        <f t="shared" si="3"/>
        <v>510990</v>
      </c>
      <c r="AA9" s="253">
        <v>256387</v>
      </c>
      <c r="AB9" s="254">
        <v>178650</v>
      </c>
      <c r="AC9" s="256">
        <v>55846</v>
      </c>
      <c r="AD9" s="256">
        <v>6341</v>
      </c>
      <c r="AE9" s="255">
        <f t="shared" si="4"/>
        <v>497224</v>
      </c>
      <c r="AG9" s="253">
        <v>258298</v>
      </c>
      <c r="AH9" s="254">
        <v>174090</v>
      </c>
      <c r="AI9" s="256">
        <v>64260</v>
      </c>
      <c r="AJ9" s="256">
        <v>6649</v>
      </c>
      <c r="AK9" s="255">
        <f t="shared" si="5"/>
        <v>503297</v>
      </c>
      <c r="AM9" s="253">
        <v>257697</v>
      </c>
      <c r="AN9" s="254">
        <v>158142</v>
      </c>
      <c r="AO9" s="256">
        <v>63208</v>
      </c>
      <c r="AP9" s="256">
        <v>6805</v>
      </c>
      <c r="AQ9" s="255">
        <f t="shared" si="6"/>
        <v>485852</v>
      </c>
    </row>
    <row r="10" spans="1:43" s="29" customFormat="1" ht="12.75">
      <c r="A10" s="257" t="s">
        <v>16</v>
      </c>
      <c r="C10" s="253">
        <v>234447</v>
      </c>
      <c r="D10" s="254">
        <v>170943</v>
      </c>
      <c r="E10" s="254">
        <v>48897</v>
      </c>
      <c r="F10" s="254">
        <v>4866</v>
      </c>
      <c r="G10" s="255">
        <f t="shared" si="0"/>
        <v>459153</v>
      </c>
      <c r="I10" s="253">
        <v>240178</v>
      </c>
      <c r="J10" s="254">
        <v>180263</v>
      </c>
      <c r="K10" s="254">
        <v>45961</v>
      </c>
      <c r="L10" s="254">
        <v>5054</v>
      </c>
      <c r="M10" s="255">
        <f t="shared" si="1"/>
        <v>471456</v>
      </c>
      <c r="O10" s="253">
        <v>247239</v>
      </c>
      <c r="P10" s="254">
        <v>192460</v>
      </c>
      <c r="Q10" s="256">
        <v>43786</v>
      </c>
      <c r="R10" s="256">
        <v>5513</v>
      </c>
      <c r="S10" s="255">
        <f t="shared" si="2"/>
        <v>488998</v>
      </c>
      <c r="U10" s="253">
        <v>260654</v>
      </c>
      <c r="V10" s="254">
        <v>189939</v>
      </c>
      <c r="W10" s="256">
        <v>51199</v>
      </c>
      <c r="X10" s="256">
        <v>5859</v>
      </c>
      <c r="Y10" s="255">
        <f t="shared" si="3"/>
        <v>507651</v>
      </c>
      <c r="AA10" s="253">
        <v>260868</v>
      </c>
      <c r="AB10" s="254">
        <v>191279</v>
      </c>
      <c r="AC10" s="256">
        <v>55455</v>
      </c>
      <c r="AD10" s="256">
        <v>6376</v>
      </c>
      <c r="AE10" s="255">
        <f t="shared" si="4"/>
        <v>513978</v>
      </c>
      <c r="AG10" s="253">
        <v>260311</v>
      </c>
      <c r="AH10" s="254">
        <v>173203</v>
      </c>
      <c r="AI10" s="256">
        <v>61551</v>
      </c>
      <c r="AJ10" s="256">
        <v>6689</v>
      </c>
      <c r="AK10" s="255">
        <f t="shared" si="5"/>
        <v>501754</v>
      </c>
      <c r="AM10" s="253">
        <v>265732</v>
      </c>
      <c r="AN10" s="254">
        <v>160979</v>
      </c>
      <c r="AO10" s="256">
        <v>64048</v>
      </c>
      <c r="AP10" s="256">
        <v>6811</v>
      </c>
      <c r="AQ10" s="255">
        <f t="shared" si="6"/>
        <v>497570</v>
      </c>
    </row>
    <row r="11" spans="1:43" s="29" customFormat="1" ht="12.75">
      <c r="A11" s="257" t="s">
        <v>93</v>
      </c>
      <c r="C11" s="253">
        <v>232512</v>
      </c>
      <c r="D11" s="254">
        <v>170186</v>
      </c>
      <c r="E11" s="254">
        <v>28930</v>
      </c>
      <c r="F11" s="254">
        <v>4903</v>
      </c>
      <c r="G11" s="255">
        <f t="shared" si="0"/>
        <v>436531</v>
      </c>
      <c r="I11" s="253">
        <v>241622</v>
      </c>
      <c r="J11" s="254">
        <v>180232</v>
      </c>
      <c r="K11" s="254">
        <v>44541</v>
      </c>
      <c r="L11" s="254">
        <v>5117</v>
      </c>
      <c r="M11" s="255">
        <f t="shared" si="1"/>
        <v>471512</v>
      </c>
      <c r="O11" s="253">
        <v>250488</v>
      </c>
      <c r="P11" s="254">
        <v>179188</v>
      </c>
      <c r="Q11" s="256">
        <v>46058</v>
      </c>
      <c r="R11" s="256">
        <v>5561</v>
      </c>
      <c r="S11" s="255">
        <f t="shared" si="2"/>
        <v>481295</v>
      </c>
      <c r="U11" s="253">
        <v>242459</v>
      </c>
      <c r="V11" s="254">
        <v>181115</v>
      </c>
      <c r="W11" s="256">
        <v>51764</v>
      </c>
      <c r="X11" s="256">
        <v>5940</v>
      </c>
      <c r="Y11" s="255">
        <f t="shared" si="3"/>
        <v>481278</v>
      </c>
      <c r="AA11" s="253">
        <v>263139</v>
      </c>
      <c r="AB11" s="254">
        <v>183128</v>
      </c>
      <c r="AC11" s="256">
        <v>56113</v>
      </c>
      <c r="AD11" s="256">
        <v>6508</v>
      </c>
      <c r="AE11" s="255">
        <f t="shared" si="4"/>
        <v>508888</v>
      </c>
      <c r="AG11" s="253">
        <v>264444</v>
      </c>
      <c r="AH11" s="254">
        <v>172361</v>
      </c>
      <c r="AI11" s="256">
        <v>61243</v>
      </c>
      <c r="AJ11" s="256">
        <v>6697</v>
      </c>
      <c r="AK11" s="255">
        <f t="shared" si="5"/>
        <v>504745</v>
      </c>
      <c r="AM11" s="253">
        <v>260809</v>
      </c>
      <c r="AN11" s="254">
        <v>158645</v>
      </c>
      <c r="AO11" s="256">
        <v>57409</v>
      </c>
      <c r="AP11" s="256">
        <v>6850</v>
      </c>
      <c r="AQ11" s="255">
        <f t="shared" si="6"/>
        <v>483713</v>
      </c>
    </row>
    <row r="12" spans="1:43" s="29" customFormat="1" ht="12.75">
      <c r="A12" s="257" t="s">
        <v>51</v>
      </c>
      <c r="C12" s="253">
        <v>227037</v>
      </c>
      <c r="D12" s="254">
        <v>167429</v>
      </c>
      <c r="E12" s="254">
        <v>32807</v>
      </c>
      <c r="F12" s="254">
        <v>4907</v>
      </c>
      <c r="G12" s="255">
        <f t="shared" si="0"/>
        <v>432180</v>
      </c>
      <c r="I12" s="253">
        <v>234200</v>
      </c>
      <c r="J12" s="254">
        <v>178269</v>
      </c>
      <c r="K12" s="254">
        <v>41126</v>
      </c>
      <c r="L12" s="254">
        <v>5128</v>
      </c>
      <c r="M12" s="255">
        <f t="shared" si="1"/>
        <v>458723</v>
      </c>
      <c r="O12" s="253">
        <v>246228</v>
      </c>
      <c r="P12" s="254">
        <v>191465</v>
      </c>
      <c r="Q12" s="256">
        <v>42865</v>
      </c>
      <c r="R12" s="256">
        <v>5574</v>
      </c>
      <c r="S12" s="255">
        <f t="shared" si="2"/>
        <v>486132</v>
      </c>
      <c r="U12" s="253">
        <v>254597</v>
      </c>
      <c r="V12" s="254">
        <v>175253</v>
      </c>
      <c r="W12" s="256">
        <v>48350</v>
      </c>
      <c r="X12" s="256">
        <v>5958</v>
      </c>
      <c r="Y12" s="255">
        <f t="shared" si="3"/>
        <v>484158</v>
      </c>
      <c r="AA12" s="253">
        <v>256586</v>
      </c>
      <c r="AB12" s="254">
        <v>178829</v>
      </c>
      <c r="AC12" s="256">
        <v>53541</v>
      </c>
      <c r="AD12" s="256">
        <v>6536</v>
      </c>
      <c r="AE12" s="255">
        <f t="shared" si="4"/>
        <v>495492</v>
      </c>
      <c r="AG12" s="253">
        <v>246511</v>
      </c>
      <c r="AH12" s="254">
        <v>162041</v>
      </c>
      <c r="AI12" s="256">
        <v>59199</v>
      </c>
      <c r="AJ12" s="256">
        <v>6716</v>
      </c>
      <c r="AK12" s="255">
        <f t="shared" si="5"/>
        <v>474467</v>
      </c>
      <c r="AM12" s="253">
        <v>244783</v>
      </c>
      <c r="AN12" s="254">
        <v>152529</v>
      </c>
      <c r="AO12" s="256">
        <v>53997</v>
      </c>
      <c r="AP12" s="256">
        <v>6935</v>
      </c>
      <c r="AQ12" s="255">
        <f t="shared" si="6"/>
        <v>458244</v>
      </c>
    </row>
    <row r="13" spans="1:43" s="29" customFormat="1" ht="12.75">
      <c r="A13" s="257" t="s">
        <v>19</v>
      </c>
      <c r="C13" s="253">
        <v>221080</v>
      </c>
      <c r="D13" s="254">
        <v>164394</v>
      </c>
      <c r="E13" s="254">
        <v>39383</v>
      </c>
      <c r="F13" s="254">
        <v>4927</v>
      </c>
      <c r="G13" s="255">
        <f t="shared" si="0"/>
        <v>429784</v>
      </c>
      <c r="I13" s="253">
        <v>230873</v>
      </c>
      <c r="J13" s="254">
        <v>172315</v>
      </c>
      <c r="K13" s="254">
        <v>40622</v>
      </c>
      <c r="L13" s="254">
        <v>5158</v>
      </c>
      <c r="M13" s="255">
        <f t="shared" si="1"/>
        <v>448968</v>
      </c>
      <c r="O13" s="253">
        <v>236318</v>
      </c>
      <c r="P13" s="254">
        <v>179864</v>
      </c>
      <c r="Q13" s="256">
        <v>42079</v>
      </c>
      <c r="R13" s="256">
        <v>5596</v>
      </c>
      <c r="S13" s="255">
        <f t="shared" si="2"/>
        <v>463857</v>
      </c>
      <c r="U13" s="253">
        <v>239883</v>
      </c>
      <c r="V13" s="254">
        <v>171163</v>
      </c>
      <c r="W13" s="256">
        <v>47473</v>
      </c>
      <c r="X13" s="256">
        <v>5967</v>
      </c>
      <c r="Y13" s="255">
        <f t="shared" si="3"/>
        <v>464486</v>
      </c>
      <c r="AA13" s="253">
        <v>248423</v>
      </c>
      <c r="AB13" s="254">
        <v>169703</v>
      </c>
      <c r="AC13" s="256">
        <v>52298</v>
      </c>
      <c r="AD13" s="256">
        <v>6571</v>
      </c>
      <c r="AE13" s="255">
        <f t="shared" si="4"/>
        <v>476995</v>
      </c>
      <c r="AG13" s="253">
        <v>253311</v>
      </c>
      <c r="AH13" s="254">
        <v>157513</v>
      </c>
      <c r="AI13" s="256">
        <v>56454</v>
      </c>
      <c r="AJ13" s="256">
        <v>6728</v>
      </c>
      <c r="AK13" s="255">
        <f t="shared" si="5"/>
        <v>474006</v>
      </c>
      <c r="AM13" s="253">
        <v>245003</v>
      </c>
      <c r="AN13" s="254">
        <v>150935</v>
      </c>
      <c r="AO13" s="256">
        <v>53661</v>
      </c>
      <c r="AP13" s="256">
        <v>6945</v>
      </c>
      <c r="AQ13" s="255">
        <f t="shared" si="6"/>
        <v>456544</v>
      </c>
    </row>
    <row r="14" spans="1:43" s="29" customFormat="1" ht="13.5" thickBot="1">
      <c r="A14" s="258" t="s">
        <v>20</v>
      </c>
      <c r="C14" s="253">
        <v>216316</v>
      </c>
      <c r="D14" s="254">
        <v>153665</v>
      </c>
      <c r="E14" s="254">
        <v>46389</v>
      </c>
      <c r="F14" s="254">
        <v>4763</v>
      </c>
      <c r="G14" s="255">
        <f t="shared" si="0"/>
        <v>421133</v>
      </c>
      <c r="I14" s="253">
        <v>238116</v>
      </c>
      <c r="J14" s="254">
        <v>171603</v>
      </c>
      <c r="K14" s="254">
        <v>42688</v>
      </c>
      <c r="L14" s="254">
        <v>5211</v>
      </c>
      <c r="M14" s="255">
        <f t="shared" si="1"/>
        <v>457618</v>
      </c>
      <c r="O14" s="253">
        <v>241682</v>
      </c>
      <c r="P14" s="254">
        <v>168672</v>
      </c>
      <c r="Q14" s="256">
        <v>43073</v>
      </c>
      <c r="R14" s="256">
        <v>5680</v>
      </c>
      <c r="S14" s="255">
        <f t="shared" si="2"/>
        <v>459107</v>
      </c>
      <c r="U14" s="253">
        <v>242169</v>
      </c>
      <c r="V14" s="254">
        <v>172887</v>
      </c>
      <c r="W14" s="256">
        <v>47614</v>
      </c>
      <c r="X14" s="256">
        <v>6015</v>
      </c>
      <c r="Y14" s="255">
        <f t="shared" si="3"/>
        <v>468685</v>
      </c>
      <c r="AA14" s="253">
        <v>251257</v>
      </c>
      <c r="AB14" s="254">
        <v>157215</v>
      </c>
      <c r="AC14" s="256">
        <v>56019</v>
      </c>
      <c r="AD14" s="256">
        <v>6573</v>
      </c>
      <c r="AE14" s="255">
        <f t="shared" si="4"/>
        <v>471064</v>
      </c>
      <c r="AG14" s="253">
        <v>251613</v>
      </c>
      <c r="AH14" s="254">
        <v>150885</v>
      </c>
      <c r="AI14" s="256">
        <v>58103</v>
      </c>
      <c r="AJ14" s="256">
        <v>6737</v>
      </c>
      <c r="AK14" s="255">
        <f t="shared" si="5"/>
        <v>467338</v>
      </c>
      <c r="AM14" s="253">
        <v>250893</v>
      </c>
      <c r="AN14" s="254">
        <v>148754</v>
      </c>
      <c r="AO14" s="256">
        <v>54074</v>
      </c>
      <c r="AP14" s="256">
        <v>6956</v>
      </c>
      <c r="AQ14" s="255">
        <f t="shared" si="6"/>
        <v>460677</v>
      </c>
    </row>
    <row r="15" spans="3:43" s="29" customFormat="1" ht="13.5" thickBot="1">
      <c r="C15" s="253"/>
      <c r="D15" s="254"/>
      <c r="E15" s="254"/>
      <c r="F15" s="254"/>
      <c r="G15" s="231"/>
      <c r="I15" s="253"/>
      <c r="J15" s="254"/>
      <c r="K15" s="254"/>
      <c r="L15" s="254"/>
      <c r="M15" s="231"/>
      <c r="O15" s="253"/>
      <c r="P15" s="254"/>
      <c r="Q15" s="256"/>
      <c r="R15" s="256"/>
      <c r="S15" s="231"/>
      <c r="U15" s="253"/>
      <c r="V15" s="254"/>
      <c r="W15" s="256"/>
      <c r="X15" s="256"/>
      <c r="Y15" s="231"/>
      <c r="AA15" s="253"/>
      <c r="AB15" s="254"/>
      <c r="AC15" s="256"/>
      <c r="AD15" s="256"/>
      <c r="AE15" s="259"/>
      <c r="AG15" s="253"/>
      <c r="AH15" s="254"/>
      <c r="AI15" s="256"/>
      <c r="AJ15" s="256"/>
      <c r="AK15" s="231"/>
      <c r="AM15" s="253"/>
      <c r="AN15" s="254"/>
      <c r="AO15" s="256"/>
      <c r="AP15" s="256"/>
      <c r="AQ15" s="259"/>
    </row>
    <row r="16" spans="1:43" s="119" customFormat="1" ht="13.5" thickBot="1">
      <c r="A16" s="260" t="s">
        <v>6</v>
      </c>
      <c r="C16" s="261">
        <f>SUM(C3:C14)</f>
        <v>2726683</v>
      </c>
      <c r="D16" s="262">
        <f>SUM(D3:D14)</f>
        <v>1956285</v>
      </c>
      <c r="E16" s="262">
        <f>SUM(E3:E14)</f>
        <v>531189</v>
      </c>
      <c r="F16" s="262">
        <f>SUM(F3:F14)</f>
        <v>58415</v>
      </c>
      <c r="G16" s="263">
        <f>SUM(G3:G14)</f>
        <v>5272572</v>
      </c>
      <c r="I16" s="261">
        <f>SUM(I3:I14)</f>
        <v>2792673</v>
      </c>
      <c r="J16" s="262">
        <f>SUM(J3:J14)</f>
        <v>2104962</v>
      </c>
      <c r="K16" s="262">
        <f>SUM(K3:K14)</f>
        <v>505001</v>
      </c>
      <c r="L16" s="262">
        <f>SUM(L3:L14)</f>
        <v>60474</v>
      </c>
      <c r="M16" s="263">
        <f>SUM(M3:M14)</f>
        <v>5463110</v>
      </c>
      <c r="O16" s="261">
        <f>SUM(O3:O14)</f>
        <v>2901457</v>
      </c>
      <c r="P16" s="262">
        <f>SUM(P3:P14)</f>
        <v>2167872</v>
      </c>
      <c r="Q16" s="262">
        <f>SUM(Q3:Q14)</f>
        <v>515785</v>
      </c>
      <c r="R16" s="262">
        <f>SUM(R3:R14)</f>
        <v>65522</v>
      </c>
      <c r="S16" s="263">
        <f>SUM(S3:S14)</f>
        <v>5650636</v>
      </c>
      <c r="U16" s="261">
        <f>SUM(U3:U14)</f>
        <v>2962866</v>
      </c>
      <c r="V16" s="262">
        <f>SUM(V3:V14)</f>
        <v>2137488</v>
      </c>
      <c r="W16" s="262">
        <f>SUM(W3:W14)</f>
        <v>589471</v>
      </c>
      <c r="X16" s="262">
        <f>SUM(X3:X14)</f>
        <v>70150</v>
      </c>
      <c r="Y16" s="263">
        <f>SUM(Y3:Y14)</f>
        <v>5759975</v>
      </c>
      <c r="AA16" s="261">
        <f>SUM(AA3:AA14)</f>
        <v>3039974</v>
      </c>
      <c r="AB16" s="262">
        <f>SUM(AB3:AB14)</f>
        <v>2106615</v>
      </c>
      <c r="AC16" s="262">
        <f>SUM(AC3:AC14)</f>
        <v>639861</v>
      </c>
      <c r="AD16" s="262">
        <f>SUM(AD3:AD14)</f>
        <v>76385</v>
      </c>
      <c r="AE16" s="264">
        <f>SUM(AE3:AE14)</f>
        <v>5862835</v>
      </c>
      <c r="AG16" s="261">
        <f>SUM(AG3:AG14)</f>
        <v>3064109</v>
      </c>
      <c r="AH16" s="262">
        <f>SUM(AH3:AH14)</f>
        <v>1976551</v>
      </c>
      <c r="AI16" s="262">
        <f>SUM(AI3:AI14)</f>
        <v>712935</v>
      </c>
      <c r="AJ16" s="262">
        <f>SUM(AJ3:AJ14)</f>
        <v>79929</v>
      </c>
      <c r="AK16" s="263">
        <f>SUM(AK3:AK14)</f>
        <v>5833524</v>
      </c>
      <c r="AM16" s="261">
        <f>SUM(AM3:AM14)</f>
        <v>3049119</v>
      </c>
      <c r="AN16" s="262">
        <f>SUM(AN3:AN14)</f>
        <v>1839970</v>
      </c>
      <c r="AO16" s="262">
        <f>SUM(AO3:AO14)</f>
        <v>696851</v>
      </c>
      <c r="AP16" s="262">
        <f>SUM(AP3:AP14)</f>
        <v>81921</v>
      </c>
      <c r="AQ16" s="264">
        <f>SUM(AQ3:AQ14)</f>
        <v>5667861</v>
      </c>
    </row>
    <row r="17" spans="3:43" s="29" customFormat="1" ht="13.5" thickBot="1">
      <c r="C17" s="265"/>
      <c r="D17" s="248"/>
      <c r="E17" s="247"/>
      <c r="F17" s="247"/>
      <c r="G17" s="266"/>
      <c r="I17" s="267"/>
      <c r="J17" s="181"/>
      <c r="K17" s="268"/>
      <c r="L17" s="268"/>
      <c r="M17" s="269"/>
      <c r="O17" s="267"/>
      <c r="P17" s="181"/>
      <c r="Q17" s="268"/>
      <c r="R17" s="268"/>
      <c r="S17" s="269"/>
      <c r="U17" s="265"/>
      <c r="V17" s="248"/>
      <c r="W17" s="247"/>
      <c r="X17" s="247"/>
      <c r="Y17" s="266"/>
      <c r="AA17" s="267"/>
      <c r="AB17" s="181"/>
      <c r="AC17" s="179"/>
      <c r="AD17" s="179"/>
      <c r="AE17" s="270"/>
      <c r="AG17" s="271"/>
      <c r="AH17" s="179"/>
      <c r="AI17" s="179"/>
      <c r="AJ17" s="179"/>
      <c r="AK17" s="235"/>
      <c r="AM17" s="271"/>
      <c r="AN17" s="179"/>
      <c r="AO17" s="179"/>
      <c r="AP17" s="179"/>
      <c r="AQ17" s="235"/>
    </row>
    <row r="19" spans="3:37" s="111" customFormat="1" ht="15">
      <c r="C19" s="272"/>
      <c r="D19" s="272"/>
      <c r="I19" s="272"/>
      <c r="J19" s="272"/>
      <c r="O19" s="273"/>
      <c r="P19" s="273"/>
      <c r="Q19" s="273"/>
      <c r="R19" s="273"/>
      <c r="S19" s="273"/>
      <c r="U19" s="274"/>
      <c r="V19" s="274"/>
      <c r="W19" s="274"/>
      <c r="X19" s="274"/>
      <c r="Y19" s="274"/>
      <c r="AG19" s="275"/>
      <c r="AH19" s="275"/>
      <c r="AI19" s="275"/>
      <c r="AJ19" s="275"/>
      <c r="AK19" s="275"/>
    </row>
    <row r="20" spans="3:43" s="111" customFormat="1" ht="12.75"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</row>
  </sheetData>
  <sheetProtection/>
  <mergeCells count="7">
    <mergeCell ref="AM1:AP1"/>
    <mergeCell ref="C1:F1"/>
    <mergeCell ref="I1:L1"/>
    <mergeCell ref="O1:R1"/>
    <mergeCell ref="U1:X1"/>
    <mergeCell ref="AA1:AD1"/>
    <mergeCell ref="AG1:AJ1"/>
  </mergeCells>
  <printOptions horizontalCentered="1"/>
  <pageMargins left="0.7" right="0.7" top="0.75" bottom="0.75" header="0.3" footer="0.3"/>
  <pageSetup horizontalDpi="600" verticalDpi="600" orientation="landscape" scale="85" r:id="rId1"/>
  <colBreaks count="3" manualBreakCount="3">
    <brk id="14" max="65535" man="1"/>
    <brk id="26" max="65535" man="1"/>
    <brk id="3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N170"/>
  <sheetViews>
    <sheetView showGridLines="0" zoomScale="85" zoomScaleNormal="85" zoomScalePageLayoutView="0" workbookViewId="0" topLeftCell="A41">
      <pane xSplit="2" topLeftCell="C1" activePane="topRight" state="frozen"/>
      <selection pane="topLeft" activeCell="A1" sqref="A1"/>
      <selection pane="topRight" activeCell="A64" sqref="A64:W154"/>
    </sheetView>
  </sheetViews>
  <sheetFormatPr defaultColWidth="9.140625" defaultRowHeight="12.75" outlineLevelCol="1"/>
  <cols>
    <col min="1" max="1" width="5.00390625" style="29" bestFit="1" customWidth="1"/>
    <col min="2" max="2" width="15.57421875" style="29" bestFit="1" customWidth="1"/>
    <col min="3" max="3" width="9.140625" style="29" customWidth="1"/>
    <col min="4" max="4" width="9.8515625" style="29" customWidth="1" outlineLevel="1"/>
    <col min="5" max="5" width="10.28125" style="29" customWidth="1" outlineLevel="1"/>
    <col min="6" max="6" width="8.00390625" style="29" customWidth="1" outlineLevel="1"/>
    <col min="7" max="7" width="10.7109375" style="191" customWidth="1" outlineLevel="1"/>
    <col min="8" max="8" width="13.140625" style="191" customWidth="1" outlineLevel="1"/>
    <col min="9" max="9" width="10.7109375" style="29" customWidth="1" outlineLevel="1"/>
    <col min="10" max="10" width="8.421875" style="29" customWidth="1" outlineLevel="1"/>
    <col min="11" max="11" width="10.57421875" style="29" customWidth="1" outlineLevel="1"/>
    <col min="12" max="12" width="9.8515625" style="29" customWidth="1"/>
    <col min="13" max="13" width="10.57421875" style="29" customWidth="1" outlineLevel="1"/>
    <col min="14" max="14" width="8.8515625" style="29" customWidth="1" outlineLevel="1"/>
    <col min="15" max="15" width="9.140625" style="29" customWidth="1" outlineLevel="1"/>
    <col min="16" max="16" width="7.00390625" style="191" customWidth="1" outlineLevel="1"/>
    <col min="17" max="17" width="12.7109375" style="191" customWidth="1" outlineLevel="1"/>
    <col min="18" max="18" width="7.57421875" style="29" customWidth="1" outlineLevel="1"/>
    <col min="19" max="19" width="8.421875" style="29" customWidth="1" outlineLevel="1"/>
    <col min="20" max="20" width="9.00390625" style="29" customWidth="1" outlineLevel="1"/>
    <col min="21" max="21" width="10.140625" style="29" customWidth="1"/>
    <col min="22" max="22" width="9.140625" style="29" customWidth="1" outlineLevel="1"/>
    <col min="23" max="23" width="9.00390625" style="29" customWidth="1" outlineLevel="1"/>
    <col min="24" max="24" width="8.00390625" style="29" customWidth="1" outlineLevel="1"/>
    <col min="25" max="25" width="7.00390625" style="29" customWidth="1" outlineLevel="1"/>
    <col min="26" max="26" width="12.7109375" style="29" customWidth="1" outlineLevel="1"/>
    <col min="27" max="28" width="6.57421875" style="29" customWidth="1" outlineLevel="1"/>
    <col min="29" max="29" width="9.00390625" style="29" customWidth="1" outlineLevel="1"/>
    <col min="30" max="30" width="5.57421875" style="29" customWidth="1"/>
    <col min="31" max="31" width="9.00390625" style="29" customWidth="1" outlineLevel="1"/>
    <col min="32" max="34" width="7.00390625" style="29" customWidth="1" outlineLevel="1"/>
    <col min="35" max="35" width="12.7109375" style="29" customWidth="1" outlineLevel="1"/>
    <col min="36" max="37" width="6.57421875" style="29" customWidth="1" outlineLevel="1"/>
    <col min="38" max="38" width="9.00390625" style="29" customWidth="1" outlineLevel="1"/>
    <col min="39" max="39" width="5.57421875" style="29" customWidth="1"/>
    <col min="40" max="40" width="9.00390625" style="29" customWidth="1" outlineLevel="1"/>
    <col min="41" max="43" width="7.00390625" style="29" customWidth="1" outlineLevel="1"/>
    <col min="44" max="44" width="12.7109375" style="29" customWidth="1" outlineLevel="1"/>
    <col min="45" max="46" width="6.57421875" style="29" customWidth="1" outlineLevel="1"/>
    <col min="47" max="47" width="9.00390625" style="29" customWidth="1" outlineLevel="1"/>
    <col min="48" max="48" width="5.57421875" style="29" customWidth="1"/>
    <col min="49" max="49" width="9.00390625" style="29" customWidth="1" outlineLevel="1"/>
    <col min="50" max="52" width="7.00390625" style="29" customWidth="1" outlineLevel="1"/>
    <col min="53" max="53" width="12.7109375" style="29" customWidth="1" outlineLevel="1"/>
    <col min="54" max="55" width="6.57421875" style="29" customWidth="1" outlineLevel="1"/>
    <col min="56" max="56" width="9.00390625" style="29" customWidth="1" outlineLevel="1"/>
    <col min="57" max="57" width="7.00390625" style="29" customWidth="1"/>
    <col min="58" max="58" width="9.00390625" style="29" customWidth="1" outlineLevel="1"/>
    <col min="59" max="59" width="7.00390625" style="29" bestFit="1" customWidth="1" outlineLevel="1"/>
    <col min="60" max="61" width="7.00390625" style="29" customWidth="1" outlineLevel="1"/>
    <col min="62" max="62" width="12.7109375" style="29" customWidth="1" outlineLevel="1"/>
    <col min="63" max="64" width="7.57421875" style="29" bestFit="1" customWidth="1" outlineLevel="1"/>
    <col min="65" max="65" width="9.00390625" style="29" customWidth="1" outlineLevel="1"/>
    <col min="66" max="66" width="7.7109375" style="29" bestFit="1" customWidth="1"/>
    <col min="67" max="70" width="7.57421875" style="29" bestFit="1" customWidth="1"/>
    <col min="71" max="71" width="12.7109375" style="29" bestFit="1" customWidth="1"/>
    <col min="72" max="74" width="7.57421875" style="29" bestFit="1" customWidth="1"/>
    <col min="75" max="16384" width="9.140625" style="29" customWidth="1"/>
  </cols>
  <sheetData>
    <row r="1" spans="4:66" ht="12.75">
      <c r="D1" s="720">
        <v>2003</v>
      </c>
      <c r="E1" s="721"/>
      <c r="F1" s="721"/>
      <c r="G1" s="721"/>
      <c r="H1" s="721"/>
      <c r="I1" s="721"/>
      <c r="J1" s="721"/>
      <c r="K1" s="158"/>
      <c r="L1" s="108">
        <v>2003</v>
      </c>
      <c r="M1" s="720">
        <v>2004</v>
      </c>
      <c r="N1" s="721"/>
      <c r="O1" s="721"/>
      <c r="P1" s="721"/>
      <c r="Q1" s="721"/>
      <c r="R1" s="721"/>
      <c r="S1" s="721"/>
      <c r="T1" s="159"/>
      <c r="U1" s="108">
        <v>2004</v>
      </c>
      <c r="V1" s="720">
        <v>2005</v>
      </c>
      <c r="W1" s="721"/>
      <c r="X1" s="721"/>
      <c r="Y1" s="721"/>
      <c r="Z1" s="721"/>
      <c r="AA1" s="721"/>
      <c r="AB1" s="721"/>
      <c r="AC1" s="159"/>
      <c r="AD1" s="108">
        <v>2005</v>
      </c>
      <c r="AE1" s="720">
        <v>2006</v>
      </c>
      <c r="AF1" s="721"/>
      <c r="AG1" s="721"/>
      <c r="AH1" s="721"/>
      <c r="AI1" s="721"/>
      <c r="AJ1" s="721"/>
      <c r="AK1" s="721"/>
      <c r="AL1" s="159"/>
      <c r="AM1" s="108">
        <v>2006</v>
      </c>
      <c r="AN1" s="720">
        <v>2007</v>
      </c>
      <c r="AO1" s="721"/>
      <c r="AP1" s="721"/>
      <c r="AQ1" s="721"/>
      <c r="AR1" s="721"/>
      <c r="AS1" s="721"/>
      <c r="AT1" s="721"/>
      <c r="AU1" s="159"/>
      <c r="AV1" s="108">
        <v>2007</v>
      </c>
      <c r="AW1" s="720">
        <v>2008</v>
      </c>
      <c r="AX1" s="721"/>
      <c r="AY1" s="721"/>
      <c r="AZ1" s="721"/>
      <c r="BA1" s="721"/>
      <c r="BB1" s="721"/>
      <c r="BC1" s="721"/>
      <c r="BD1" s="159"/>
      <c r="BE1" s="108">
        <v>2008</v>
      </c>
      <c r="BF1" s="720">
        <v>2009</v>
      </c>
      <c r="BG1" s="721"/>
      <c r="BH1" s="721"/>
      <c r="BI1" s="721"/>
      <c r="BJ1" s="721"/>
      <c r="BK1" s="721"/>
      <c r="BL1" s="743"/>
      <c r="BM1" s="160"/>
      <c r="BN1" s="108">
        <v>2009</v>
      </c>
    </row>
    <row r="2" spans="4:65" s="5" customFormat="1" ht="13.5" thickBot="1">
      <c r="D2" s="161" t="s">
        <v>75</v>
      </c>
      <c r="E2" s="162" t="s">
        <v>76</v>
      </c>
      <c r="F2" s="162" t="s">
        <v>77</v>
      </c>
      <c r="G2" s="162" t="s">
        <v>78</v>
      </c>
      <c r="H2" s="162" t="s">
        <v>79</v>
      </c>
      <c r="I2" s="162" t="s">
        <v>80</v>
      </c>
      <c r="J2" s="162" t="s">
        <v>81</v>
      </c>
      <c r="K2" s="163" t="s">
        <v>82</v>
      </c>
      <c r="M2" s="161" t="s">
        <v>75</v>
      </c>
      <c r="N2" s="162" t="s">
        <v>76</v>
      </c>
      <c r="O2" s="162" t="s">
        <v>77</v>
      </c>
      <c r="P2" s="162" t="s">
        <v>78</v>
      </c>
      <c r="Q2" s="162" t="s">
        <v>79</v>
      </c>
      <c r="R2" s="162" t="s">
        <v>80</v>
      </c>
      <c r="S2" s="162" t="s">
        <v>81</v>
      </c>
      <c r="T2" s="163" t="s">
        <v>82</v>
      </c>
      <c r="V2" s="161" t="s">
        <v>75</v>
      </c>
      <c r="W2" s="162" t="s">
        <v>76</v>
      </c>
      <c r="X2" s="162" t="s">
        <v>77</v>
      </c>
      <c r="Y2" s="162" t="s">
        <v>78</v>
      </c>
      <c r="Z2" s="162" t="s">
        <v>79</v>
      </c>
      <c r="AA2" s="162" t="s">
        <v>80</v>
      </c>
      <c r="AB2" s="162" t="s">
        <v>81</v>
      </c>
      <c r="AC2" s="163" t="s">
        <v>82</v>
      </c>
      <c r="AE2" s="164" t="s">
        <v>75</v>
      </c>
      <c r="AF2" s="165" t="s">
        <v>76</v>
      </c>
      <c r="AG2" s="165" t="s">
        <v>77</v>
      </c>
      <c r="AH2" s="166" t="s">
        <v>78</v>
      </c>
      <c r="AI2" s="166" t="s">
        <v>79</v>
      </c>
      <c r="AJ2" s="166" t="s">
        <v>80</v>
      </c>
      <c r="AK2" s="165" t="s">
        <v>81</v>
      </c>
      <c r="AL2" s="163" t="s">
        <v>82</v>
      </c>
      <c r="AN2" s="161" t="s">
        <v>75</v>
      </c>
      <c r="AO2" s="162" t="s">
        <v>76</v>
      </c>
      <c r="AP2" s="162" t="s">
        <v>77</v>
      </c>
      <c r="AQ2" s="162" t="s">
        <v>78</v>
      </c>
      <c r="AR2" s="162" t="s">
        <v>79</v>
      </c>
      <c r="AS2" s="162" t="s">
        <v>80</v>
      </c>
      <c r="AT2" s="162" t="s">
        <v>81</v>
      </c>
      <c r="AU2" s="167" t="s">
        <v>82</v>
      </c>
      <c r="AW2" s="161" t="s">
        <v>75</v>
      </c>
      <c r="AX2" s="162" t="s">
        <v>76</v>
      </c>
      <c r="AY2" s="162" t="s">
        <v>77</v>
      </c>
      <c r="AZ2" s="162" t="s">
        <v>78</v>
      </c>
      <c r="BA2" s="162" t="s">
        <v>79</v>
      </c>
      <c r="BB2" s="162" t="s">
        <v>80</v>
      </c>
      <c r="BC2" s="162" t="s">
        <v>81</v>
      </c>
      <c r="BD2" s="168" t="s">
        <v>82</v>
      </c>
      <c r="BF2" s="161" t="s">
        <v>75</v>
      </c>
      <c r="BG2" s="162" t="s">
        <v>76</v>
      </c>
      <c r="BH2" s="162" t="s">
        <v>77</v>
      </c>
      <c r="BI2" s="162" t="s">
        <v>78</v>
      </c>
      <c r="BJ2" s="162" t="s">
        <v>79</v>
      </c>
      <c r="BK2" s="162" t="s">
        <v>80</v>
      </c>
      <c r="BL2" s="163" t="s">
        <v>81</v>
      </c>
      <c r="BM2" s="168" t="s">
        <v>82</v>
      </c>
    </row>
    <row r="3" spans="1:65" ht="12.75">
      <c r="A3" s="744" t="s">
        <v>83</v>
      </c>
      <c r="B3" s="34" t="s">
        <v>9</v>
      </c>
      <c r="C3" s="169"/>
      <c r="D3" s="170">
        <v>88846</v>
      </c>
      <c r="E3" s="169">
        <v>1105</v>
      </c>
      <c r="F3" s="169">
        <f>6539-70</f>
        <v>6469</v>
      </c>
      <c r="G3" s="171">
        <v>1319</v>
      </c>
      <c r="H3" s="171">
        <v>122</v>
      </c>
      <c r="I3" s="169">
        <v>4</v>
      </c>
      <c r="J3" s="169">
        <v>2</v>
      </c>
      <c r="K3" s="35">
        <f>SUM(D3:J3)</f>
        <v>97867</v>
      </c>
      <c r="L3" s="169"/>
      <c r="M3" s="170">
        <v>95064</v>
      </c>
      <c r="N3" s="169">
        <v>1130</v>
      </c>
      <c r="O3" s="169">
        <f>6614-70</f>
        <v>6544</v>
      </c>
      <c r="P3" s="171">
        <v>1390</v>
      </c>
      <c r="Q3" s="171">
        <v>132</v>
      </c>
      <c r="R3" s="169">
        <v>4</v>
      </c>
      <c r="S3" s="169">
        <v>2</v>
      </c>
      <c r="T3" s="35">
        <f>SUM(M3:S3)</f>
        <v>104266</v>
      </c>
      <c r="U3" s="169"/>
      <c r="V3" s="170">
        <v>102392</v>
      </c>
      <c r="W3" s="169">
        <v>1159</v>
      </c>
      <c r="X3" s="169">
        <v>6823</v>
      </c>
      <c r="Y3" s="169">
        <v>1379</v>
      </c>
      <c r="Z3" s="169">
        <v>125</v>
      </c>
      <c r="AA3" s="169">
        <v>3</v>
      </c>
      <c r="AB3" s="169">
        <v>2</v>
      </c>
      <c r="AC3" s="35">
        <f>SUM(V3:AB3)</f>
        <v>111883</v>
      </c>
      <c r="AD3" s="169"/>
      <c r="AE3" s="170">
        <v>108069</v>
      </c>
      <c r="AF3" s="169">
        <v>1207</v>
      </c>
      <c r="AG3" s="169">
        <v>7029</v>
      </c>
      <c r="AH3" s="169">
        <v>1381</v>
      </c>
      <c r="AI3" s="169">
        <v>119</v>
      </c>
      <c r="AJ3" s="169">
        <v>3</v>
      </c>
      <c r="AK3" s="169">
        <v>2</v>
      </c>
      <c r="AL3" s="35">
        <f>SUM(AE3:AK3)</f>
        <v>117810</v>
      </c>
      <c r="AM3" s="169"/>
      <c r="AN3" s="170">
        <v>111983</v>
      </c>
      <c r="AO3" s="169">
        <v>1250</v>
      </c>
      <c r="AP3" s="169">
        <v>7199</v>
      </c>
      <c r="AQ3" s="169">
        <v>1421</v>
      </c>
      <c r="AR3" s="169">
        <v>119</v>
      </c>
      <c r="AS3" s="169">
        <v>4</v>
      </c>
      <c r="AT3" s="169">
        <v>2</v>
      </c>
      <c r="AU3" s="35">
        <f>SUM(AN3:AT3)</f>
        <v>121978</v>
      </c>
      <c r="AV3" s="169"/>
      <c r="AW3" s="170">
        <v>117488</v>
      </c>
      <c r="AX3" s="169">
        <v>1267</v>
      </c>
      <c r="AY3" s="169">
        <v>7434</v>
      </c>
      <c r="AZ3" s="169">
        <v>1461</v>
      </c>
      <c r="BA3" s="169">
        <v>113</v>
      </c>
      <c r="BB3" s="169">
        <v>6</v>
      </c>
      <c r="BC3" s="169">
        <v>2</v>
      </c>
      <c r="BD3" s="35">
        <f>SUM(AW3:BC3)</f>
        <v>127771</v>
      </c>
      <c r="BE3" s="169"/>
      <c r="BF3" s="170">
        <v>120546</v>
      </c>
      <c r="BG3" s="169">
        <v>1280</v>
      </c>
      <c r="BH3" s="169">
        <v>7496</v>
      </c>
      <c r="BI3" s="169">
        <v>1532</v>
      </c>
      <c r="BJ3" s="169">
        <v>116</v>
      </c>
      <c r="BK3" s="169">
        <v>6</v>
      </c>
      <c r="BL3" s="169">
        <v>2</v>
      </c>
      <c r="BM3" s="35">
        <f>SUM(BF3:BL3)</f>
        <v>130978</v>
      </c>
    </row>
    <row r="4" spans="1:65" ht="12.75">
      <c r="A4" s="745"/>
      <c r="B4" s="9" t="s">
        <v>10</v>
      </c>
      <c r="C4" s="172"/>
      <c r="D4" s="173">
        <v>89106</v>
      </c>
      <c r="E4" s="172">
        <v>1105</v>
      </c>
      <c r="F4" s="172">
        <f>6550-70</f>
        <v>6480</v>
      </c>
      <c r="G4" s="123">
        <v>1321</v>
      </c>
      <c r="H4" s="123">
        <v>123</v>
      </c>
      <c r="I4" s="172">
        <v>4</v>
      </c>
      <c r="J4" s="172">
        <v>2</v>
      </c>
      <c r="K4" s="174">
        <f aca="true" t="shared" si="0" ref="K4:K14">SUM(D4:J4)</f>
        <v>98141</v>
      </c>
      <c r="L4" s="172"/>
      <c r="M4" s="173">
        <v>95895</v>
      </c>
      <c r="N4" s="172">
        <v>1130</v>
      </c>
      <c r="O4" s="172">
        <f>6659-70</f>
        <v>6589</v>
      </c>
      <c r="P4" s="123">
        <v>1394</v>
      </c>
      <c r="Q4" s="123">
        <v>135</v>
      </c>
      <c r="R4" s="172">
        <v>3</v>
      </c>
      <c r="S4" s="172">
        <v>2</v>
      </c>
      <c r="T4" s="174">
        <f aca="true" t="shared" si="1" ref="T4:T14">SUM(M4:S4)</f>
        <v>105148</v>
      </c>
      <c r="U4" s="172"/>
      <c r="V4" s="173">
        <v>102796</v>
      </c>
      <c r="W4" s="172">
        <v>1159</v>
      </c>
      <c r="X4" s="172">
        <v>6832</v>
      </c>
      <c r="Y4" s="172">
        <v>1378</v>
      </c>
      <c r="Z4" s="172">
        <v>126</v>
      </c>
      <c r="AA4" s="172">
        <v>3</v>
      </c>
      <c r="AB4" s="172">
        <v>2</v>
      </c>
      <c r="AC4" s="174">
        <f aca="true" t="shared" si="2" ref="AC4:AC14">SUM(V4:AB4)</f>
        <v>112296</v>
      </c>
      <c r="AD4" s="172"/>
      <c r="AE4" s="173">
        <v>108299</v>
      </c>
      <c r="AF4" s="172">
        <v>1207</v>
      </c>
      <c r="AG4" s="172">
        <v>7051</v>
      </c>
      <c r="AH4" s="172">
        <v>1378</v>
      </c>
      <c r="AI4" s="172">
        <v>118</v>
      </c>
      <c r="AJ4" s="172">
        <v>4</v>
      </c>
      <c r="AK4" s="172">
        <v>2</v>
      </c>
      <c r="AL4" s="174">
        <f aca="true" t="shared" si="3" ref="AL4:AL14">SUM(AE4:AK4)</f>
        <v>118059</v>
      </c>
      <c r="AM4" s="172"/>
      <c r="AN4" s="173">
        <v>112259</v>
      </c>
      <c r="AO4" s="172">
        <v>1250</v>
      </c>
      <c r="AP4" s="172">
        <v>7208</v>
      </c>
      <c r="AQ4" s="172">
        <v>1422</v>
      </c>
      <c r="AR4" s="172">
        <v>120</v>
      </c>
      <c r="AS4" s="172">
        <v>4</v>
      </c>
      <c r="AT4" s="172">
        <v>2</v>
      </c>
      <c r="AU4" s="174">
        <f aca="true" t="shared" si="4" ref="AU4:AU14">SUM(AN4:AT4)</f>
        <v>122265</v>
      </c>
      <c r="AV4" s="172"/>
      <c r="AW4" s="173">
        <v>117900</v>
      </c>
      <c r="AX4" s="172">
        <v>1267</v>
      </c>
      <c r="AY4" s="172">
        <v>7428</v>
      </c>
      <c r="AZ4" s="172">
        <v>1479</v>
      </c>
      <c r="BA4" s="172">
        <v>113</v>
      </c>
      <c r="BB4" s="172">
        <v>6</v>
      </c>
      <c r="BC4" s="172">
        <v>2</v>
      </c>
      <c r="BD4" s="174">
        <f aca="true" t="shared" si="5" ref="BD4:BD14">SUM(AW4:BC4)</f>
        <v>128195</v>
      </c>
      <c r="BE4" s="172"/>
      <c r="BF4" s="173">
        <v>120596</v>
      </c>
      <c r="BG4" s="172">
        <v>1280</v>
      </c>
      <c r="BH4" s="172">
        <v>7497</v>
      </c>
      <c r="BI4" s="172">
        <v>1535</v>
      </c>
      <c r="BJ4" s="172">
        <v>116</v>
      </c>
      <c r="BK4" s="172">
        <v>6</v>
      </c>
      <c r="BL4" s="172">
        <v>2</v>
      </c>
      <c r="BM4" s="174">
        <f aca="true" t="shared" si="6" ref="BM4:BM14">SUM(BF4:BL4)</f>
        <v>131032</v>
      </c>
    </row>
    <row r="5" spans="1:65" ht="12.75">
      <c r="A5" s="745"/>
      <c r="B5" s="9" t="s">
        <v>11</v>
      </c>
      <c r="C5" s="172"/>
      <c r="D5" s="173">
        <v>89628</v>
      </c>
      <c r="E5" s="172">
        <v>1105</v>
      </c>
      <c r="F5" s="172">
        <f>6564-70</f>
        <v>6494</v>
      </c>
      <c r="G5" s="123">
        <v>1344</v>
      </c>
      <c r="H5" s="123">
        <v>124</v>
      </c>
      <c r="I5" s="172">
        <v>4</v>
      </c>
      <c r="J5" s="172">
        <v>2</v>
      </c>
      <c r="K5" s="174">
        <f t="shared" si="0"/>
        <v>98701</v>
      </c>
      <c r="L5" s="172"/>
      <c r="M5" s="173">
        <v>96285</v>
      </c>
      <c r="N5" s="172">
        <v>1130</v>
      </c>
      <c r="O5" s="172">
        <f>6674-70</f>
        <v>6604</v>
      </c>
      <c r="P5" s="123">
        <v>1394</v>
      </c>
      <c r="Q5" s="123">
        <v>134</v>
      </c>
      <c r="R5" s="172">
        <v>3</v>
      </c>
      <c r="S5" s="172">
        <v>2</v>
      </c>
      <c r="T5" s="174">
        <f t="shared" si="1"/>
        <v>105552</v>
      </c>
      <c r="U5" s="172"/>
      <c r="V5" s="173">
        <v>103098</v>
      </c>
      <c r="W5" s="172">
        <v>1159</v>
      </c>
      <c r="X5" s="172">
        <v>6860</v>
      </c>
      <c r="Y5" s="172">
        <v>1362</v>
      </c>
      <c r="Z5" s="172">
        <v>120</v>
      </c>
      <c r="AA5" s="172">
        <v>3</v>
      </c>
      <c r="AB5" s="172">
        <v>2</v>
      </c>
      <c r="AC5" s="174">
        <f t="shared" si="2"/>
        <v>112604</v>
      </c>
      <c r="AD5" s="172"/>
      <c r="AE5" s="173">
        <v>108662</v>
      </c>
      <c r="AF5" s="172">
        <v>1207</v>
      </c>
      <c r="AG5" s="172">
        <v>7047</v>
      </c>
      <c r="AH5" s="172">
        <v>1396</v>
      </c>
      <c r="AI5" s="172">
        <v>118</v>
      </c>
      <c r="AJ5" s="172">
        <v>4</v>
      </c>
      <c r="AK5" s="172">
        <v>2</v>
      </c>
      <c r="AL5" s="174">
        <f t="shared" si="3"/>
        <v>118436</v>
      </c>
      <c r="AM5" s="172"/>
      <c r="AN5" s="173">
        <v>112520</v>
      </c>
      <c r="AO5" s="172">
        <v>1250</v>
      </c>
      <c r="AP5" s="172">
        <v>7234</v>
      </c>
      <c r="AQ5" s="172">
        <v>1401</v>
      </c>
      <c r="AR5" s="172">
        <v>119</v>
      </c>
      <c r="AS5" s="172">
        <v>5</v>
      </c>
      <c r="AT5" s="172">
        <v>2</v>
      </c>
      <c r="AU5" s="174">
        <f t="shared" si="4"/>
        <v>122531</v>
      </c>
      <c r="AV5" s="172"/>
      <c r="AW5" s="173">
        <v>118156</v>
      </c>
      <c r="AX5" s="172">
        <v>1267</v>
      </c>
      <c r="AY5" s="172">
        <v>7437</v>
      </c>
      <c r="AZ5" s="172">
        <v>1488</v>
      </c>
      <c r="BA5" s="172">
        <v>113</v>
      </c>
      <c r="BB5" s="172">
        <v>6</v>
      </c>
      <c r="BC5" s="172">
        <v>2</v>
      </c>
      <c r="BD5" s="174">
        <f t="shared" si="5"/>
        <v>128469</v>
      </c>
      <c r="BE5" s="172"/>
      <c r="BF5" s="173">
        <v>120697</v>
      </c>
      <c r="BG5" s="172">
        <v>1280</v>
      </c>
      <c r="BH5" s="172">
        <v>7507</v>
      </c>
      <c r="BI5" s="172">
        <v>1542</v>
      </c>
      <c r="BJ5" s="172">
        <v>115</v>
      </c>
      <c r="BK5" s="172">
        <v>6</v>
      </c>
      <c r="BL5" s="172">
        <v>2</v>
      </c>
      <c r="BM5" s="174">
        <f t="shared" si="6"/>
        <v>131149</v>
      </c>
    </row>
    <row r="6" spans="1:65" ht="12.75">
      <c r="A6" s="745"/>
      <c r="B6" s="9" t="s">
        <v>12</v>
      </c>
      <c r="C6" s="172"/>
      <c r="D6" s="173">
        <v>90127</v>
      </c>
      <c r="E6" s="172">
        <v>1105</v>
      </c>
      <c r="F6" s="172">
        <f>6542-70</f>
        <v>6472</v>
      </c>
      <c r="G6" s="123">
        <v>1345</v>
      </c>
      <c r="H6" s="123">
        <v>124</v>
      </c>
      <c r="I6" s="172">
        <v>4</v>
      </c>
      <c r="J6" s="172">
        <v>2</v>
      </c>
      <c r="K6" s="174">
        <f t="shared" si="0"/>
        <v>99179</v>
      </c>
      <c r="L6" s="172"/>
      <c r="M6" s="173">
        <v>96725</v>
      </c>
      <c r="N6" s="172">
        <v>1130</v>
      </c>
      <c r="O6" s="172">
        <f>6676-70</f>
        <v>6606</v>
      </c>
      <c r="P6" s="123">
        <v>1395</v>
      </c>
      <c r="Q6" s="123">
        <v>136</v>
      </c>
      <c r="R6" s="172">
        <v>3</v>
      </c>
      <c r="S6" s="172">
        <v>2</v>
      </c>
      <c r="T6" s="174">
        <f t="shared" si="1"/>
        <v>105997</v>
      </c>
      <c r="U6" s="172"/>
      <c r="V6" s="173">
        <v>103554</v>
      </c>
      <c r="W6" s="172">
        <v>1159</v>
      </c>
      <c r="X6" s="172">
        <v>6838</v>
      </c>
      <c r="Y6" s="172">
        <v>1370</v>
      </c>
      <c r="Z6" s="172">
        <v>120</v>
      </c>
      <c r="AA6" s="172">
        <v>3</v>
      </c>
      <c r="AB6" s="172">
        <v>2</v>
      </c>
      <c r="AC6" s="174">
        <f t="shared" si="2"/>
        <v>113046</v>
      </c>
      <c r="AD6" s="172"/>
      <c r="AE6" s="173">
        <v>108948</v>
      </c>
      <c r="AF6" s="172">
        <v>1207</v>
      </c>
      <c r="AG6" s="172">
        <v>7042</v>
      </c>
      <c r="AH6" s="172">
        <v>1398</v>
      </c>
      <c r="AI6" s="172">
        <v>118</v>
      </c>
      <c r="AJ6" s="172">
        <v>4</v>
      </c>
      <c r="AK6" s="172">
        <v>2</v>
      </c>
      <c r="AL6" s="174">
        <f t="shared" si="3"/>
        <v>118719</v>
      </c>
      <c r="AM6" s="172"/>
      <c r="AN6" s="173">
        <v>112804</v>
      </c>
      <c r="AO6" s="172">
        <v>1250</v>
      </c>
      <c r="AP6" s="172">
        <v>7245</v>
      </c>
      <c r="AQ6" s="172">
        <v>1402</v>
      </c>
      <c r="AR6" s="172">
        <v>118</v>
      </c>
      <c r="AS6" s="172">
        <v>5</v>
      </c>
      <c r="AT6" s="172">
        <v>2</v>
      </c>
      <c r="AU6" s="174">
        <f t="shared" si="4"/>
        <v>122826</v>
      </c>
      <c r="AV6" s="172"/>
      <c r="AW6" s="173">
        <v>118500</v>
      </c>
      <c r="AX6" s="172">
        <v>1267</v>
      </c>
      <c r="AY6" s="172">
        <v>7424</v>
      </c>
      <c r="AZ6" s="172">
        <v>1482</v>
      </c>
      <c r="BA6" s="172">
        <v>114</v>
      </c>
      <c r="BB6" s="172">
        <v>6</v>
      </c>
      <c r="BC6" s="172">
        <v>2</v>
      </c>
      <c r="BD6" s="174">
        <f t="shared" si="5"/>
        <v>128795</v>
      </c>
      <c r="BE6" s="172"/>
      <c r="BF6" s="173">
        <v>120743</v>
      </c>
      <c r="BG6" s="172">
        <v>1280</v>
      </c>
      <c r="BH6" s="172">
        <v>7490</v>
      </c>
      <c r="BI6" s="172">
        <v>1558</v>
      </c>
      <c r="BJ6" s="172">
        <v>115</v>
      </c>
      <c r="BK6" s="172">
        <v>6</v>
      </c>
      <c r="BL6" s="172">
        <v>2</v>
      </c>
      <c r="BM6" s="174">
        <f t="shared" si="6"/>
        <v>131194</v>
      </c>
    </row>
    <row r="7" spans="1:65" ht="12.75">
      <c r="A7" s="745"/>
      <c r="B7" s="9" t="s">
        <v>13</v>
      </c>
      <c r="C7" s="172"/>
      <c r="D7" s="173">
        <v>90572</v>
      </c>
      <c r="E7" s="172">
        <v>1105</v>
      </c>
      <c r="F7" s="172">
        <f>6580-70</f>
        <v>6510</v>
      </c>
      <c r="G7" s="123">
        <v>1344</v>
      </c>
      <c r="H7" s="123">
        <v>124</v>
      </c>
      <c r="I7" s="172">
        <v>4</v>
      </c>
      <c r="J7" s="172">
        <v>2</v>
      </c>
      <c r="K7" s="174">
        <f t="shared" si="0"/>
        <v>99661</v>
      </c>
      <c r="L7" s="172"/>
      <c r="M7" s="173">
        <v>97077</v>
      </c>
      <c r="N7" s="172">
        <v>1130</v>
      </c>
      <c r="O7" s="172">
        <f>6679-70</f>
        <v>6609</v>
      </c>
      <c r="P7" s="123">
        <v>1404</v>
      </c>
      <c r="Q7" s="123">
        <v>118</v>
      </c>
      <c r="R7" s="172">
        <v>3</v>
      </c>
      <c r="S7" s="172">
        <v>2</v>
      </c>
      <c r="T7" s="174">
        <f t="shared" si="1"/>
        <v>106343</v>
      </c>
      <c r="U7" s="172"/>
      <c r="V7" s="173">
        <v>103932</v>
      </c>
      <c r="W7" s="172">
        <v>1159</v>
      </c>
      <c r="X7" s="172">
        <v>6864</v>
      </c>
      <c r="Y7" s="172">
        <v>1353</v>
      </c>
      <c r="Z7" s="172">
        <v>120</v>
      </c>
      <c r="AA7" s="172">
        <v>3</v>
      </c>
      <c r="AB7" s="172">
        <v>2</v>
      </c>
      <c r="AC7" s="174">
        <f t="shared" si="2"/>
        <v>113433</v>
      </c>
      <c r="AD7" s="172"/>
      <c r="AE7" s="173">
        <v>109247</v>
      </c>
      <c r="AF7" s="172">
        <v>1207</v>
      </c>
      <c r="AG7" s="172">
        <v>7046</v>
      </c>
      <c r="AH7" s="172">
        <v>1412</v>
      </c>
      <c r="AI7" s="172">
        <v>118</v>
      </c>
      <c r="AJ7" s="172">
        <v>4</v>
      </c>
      <c r="AK7" s="172">
        <v>2</v>
      </c>
      <c r="AL7" s="174">
        <f t="shared" si="3"/>
        <v>119036</v>
      </c>
      <c r="AM7" s="172"/>
      <c r="AN7" s="173">
        <v>113200</v>
      </c>
      <c r="AO7" s="172">
        <v>1250</v>
      </c>
      <c r="AP7" s="172">
        <v>7258</v>
      </c>
      <c r="AQ7" s="172">
        <v>1411</v>
      </c>
      <c r="AR7" s="172">
        <v>117</v>
      </c>
      <c r="AS7" s="172">
        <v>5</v>
      </c>
      <c r="AT7" s="172">
        <v>2</v>
      </c>
      <c r="AU7" s="174">
        <f t="shared" si="4"/>
        <v>123243</v>
      </c>
      <c r="AV7" s="172"/>
      <c r="AW7" s="173">
        <v>118823</v>
      </c>
      <c r="AX7" s="172">
        <v>1267</v>
      </c>
      <c r="AY7" s="172">
        <v>7426</v>
      </c>
      <c r="AZ7" s="172">
        <v>1479</v>
      </c>
      <c r="BA7" s="172">
        <v>116</v>
      </c>
      <c r="BB7" s="172">
        <v>6</v>
      </c>
      <c r="BC7" s="172">
        <v>2</v>
      </c>
      <c r="BD7" s="174">
        <f t="shared" si="5"/>
        <v>129119</v>
      </c>
      <c r="BE7" s="172"/>
      <c r="BF7" s="173">
        <v>120836</v>
      </c>
      <c r="BG7" s="172">
        <v>1280</v>
      </c>
      <c r="BH7" s="172">
        <v>7486</v>
      </c>
      <c r="BI7" s="172">
        <v>1568</v>
      </c>
      <c r="BJ7" s="172">
        <v>116</v>
      </c>
      <c r="BK7" s="172">
        <v>6</v>
      </c>
      <c r="BL7" s="172">
        <v>2</v>
      </c>
      <c r="BM7" s="174">
        <f t="shared" si="6"/>
        <v>131294</v>
      </c>
    </row>
    <row r="8" spans="1:65" ht="12.75">
      <c r="A8" s="745"/>
      <c r="B8" s="9" t="s">
        <v>14</v>
      </c>
      <c r="C8" s="172"/>
      <c r="D8" s="173">
        <v>91036</v>
      </c>
      <c r="E8" s="172">
        <v>1105</v>
      </c>
      <c r="F8" s="172">
        <f>6600-70</f>
        <v>6530</v>
      </c>
      <c r="G8" s="123">
        <v>1350</v>
      </c>
      <c r="H8" s="123">
        <v>124</v>
      </c>
      <c r="I8" s="172">
        <v>4</v>
      </c>
      <c r="J8" s="172">
        <v>2</v>
      </c>
      <c r="K8" s="174">
        <f t="shared" si="0"/>
        <v>100151</v>
      </c>
      <c r="L8" s="172"/>
      <c r="M8" s="173">
        <v>97807</v>
      </c>
      <c r="N8" s="172">
        <v>1130</v>
      </c>
      <c r="O8" s="172">
        <f>6685-70</f>
        <v>6615</v>
      </c>
      <c r="P8" s="123">
        <v>1397</v>
      </c>
      <c r="Q8" s="123">
        <v>118</v>
      </c>
      <c r="R8" s="172">
        <v>3</v>
      </c>
      <c r="S8" s="172">
        <v>2</v>
      </c>
      <c r="T8" s="174">
        <f t="shared" si="1"/>
        <v>107072</v>
      </c>
      <c r="U8" s="172"/>
      <c r="V8" s="173">
        <v>104397</v>
      </c>
      <c r="W8" s="172">
        <v>1159</v>
      </c>
      <c r="X8" s="172">
        <v>6870</v>
      </c>
      <c r="Y8" s="172">
        <v>1351</v>
      </c>
      <c r="Z8" s="172">
        <v>120</v>
      </c>
      <c r="AA8" s="172">
        <v>3</v>
      </c>
      <c r="AB8" s="172">
        <v>2</v>
      </c>
      <c r="AC8" s="174">
        <f t="shared" si="2"/>
        <v>113902</v>
      </c>
      <c r="AD8" s="172"/>
      <c r="AE8" s="173">
        <v>109426</v>
      </c>
      <c r="AF8" s="172">
        <v>1207</v>
      </c>
      <c r="AG8" s="172">
        <v>7046</v>
      </c>
      <c r="AH8" s="172">
        <v>1420</v>
      </c>
      <c r="AI8" s="172">
        <v>118</v>
      </c>
      <c r="AJ8" s="172">
        <v>4</v>
      </c>
      <c r="AK8" s="172">
        <v>2</v>
      </c>
      <c r="AL8" s="174">
        <f t="shared" si="3"/>
        <v>119223</v>
      </c>
      <c r="AM8" s="172"/>
      <c r="AN8" s="173">
        <v>113547</v>
      </c>
      <c r="AO8" s="172">
        <v>1250</v>
      </c>
      <c r="AP8" s="172">
        <v>7271</v>
      </c>
      <c r="AQ8" s="172">
        <v>1410</v>
      </c>
      <c r="AR8" s="172">
        <v>117</v>
      </c>
      <c r="AS8" s="172">
        <v>5</v>
      </c>
      <c r="AT8" s="172">
        <v>2</v>
      </c>
      <c r="AU8" s="174">
        <f t="shared" si="4"/>
        <v>123602</v>
      </c>
      <c r="AV8" s="172"/>
      <c r="AW8" s="173">
        <v>118969</v>
      </c>
      <c r="AX8" s="172">
        <v>1267</v>
      </c>
      <c r="AY8" s="172">
        <v>7413</v>
      </c>
      <c r="AZ8" s="172">
        <v>1479</v>
      </c>
      <c r="BA8" s="172">
        <v>117</v>
      </c>
      <c r="BB8" s="172">
        <v>6</v>
      </c>
      <c r="BC8" s="172">
        <v>2</v>
      </c>
      <c r="BD8" s="174">
        <f t="shared" si="5"/>
        <v>129253</v>
      </c>
      <c r="BE8" s="172"/>
      <c r="BF8" s="173">
        <v>120918</v>
      </c>
      <c r="BG8" s="172">
        <v>1280</v>
      </c>
      <c r="BH8" s="172">
        <v>7489</v>
      </c>
      <c r="BI8" s="172">
        <v>1570</v>
      </c>
      <c r="BJ8" s="172">
        <v>114</v>
      </c>
      <c r="BK8" s="172">
        <v>6</v>
      </c>
      <c r="BL8" s="172">
        <v>2</v>
      </c>
      <c r="BM8" s="174">
        <f t="shared" si="6"/>
        <v>131379</v>
      </c>
    </row>
    <row r="9" spans="1:65" ht="12.75">
      <c r="A9" s="745"/>
      <c r="B9" s="9" t="s">
        <v>15</v>
      </c>
      <c r="C9" s="172"/>
      <c r="D9" s="173">
        <v>91828</v>
      </c>
      <c r="E9" s="172">
        <v>1105</v>
      </c>
      <c r="F9" s="172">
        <f>6574-70</f>
        <v>6504</v>
      </c>
      <c r="G9" s="123">
        <v>1350</v>
      </c>
      <c r="H9" s="123">
        <v>124</v>
      </c>
      <c r="I9" s="172">
        <v>4</v>
      </c>
      <c r="J9" s="172">
        <v>2</v>
      </c>
      <c r="K9" s="174">
        <f t="shared" si="0"/>
        <v>100917</v>
      </c>
      <c r="L9" s="172"/>
      <c r="M9" s="173">
        <v>98313</v>
      </c>
      <c r="N9" s="172">
        <v>1130</v>
      </c>
      <c r="O9" s="172">
        <f>6670-70</f>
        <v>6600</v>
      </c>
      <c r="P9" s="123">
        <v>1408</v>
      </c>
      <c r="Q9" s="123">
        <v>118</v>
      </c>
      <c r="R9" s="172">
        <v>3</v>
      </c>
      <c r="S9" s="172">
        <v>2</v>
      </c>
      <c r="T9" s="174">
        <f t="shared" si="1"/>
        <v>107574</v>
      </c>
      <c r="U9" s="172"/>
      <c r="V9" s="173">
        <v>104872</v>
      </c>
      <c r="W9" s="172">
        <v>1159</v>
      </c>
      <c r="X9" s="172">
        <v>6891</v>
      </c>
      <c r="Y9" s="172">
        <v>1354</v>
      </c>
      <c r="Z9" s="172">
        <v>120</v>
      </c>
      <c r="AA9" s="172">
        <v>3</v>
      </c>
      <c r="AB9" s="172">
        <v>2</v>
      </c>
      <c r="AC9" s="174">
        <f t="shared" si="2"/>
        <v>114401</v>
      </c>
      <c r="AD9" s="172"/>
      <c r="AE9" s="173">
        <v>109726</v>
      </c>
      <c r="AF9" s="172">
        <v>1207</v>
      </c>
      <c r="AG9" s="172">
        <v>7054</v>
      </c>
      <c r="AH9" s="172">
        <v>1399</v>
      </c>
      <c r="AI9" s="172">
        <v>119</v>
      </c>
      <c r="AJ9" s="172">
        <v>4</v>
      </c>
      <c r="AK9" s="172">
        <v>2</v>
      </c>
      <c r="AL9" s="174">
        <f t="shared" si="3"/>
        <v>119511</v>
      </c>
      <c r="AM9" s="172"/>
      <c r="AN9" s="173">
        <v>114103</v>
      </c>
      <c r="AO9" s="172">
        <v>1250</v>
      </c>
      <c r="AP9" s="172">
        <v>7283</v>
      </c>
      <c r="AQ9" s="172">
        <v>1402</v>
      </c>
      <c r="AR9" s="172">
        <v>117</v>
      </c>
      <c r="AS9" s="172">
        <v>5</v>
      </c>
      <c r="AT9" s="172">
        <v>2</v>
      </c>
      <c r="AU9" s="174">
        <f t="shared" si="4"/>
        <v>124162</v>
      </c>
      <c r="AV9" s="172"/>
      <c r="AW9" s="173">
        <v>119282</v>
      </c>
      <c r="AX9" s="172">
        <v>1267</v>
      </c>
      <c r="AY9" s="172">
        <v>7413</v>
      </c>
      <c r="AZ9" s="172">
        <v>1485</v>
      </c>
      <c r="BA9" s="172">
        <v>117</v>
      </c>
      <c r="BB9" s="172">
        <v>6</v>
      </c>
      <c r="BC9" s="172">
        <v>2</v>
      </c>
      <c r="BD9" s="174">
        <f t="shared" si="5"/>
        <v>129572</v>
      </c>
      <c r="BE9" s="172"/>
      <c r="BF9" s="173">
        <v>121070</v>
      </c>
      <c r="BG9" s="172">
        <v>1280</v>
      </c>
      <c r="BH9" s="172">
        <v>7500</v>
      </c>
      <c r="BI9" s="172">
        <v>1575</v>
      </c>
      <c r="BJ9" s="172">
        <v>114</v>
      </c>
      <c r="BK9" s="172">
        <v>6</v>
      </c>
      <c r="BL9" s="172">
        <v>2</v>
      </c>
      <c r="BM9" s="174">
        <f t="shared" si="6"/>
        <v>131547</v>
      </c>
    </row>
    <row r="10" spans="1:65" ht="12.75">
      <c r="A10" s="745"/>
      <c r="B10" s="9" t="s">
        <v>16</v>
      </c>
      <c r="C10" s="172"/>
      <c r="D10" s="173">
        <v>92229</v>
      </c>
      <c r="E10" s="172">
        <v>1105</v>
      </c>
      <c r="F10" s="172">
        <f>6593-70</f>
        <v>6523</v>
      </c>
      <c r="G10" s="123">
        <v>1349</v>
      </c>
      <c r="H10" s="123">
        <v>124</v>
      </c>
      <c r="I10" s="172">
        <v>4</v>
      </c>
      <c r="J10" s="172">
        <v>2</v>
      </c>
      <c r="K10" s="174">
        <f t="shared" si="0"/>
        <v>101336</v>
      </c>
      <c r="L10" s="172"/>
      <c r="M10" s="173">
        <v>99031</v>
      </c>
      <c r="N10" s="172">
        <v>1130</v>
      </c>
      <c r="O10" s="172">
        <f>6721-70</f>
        <v>6651</v>
      </c>
      <c r="P10" s="123">
        <v>1420</v>
      </c>
      <c r="Q10" s="123">
        <v>119</v>
      </c>
      <c r="R10" s="172">
        <v>3</v>
      </c>
      <c r="S10" s="172">
        <v>2</v>
      </c>
      <c r="T10" s="174">
        <f t="shared" si="1"/>
        <v>108356</v>
      </c>
      <c r="U10" s="172"/>
      <c r="V10" s="173">
        <v>105326</v>
      </c>
      <c r="W10" s="172">
        <v>1159</v>
      </c>
      <c r="X10" s="172">
        <v>6895</v>
      </c>
      <c r="Y10" s="172">
        <v>1359</v>
      </c>
      <c r="Z10" s="172">
        <v>120</v>
      </c>
      <c r="AA10" s="172">
        <v>3</v>
      </c>
      <c r="AB10" s="172">
        <v>2</v>
      </c>
      <c r="AC10" s="174">
        <f t="shared" si="2"/>
        <v>114864</v>
      </c>
      <c r="AD10" s="172"/>
      <c r="AE10" s="173">
        <v>110151</v>
      </c>
      <c r="AF10" s="172">
        <v>1207</v>
      </c>
      <c r="AG10" s="172">
        <v>7065</v>
      </c>
      <c r="AH10" s="172">
        <v>1406</v>
      </c>
      <c r="AI10" s="172">
        <v>119</v>
      </c>
      <c r="AJ10" s="172">
        <v>4</v>
      </c>
      <c r="AK10" s="172">
        <v>2</v>
      </c>
      <c r="AL10" s="174">
        <f t="shared" si="3"/>
        <v>119954</v>
      </c>
      <c r="AM10" s="172"/>
      <c r="AN10" s="173">
        <v>114683</v>
      </c>
      <c r="AO10" s="172">
        <v>1250</v>
      </c>
      <c r="AP10" s="172">
        <v>7318</v>
      </c>
      <c r="AQ10" s="172">
        <v>1414</v>
      </c>
      <c r="AR10" s="172">
        <v>117</v>
      </c>
      <c r="AS10" s="172">
        <v>5</v>
      </c>
      <c r="AT10" s="172">
        <v>2</v>
      </c>
      <c r="AU10" s="174">
        <f t="shared" si="4"/>
        <v>124789</v>
      </c>
      <c r="AV10" s="172"/>
      <c r="AW10" s="173">
        <v>119438</v>
      </c>
      <c r="AX10" s="172">
        <v>1267</v>
      </c>
      <c r="AY10" s="172">
        <v>7419</v>
      </c>
      <c r="AZ10" s="172">
        <v>1491</v>
      </c>
      <c r="BA10" s="172">
        <v>117</v>
      </c>
      <c r="BB10" s="172">
        <v>6</v>
      </c>
      <c r="BC10" s="172">
        <v>2</v>
      </c>
      <c r="BD10" s="174">
        <f t="shared" si="5"/>
        <v>129740</v>
      </c>
      <c r="BE10" s="172"/>
      <c r="BF10" s="173">
        <v>121201</v>
      </c>
      <c r="BG10" s="172">
        <v>1280</v>
      </c>
      <c r="BH10" s="172">
        <v>7517</v>
      </c>
      <c r="BI10" s="172">
        <v>1579</v>
      </c>
      <c r="BJ10" s="172">
        <v>114</v>
      </c>
      <c r="BK10" s="172">
        <v>6</v>
      </c>
      <c r="BL10" s="172">
        <v>2</v>
      </c>
      <c r="BM10" s="174">
        <f t="shared" si="6"/>
        <v>131699</v>
      </c>
    </row>
    <row r="11" spans="1:65" ht="12.75">
      <c r="A11" s="745"/>
      <c r="B11" s="9" t="s">
        <v>17</v>
      </c>
      <c r="C11" s="172"/>
      <c r="D11" s="173">
        <v>93180</v>
      </c>
      <c r="E11" s="172">
        <v>1105</v>
      </c>
      <c r="F11" s="172">
        <f>6582-70</f>
        <v>6512</v>
      </c>
      <c r="G11" s="123">
        <v>1393</v>
      </c>
      <c r="H11" s="123">
        <v>127</v>
      </c>
      <c r="I11" s="172">
        <v>4</v>
      </c>
      <c r="J11" s="172">
        <v>2</v>
      </c>
      <c r="K11" s="174">
        <f t="shared" si="0"/>
        <v>102323</v>
      </c>
      <c r="L11" s="172"/>
      <c r="M11" s="173">
        <v>99957</v>
      </c>
      <c r="N11" s="172">
        <v>1130</v>
      </c>
      <c r="O11" s="172">
        <f>6761-70</f>
        <v>6691</v>
      </c>
      <c r="P11" s="123">
        <v>1388</v>
      </c>
      <c r="Q11" s="123">
        <v>118</v>
      </c>
      <c r="R11" s="172">
        <v>3</v>
      </c>
      <c r="S11" s="172">
        <v>2</v>
      </c>
      <c r="T11" s="174">
        <f t="shared" si="1"/>
        <v>109289</v>
      </c>
      <c r="U11" s="172"/>
      <c r="V11" s="173">
        <v>106046</v>
      </c>
      <c r="W11" s="172">
        <v>1159</v>
      </c>
      <c r="X11" s="172">
        <v>6931</v>
      </c>
      <c r="Y11" s="172">
        <v>1366</v>
      </c>
      <c r="Z11" s="172">
        <v>120</v>
      </c>
      <c r="AA11" s="172">
        <v>3</v>
      </c>
      <c r="AB11" s="172">
        <v>2</v>
      </c>
      <c r="AC11" s="174">
        <f t="shared" si="2"/>
        <v>115627</v>
      </c>
      <c r="AD11" s="172"/>
      <c r="AE11" s="173">
        <v>110556</v>
      </c>
      <c r="AF11" s="172">
        <v>1207</v>
      </c>
      <c r="AG11" s="172">
        <v>7074</v>
      </c>
      <c r="AH11" s="172">
        <v>1410</v>
      </c>
      <c r="AI11" s="172">
        <v>120</v>
      </c>
      <c r="AJ11" s="172">
        <v>4</v>
      </c>
      <c r="AK11" s="172">
        <v>2</v>
      </c>
      <c r="AL11" s="174">
        <f t="shared" si="3"/>
        <v>120373</v>
      </c>
      <c r="AM11" s="172"/>
      <c r="AN11" s="173">
        <v>115068</v>
      </c>
      <c r="AO11" s="172">
        <v>1250</v>
      </c>
      <c r="AP11" s="172">
        <v>7322</v>
      </c>
      <c r="AQ11" s="172">
        <v>1420</v>
      </c>
      <c r="AR11" s="172">
        <v>115</v>
      </c>
      <c r="AS11" s="172">
        <v>5</v>
      </c>
      <c r="AT11" s="172">
        <v>2</v>
      </c>
      <c r="AU11" s="174">
        <f t="shared" si="4"/>
        <v>125182</v>
      </c>
      <c r="AV11" s="172"/>
      <c r="AW11" s="173">
        <v>119587</v>
      </c>
      <c r="AX11" s="172">
        <v>1267</v>
      </c>
      <c r="AY11" s="172">
        <v>7441</v>
      </c>
      <c r="AZ11" s="172">
        <v>1496</v>
      </c>
      <c r="BA11" s="172">
        <v>117</v>
      </c>
      <c r="BB11" s="172">
        <v>6</v>
      </c>
      <c r="BC11" s="172">
        <v>2</v>
      </c>
      <c r="BD11" s="174">
        <f t="shared" si="5"/>
        <v>129916</v>
      </c>
      <c r="BE11" s="46"/>
      <c r="BF11" s="175">
        <v>121267</v>
      </c>
      <c r="BG11" s="176">
        <v>1280</v>
      </c>
      <c r="BH11" s="176">
        <v>7523</v>
      </c>
      <c r="BI11" s="176">
        <v>1583</v>
      </c>
      <c r="BJ11" s="176">
        <v>113</v>
      </c>
      <c r="BK11" s="176">
        <v>6</v>
      </c>
      <c r="BL11" s="176">
        <v>2</v>
      </c>
      <c r="BM11" s="177">
        <f t="shared" si="6"/>
        <v>131774</v>
      </c>
    </row>
    <row r="12" spans="1:65" ht="12.75">
      <c r="A12" s="745"/>
      <c r="B12" s="9" t="s">
        <v>51</v>
      </c>
      <c r="C12" s="172"/>
      <c r="D12" s="173">
        <v>94084</v>
      </c>
      <c r="E12" s="172">
        <v>1105</v>
      </c>
      <c r="F12" s="172">
        <f>6599-70</f>
        <v>6529</v>
      </c>
      <c r="G12" s="123">
        <v>1392</v>
      </c>
      <c r="H12" s="123">
        <v>131</v>
      </c>
      <c r="I12" s="172">
        <v>4</v>
      </c>
      <c r="J12" s="172">
        <v>2</v>
      </c>
      <c r="K12" s="174">
        <f t="shared" si="0"/>
        <v>103247</v>
      </c>
      <c r="L12" s="172"/>
      <c r="M12" s="173">
        <v>100574</v>
      </c>
      <c r="N12" s="172">
        <v>1130</v>
      </c>
      <c r="O12" s="172">
        <f>6773-70</f>
        <v>6703</v>
      </c>
      <c r="P12" s="123">
        <v>1376</v>
      </c>
      <c r="Q12" s="123">
        <v>122</v>
      </c>
      <c r="R12" s="172">
        <v>3</v>
      </c>
      <c r="S12" s="172">
        <v>2</v>
      </c>
      <c r="T12" s="174">
        <f t="shared" si="1"/>
        <v>109910</v>
      </c>
      <c r="U12" s="172"/>
      <c r="V12" s="173">
        <v>106556</v>
      </c>
      <c r="W12" s="172">
        <v>1159</v>
      </c>
      <c r="X12" s="172">
        <v>6940</v>
      </c>
      <c r="Y12" s="172">
        <v>1364</v>
      </c>
      <c r="Z12" s="172">
        <v>120</v>
      </c>
      <c r="AA12" s="172">
        <v>3</v>
      </c>
      <c r="AB12" s="172">
        <v>2</v>
      </c>
      <c r="AC12" s="174">
        <f t="shared" si="2"/>
        <v>116144</v>
      </c>
      <c r="AD12" s="172"/>
      <c r="AE12" s="173">
        <v>111244</v>
      </c>
      <c r="AF12" s="172">
        <v>1207</v>
      </c>
      <c r="AG12" s="172">
        <v>7141</v>
      </c>
      <c r="AH12" s="172">
        <v>1403</v>
      </c>
      <c r="AI12" s="172">
        <v>119</v>
      </c>
      <c r="AJ12" s="172">
        <v>4</v>
      </c>
      <c r="AK12" s="172">
        <v>2</v>
      </c>
      <c r="AL12" s="174">
        <f t="shared" si="3"/>
        <v>121120</v>
      </c>
      <c r="AM12" s="172"/>
      <c r="AN12" s="173">
        <v>115774</v>
      </c>
      <c r="AO12" s="172">
        <v>1250</v>
      </c>
      <c r="AP12" s="172">
        <v>7358</v>
      </c>
      <c r="AQ12" s="172">
        <v>1419</v>
      </c>
      <c r="AR12" s="172">
        <v>115</v>
      </c>
      <c r="AS12" s="172">
        <v>5</v>
      </c>
      <c r="AT12" s="172">
        <v>2</v>
      </c>
      <c r="AU12" s="174">
        <f t="shared" si="4"/>
        <v>125923</v>
      </c>
      <c r="AV12" s="172"/>
      <c r="AW12" s="173">
        <v>119951</v>
      </c>
      <c r="AX12" s="172">
        <v>1267</v>
      </c>
      <c r="AY12" s="172">
        <v>7445</v>
      </c>
      <c r="AZ12" s="172">
        <v>1517</v>
      </c>
      <c r="BA12" s="172">
        <v>117</v>
      </c>
      <c r="BB12" s="172">
        <v>6</v>
      </c>
      <c r="BC12" s="172">
        <v>2</v>
      </c>
      <c r="BD12" s="174">
        <f t="shared" si="5"/>
        <v>130305</v>
      </c>
      <c r="BE12" s="172"/>
      <c r="BF12" s="175">
        <v>121405</v>
      </c>
      <c r="BG12" s="176">
        <v>1280</v>
      </c>
      <c r="BH12" s="176">
        <v>7604</v>
      </c>
      <c r="BI12" s="176">
        <v>1532</v>
      </c>
      <c r="BJ12" s="176">
        <v>113</v>
      </c>
      <c r="BK12" s="176">
        <v>6</v>
      </c>
      <c r="BL12" s="176">
        <v>2</v>
      </c>
      <c r="BM12" s="177">
        <f t="shared" si="6"/>
        <v>131942</v>
      </c>
    </row>
    <row r="13" spans="1:65" ht="12.75">
      <c r="A13" s="745"/>
      <c r="B13" s="9" t="s">
        <v>19</v>
      </c>
      <c r="C13" s="172"/>
      <c r="D13" s="173">
        <v>94708</v>
      </c>
      <c r="E13" s="172">
        <v>1105</v>
      </c>
      <c r="F13" s="172">
        <f>6629-70</f>
        <v>6559</v>
      </c>
      <c r="G13" s="123">
        <v>1391</v>
      </c>
      <c r="H13" s="123">
        <v>132</v>
      </c>
      <c r="I13" s="172">
        <v>4</v>
      </c>
      <c r="J13" s="172">
        <v>2</v>
      </c>
      <c r="K13" s="174">
        <f t="shared" si="0"/>
        <v>103901</v>
      </c>
      <c r="L13" s="172"/>
      <c r="M13" s="173">
        <v>101456</v>
      </c>
      <c r="N13" s="172">
        <v>1130</v>
      </c>
      <c r="O13" s="172">
        <f>6840-70</f>
        <v>6770</v>
      </c>
      <c r="P13" s="123">
        <v>1378</v>
      </c>
      <c r="Q13" s="123">
        <v>121</v>
      </c>
      <c r="R13" s="172">
        <v>3</v>
      </c>
      <c r="S13" s="172">
        <v>2</v>
      </c>
      <c r="T13" s="174">
        <f t="shared" si="1"/>
        <v>110860</v>
      </c>
      <c r="U13" s="172"/>
      <c r="V13" s="173">
        <v>107280</v>
      </c>
      <c r="W13" s="172">
        <v>1159</v>
      </c>
      <c r="X13" s="172">
        <v>6965</v>
      </c>
      <c r="Y13" s="172">
        <v>1360</v>
      </c>
      <c r="Z13" s="172">
        <v>117</v>
      </c>
      <c r="AA13" s="172">
        <v>3</v>
      </c>
      <c r="AB13" s="172">
        <v>2</v>
      </c>
      <c r="AC13" s="174">
        <f t="shared" si="2"/>
        <v>116886</v>
      </c>
      <c r="AD13" s="172"/>
      <c r="AE13" s="173">
        <v>111412</v>
      </c>
      <c r="AF13" s="172">
        <v>1207</v>
      </c>
      <c r="AG13" s="172">
        <v>7148</v>
      </c>
      <c r="AH13" s="172">
        <v>1411</v>
      </c>
      <c r="AI13" s="172">
        <v>119</v>
      </c>
      <c r="AJ13" s="172">
        <v>4</v>
      </c>
      <c r="AK13" s="172">
        <v>2</v>
      </c>
      <c r="AL13" s="174">
        <f t="shared" si="3"/>
        <v>121303</v>
      </c>
      <c r="AM13" s="172"/>
      <c r="AN13" s="173">
        <v>116461</v>
      </c>
      <c r="AO13" s="172">
        <v>1250</v>
      </c>
      <c r="AP13" s="172">
        <v>7396</v>
      </c>
      <c r="AQ13" s="172">
        <v>1437</v>
      </c>
      <c r="AR13" s="172">
        <v>115</v>
      </c>
      <c r="AS13" s="172">
        <v>5</v>
      </c>
      <c r="AT13" s="172">
        <v>2</v>
      </c>
      <c r="AU13" s="174">
        <f t="shared" si="4"/>
        <v>126666</v>
      </c>
      <c r="AV13" s="172"/>
      <c r="AW13" s="173">
        <v>120231</v>
      </c>
      <c r="AX13" s="172">
        <v>1267</v>
      </c>
      <c r="AY13" s="172">
        <v>7476</v>
      </c>
      <c r="AZ13" s="172">
        <v>1518</v>
      </c>
      <c r="BA13" s="172">
        <v>117</v>
      </c>
      <c r="BB13" s="172">
        <v>6</v>
      </c>
      <c r="BC13" s="172">
        <v>2</v>
      </c>
      <c r="BD13" s="174">
        <f t="shared" si="5"/>
        <v>130617</v>
      </c>
      <c r="BE13" s="172"/>
      <c r="BF13" s="175">
        <v>121519</v>
      </c>
      <c r="BG13" s="176">
        <v>1280</v>
      </c>
      <c r="BH13" s="176">
        <v>7616</v>
      </c>
      <c r="BI13" s="176">
        <v>1536</v>
      </c>
      <c r="BJ13" s="176">
        <v>110</v>
      </c>
      <c r="BK13" s="176">
        <v>6</v>
      </c>
      <c r="BL13" s="176">
        <v>2</v>
      </c>
      <c r="BM13" s="177">
        <f t="shared" si="6"/>
        <v>132069</v>
      </c>
    </row>
    <row r="14" spans="1:65" ht="13.5" thickBot="1">
      <c r="A14" s="746"/>
      <c r="B14" s="178" t="s">
        <v>20</v>
      </c>
      <c r="C14" s="179"/>
      <c r="D14" s="180">
        <v>94708</v>
      </c>
      <c r="E14" s="179">
        <v>1105</v>
      </c>
      <c r="F14" s="179">
        <f>6629-70</f>
        <v>6559</v>
      </c>
      <c r="G14" s="181">
        <v>1391</v>
      </c>
      <c r="H14" s="181">
        <v>132</v>
      </c>
      <c r="I14" s="179">
        <v>4</v>
      </c>
      <c r="J14" s="179">
        <v>2</v>
      </c>
      <c r="K14" s="182">
        <f t="shared" si="0"/>
        <v>103901</v>
      </c>
      <c r="L14" s="179"/>
      <c r="M14" s="180">
        <v>102070</v>
      </c>
      <c r="N14" s="179">
        <v>1130</v>
      </c>
      <c r="O14" s="179">
        <f>6867-70</f>
        <v>6797</v>
      </c>
      <c r="P14" s="181">
        <v>1376</v>
      </c>
      <c r="Q14" s="181">
        <v>121</v>
      </c>
      <c r="R14" s="179">
        <v>3</v>
      </c>
      <c r="S14" s="179">
        <v>2</v>
      </c>
      <c r="T14" s="182">
        <f t="shared" si="1"/>
        <v>111499</v>
      </c>
      <c r="U14" s="179"/>
      <c r="V14" s="180">
        <v>107609</v>
      </c>
      <c r="W14" s="179">
        <v>1159</v>
      </c>
      <c r="X14" s="179">
        <v>6991</v>
      </c>
      <c r="Y14" s="179">
        <v>1369</v>
      </c>
      <c r="Z14" s="179">
        <v>118</v>
      </c>
      <c r="AA14" s="179">
        <v>3</v>
      </c>
      <c r="AB14" s="179">
        <v>2</v>
      </c>
      <c r="AC14" s="182">
        <f t="shared" si="2"/>
        <v>117251</v>
      </c>
      <c r="AD14" s="179"/>
      <c r="AE14" s="180">
        <v>111598</v>
      </c>
      <c r="AF14" s="179">
        <v>1207</v>
      </c>
      <c r="AG14" s="179">
        <v>7161</v>
      </c>
      <c r="AH14" s="179">
        <v>1411</v>
      </c>
      <c r="AI14" s="179">
        <v>119</v>
      </c>
      <c r="AJ14" s="179">
        <v>4</v>
      </c>
      <c r="AK14" s="179">
        <v>2</v>
      </c>
      <c r="AL14" s="182">
        <f t="shared" si="3"/>
        <v>121502</v>
      </c>
      <c r="AM14" s="179"/>
      <c r="AN14" s="180">
        <v>117024</v>
      </c>
      <c r="AO14" s="179">
        <v>1250</v>
      </c>
      <c r="AP14" s="179">
        <v>7440</v>
      </c>
      <c r="AQ14" s="179">
        <v>1443</v>
      </c>
      <c r="AR14" s="179">
        <v>113</v>
      </c>
      <c r="AS14" s="179">
        <v>6</v>
      </c>
      <c r="AT14" s="179">
        <v>2</v>
      </c>
      <c r="AU14" s="182">
        <f t="shared" si="4"/>
        <v>127278</v>
      </c>
      <c r="AV14" s="179"/>
      <c r="AW14" s="180">
        <v>120395</v>
      </c>
      <c r="AX14" s="179">
        <v>1267</v>
      </c>
      <c r="AY14" s="179">
        <v>7485</v>
      </c>
      <c r="AZ14" s="179">
        <v>1519</v>
      </c>
      <c r="BA14" s="179">
        <v>117</v>
      </c>
      <c r="BB14" s="179">
        <v>6</v>
      </c>
      <c r="BC14" s="179">
        <v>2</v>
      </c>
      <c r="BD14" s="182">
        <f t="shared" si="5"/>
        <v>130791</v>
      </c>
      <c r="BE14" s="179"/>
      <c r="BF14" s="183">
        <v>121692</v>
      </c>
      <c r="BG14" s="184">
        <v>1280</v>
      </c>
      <c r="BH14" s="184">
        <v>7620</v>
      </c>
      <c r="BI14" s="184">
        <v>1534</v>
      </c>
      <c r="BJ14" s="184">
        <v>111</v>
      </c>
      <c r="BK14" s="184">
        <v>6</v>
      </c>
      <c r="BL14" s="184">
        <v>2</v>
      </c>
      <c r="BM14" s="185">
        <f t="shared" si="6"/>
        <v>132245</v>
      </c>
    </row>
    <row r="15" spans="1:65" ht="13.5" thickBot="1">
      <c r="A15" s="186"/>
      <c r="B15" s="187" t="s">
        <v>56</v>
      </c>
      <c r="C15" s="172"/>
      <c r="D15" s="188">
        <f>AVERAGE(D3:D14)</f>
        <v>91671</v>
      </c>
      <c r="E15" s="189">
        <f aca="true" t="shared" si="7" ref="E15:K15">AVERAGE(E3:E14)</f>
        <v>1105</v>
      </c>
      <c r="F15" s="189">
        <f t="shared" si="7"/>
        <v>6511.75</v>
      </c>
      <c r="G15" s="189">
        <f t="shared" si="7"/>
        <v>1357.4166666666667</v>
      </c>
      <c r="H15" s="189">
        <f t="shared" si="7"/>
        <v>125.91666666666667</v>
      </c>
      <c r="I15" s="189">
        <f t="shared" si="7"/>
        <v>4</v>
      </c>
      <c r="J15" s="189">
        <f t="shared" si="7"/>
        <v>2</v>
      </c>
      <c r="K15" s="190">
        <f t="shared" si="7"/>
        <v>100777.08333333333</v>
      </c>
      <c r="L15" s="172"/>
      <c r="M15" s="188">
        <f>AVERAGE(M3:M14)</f>
        <v>98354.5</v>
      </c>
      <c r="N15" s="189">
        <f aca="true" t="shared" si="8" ref="N15:T15">AVERAGE(N3:N14)</f>
        <v>1130</v>
      </c>
      <c r="O15" s="189">
        <f t="shared" si="8"/>
        <v>6648.25</v>
      </c>
      <c r="P15" s="189">
        <f t="shared" si="8"/>
        <v>1393.3333333333333</v>
      </c>
      <c r="Q15" s="189">
        <f t="shared" si="8"/>
        <v>124.33333333333333</v>
      </c>
      <c r="R15" s="189">
        <f t="shared" si="8"/>
        <v>3.0833333333333335</v>
      </c>
      <c r="S15" s="189">
        <f t="shared" si="8"/>
        <v>2</v>
      </c>
      <c r="T15" s="190">
        <f t="shared" si="8"/>
        <v>107655.5</v>
      </c>
      <c r="U15" s="172"/>
      <c r="V15" s="188">
        <f>AVERAGE(V3:V14)</f>
        <v>104821.5</v>
      </c>
      <c r="W15" s="189">
        <f aca="true" t="shared" si="9" ref="W15:AC15">AVERAGE(W3:W14)</f>
        <v>1159</v>
      </c>
      <c r="X15" s="189">
        <f t="shared" si="9"/>
        <v>6891.666666666667</v>
      </c>
      <c r="Y15" s="189">
        <f t="shared" si="9"/>
        <v>1363.75</v>
      </c>
      <c r="Z15" s="189">
        <f t="shared" si="9"/>
        <v>120.5</v>
      </c>
      <c r="AA15" s="189">
        <f t="shared" si="9"/>
        <v>3</v>
      </c>
      <c r="AB15" s="189">
        <f t="shared" si="9"/>
        <v>2</v>
      </c>
      <c r="AC15" s="190">
        <f t="shared" si="9"/>
        <v>114361.41666666667</v>
      </c>
      <c r="AD15" s="172"/>
      <c r="AE15" s="188">
        <f>AVERAGE(AE3:AE14)</f>
        <v>109778.16666666667</v>
      </c>
      <c r="AF15" s="189">
        <f aca="true" t="shared" si="10" ref="AF15:AL15">AVERAGE(AF3:AF14)</f>
        <v>1207</v>
      </c>
      <c r="AG15" s="189">
        <f t="shared" si="10"/>
        <v>7075.333333333333</v>
      </c>
      <c r="AH15" s="189">
        <f t="shared" si="10"/>
        <v>1402.0833333333333</v>
      </c>
      <c r="AI15" s="189">
        <f t="shared" si="10"/>
        <v>118.66666666666667</v>
      </c>
      <c r="AJ15" s="189">
        <f t="shared" si="10"/>
        <v>3.9166666666666665</v>
      </c>
      <c r="AK15" s="189">
        <f t="shared" si="10"/>
        <v>2</v>
      </c>
      <c r="AL15" s="190">
        <f t="shared" si="10"/>
        <v>119587.16666666667</v>
      </c>
      <c r="AM15" s="172"/>
      <c r="AN15" s="188">
        <f>AVERAGE(AN3:AN14)</f>
        <v>114118.83333333333</v>
      </c>
      <c r="AO15" s="189">
        <f aca="true" t="shared" si="11" ref="AO15:AU15">AVERAGE(AO3:AO14)</f>
        <v>1250</v>
      </c>
      <c r="AP15" s="189">
        <f t="shared" si="11"/>
        <v>7294.333333333333</v>
      </c>
      <c r="AQ15" s="189">
        <f t="shared" si="11"/>
        <v>1416.8333333333333</v>
      </c>
      <c r="AR15" s="189">
        <f t="shared" si="11"/>
        <v>116.83333333333333</v>
      </c>
      <c r="AS15" s="189">
        <f t="shared" si="11"/>
        <v>4.916666666666667</v>
      </c>
      <c r="AT15" s="189">
        <f t="shared" si="11"/>
        <v>2</v>
      </c>
      <c r="AU15" s="190">
        <f t="shared" si="11"/>
        <v>124203.75</v>
      </c>
      <c r="AV15" s="172"/>
      <c r="AW15" s="188">
        <f>AVERAGE(AW3:AW14)</f>
        <v>119060</v>
      </c>
      <c r="AX15" s="189">
        <f aca="true" t="shared" si="12" ref="AX15:BD15">AVERAGE(AX3:AX14)</f>
        <v>1267</v>
      </c>
      <c r="AY15" s="189">
        <f t="shared" si="12"/>
        <v>7436.75</v>
      </c>
      <c r="AZ15" s="189">
        <f t="shared" si="12"/>
        <v>1491.1666666666667</v>
      </c>
      <c r="BA15" s="189">
        <f t="shared" si="12"/>
        <v>115.66666666666667</v>
      </c>
      <c r="BB15" s="189">
        <f t="shared" si="12"/>
        <v>6</v>
      </c>
      <c r="BC15" s="189">
        <f t="shared" si="12"/>
        <v>2</v>
      </c>
      <c r="BD15" s="190">
        <f t="shared" si="12"/>
        <v>129378.58333333333</v>
      </c>
      <c r="BE15" s="172"/>
      <c r="BF15" s="188">
        <f>AVERAGE(BF3:BF14)</f>
        <v>121040.83333333333</v>
      </c>
      <c r="BG15" s="189">
        <f aca="true" t="shared" si="13" ref="BG15:BM15">AVERAGE(BG3:BG14)</f>
        <v>1280</v>
      </c>
      <c r="BH15" s="189">
        <f t="shared" si="13"/>
        <v>7528.75</v>
      </c>
      <c r="BI15" s="189">
        <f t="shared" si="13"/>
        <v>1553.6666666666667</v>
      </c>
      <c r="BJ15" s="189">
        <f t="shared" si="13"/>
        <v>113.91666666666667</v>
      </c>
      <c r="BK15" s="189">
        <f t="shared" si="13"/>
        <v>6</v>
      </c>
      <c r="BL15" s="189">
        <f t="shared" si="13"/>
        <v>2</v>
      </c>
      <c r="BM15" s="190">
        <f t="shared" si="13"/>
        <v>131525.16666666666</v>
      </c>
    </row>
    <row r="16" spans="20:65" ht="13.5" thickBot="1">
      <c r="T16" s="192"/>
      <c r="AC16" s="192"/>
      <c r="AL16" s="192"/>
      <c r="AU16" s="192"/>
      <c r="BD16" s="192"/>
      <c r="BJ16" s="193"/>
      <c r="BK16" s="193"/>
      <c r="BM16" s="192"/>
    </row>
    <row r="17" spans="4:66" ht="12.75">
      <c r="D17" s="720">
        <v>2003</v>
      </c>
      <c r="E17" s="721"/>
      <c r="F17" s="721"/>
      <c r="G17" s="721"/>
      <c r="H17" s="721"/>
      <c r="I17" s="721"/>
      <c r="J17" s="721"/>
      <c r="K17" s="158"/>
      <c r="L17" s="108">
        <v>2003</v>
      </c>
      <c r="M17" s="720">
        <v>2004</v>
      </c>
      <c r="N17" s="721"/>
      <c r="O17" s="721"/>
      <c r="P17" s="721"/>
      <c r="Q17" s="721"/>
      <c r="R17" s="721"/>
      <c r="S17" s="721"/>
      <c r="T17" s="159"/>
      <c r="U17" s="108">
        <v>2004</v>
      </c>
      <c r="V17" s="720">
        <v>2005</v>
      </c>
      <c r="W17" s="721"/>
      <c r="X17" s="721"/>
      <c r="Y17" s="721"/>
      <c r="Z17" s="721"/>
      <c r="AA17" s="721"/>
      <c r="AB17" s="721"/>
      <c r="AC17" s="159"/>
      <c r="AD17" s="108">
        <v>2005</v>
      </c>
      <c r="AE17" s="720">
        <v>2006</v>
      </c>
      <c r="AF17" s="721"/>
      <c r="AG17" s="721"/>
      <c r="AH17" s="721"/>
      <c r="AI17" s="721"/>
      <c r="AJ17" s="721"/>
      <c r="AK17" s="721"/>
      <c r="AL17" s="159"/>
      <c r="AM17" s="108">
        <v>2006</v>
      </c>
      <c r="AN17" s="720">
        <v>2007</v>
      </c>
      <c r="AO17" s="721"/>
      <c r="AP17" s="721"/>
      <c r="AQ17" s="721"/>
      <c r="AR17" s="721"/>
      <c r="AS17" s="721"/>
      <c r="AT17" s="721"/>
      <c r="AU17" s="159"/>
      <c r="AV17" s="108">
        <v>2007</v>
      </c>
      <c r="AW17" s="720">
        <v>2008</v>
      </c>
      <c r="AX17" s="721"/>
      <c r="AY17" s="721"/>
      <c r="AZ17" s="721"/>
      <c r="BA17" s="721"/>
      <c r="BB17" s="721"/>
      <c r="BC17" s="721"/>
      <c r="BD17" s="159"/>
      <c r="BE17" s="108">
        <v>2008</v>
      </c>
      <c r="BF17" s="720">
        <v>2009</v>
      </c>
      <c r="BG17" s="721"/>
      <c r="BH17" s="721"/>
      <c r="BI17" s="721"/>
      <c r="BJ17" s="721"/>
      <c r="BK17" s="721"/>
      <c r="BL17" s="743"/>
      <c r="BM17" s="160"/>
      <c r="BN17" s="108">
        <v>2009</v>
      </c>
    </row>
    <row r="18" spans="4:65" s="5" customFormat="1" ht="13.5" thickBot="1">
      <c r="D18" s="161" t="s">
        <v>75</v>
      </c>
      <c r="E18" s="162" t="s">
        <v>76</v>
      </c>
      <c r="F18" s="162" t="s">
        <v>77</v>
      </c>
      <c r="G18" s="162" t="s">
        <v>78</v>
      </c>
      <c r="H18" s="162" t="s">
        <v>79</v>
      </c>
      <c r="I18" s="162" t="s">
        <v>80</v>
      </c>
      <c r="J18" s="162" t="s">
        <v>81</v>
      </c>
      <c r="K18" s="163" t="s">
        <v>82</v>
      </c>
      <c r="M18" s="161" t="s">
        <v>75</v>
      </c>
      <c r="N18" s="162" t="s">
        <v>76</v>
      </c>
      <c r="O18" s="162" t="s">
        <v>77</v>
      </c>
      <c r="P18" s="162" t="s">
        <v>78</v>
      </c>
      <c r="Q18" s="162" t="s">
        <v>79</v>
      </c>
      <c r="R18" s="162" t="s">
        <v>80</v>
      </c>
      <c r="S18" s="162" t="s">
        <v>81</v>
      </c>
      <c r="T18" s="163" t="s">
        <v>82</v>
      </c>
      <c r="V18" s="161" t="s">
        <v>75</v>
      </c>
      <c r="W18" s="162" t="s">
        <v>76</v>
      </c>
      <c r="X18" s="162" t="s">
        <v>77</v>
      </c>
      <c r="Y18" s="162" t="s">
        <v>78</v>
      </c>
      <c r="Z18" s="162" t="s">
        <v>79</v>
      </c>
      <c r="AA18" s="162" t="s">
        <v>80</v>
      </c>
      <c r="AB18" s="162" t="s">
        <v>81</v>
      </c>
      <c r="AC18" s="163" t="s">
        <v>82</v>
      </c>
      <c r="AE18" s="164" t="s">
        <v>75</v>
      </c>
      <c r="AF18" s="165" t="s">
        <v>76</v>
      </c>
      <c r="AG18" s="165" t="s">
        <v>77</v>
      </c>
      <c r="AH18" s="166" t="s">
        <v>78</v>
      </c>
      <c r="AI18" s="166" t="s">
        <v>79</v>
      </c>
      <c r="AJ18" s="166" t="s">
        <v>80</v>
      </c>
      <c r="AK18" s="165" t="s">
        <v>81</v>
      </c>
      <c r="AL18" s="163" t="s">
        <v>82</v>
      </c>
      <c r="AN18" s="161" t="s">
        <v>75</v>
      </c>
      <c r="AO18" s="162" t="s">
        <v>76</v>
      </c>
      <c r="AP18" s="162" t="s">
        <v>77</v>
      </c>
      <c r="AQ18" s="162" t="s">
        <v>78</v>
      </c>
      <c r="AR18" s="162" t="s">
        <v>79</v>
      </c>
      <c r="AS18" s="162" t="s">
        <v>80</v>
      </c>
      <c r="AT18" s="162" t="s">
        <v>81</v>
      </c>
      <c r="AU18" s="167" t="s">
        <v>82</v>
      </c>
      <c r="AW18" s="161" t="s">
        <v>75</v>
      </c>
      <c r="AX18" s="162" t="s">
        <v>76</v>
      </c>
      <c r="AY18" s="162" t="s">
        <v>77</v>
      </c>
      <c r="AZ18" s="162" t="s">
        <v>78</v>
      </c>
      <c r="BA18" s="162" t="s">
        <v>79</v>
      </c>
      <c r="BB18" s="162" t="s">
        <v>80</v>
      </c>
      <c r="BC18" s="162" t="s">
        <v>81</v>
      </c>
      <c r="BD18" s="168" t="s">
        <v>82</v>
      </c>
      <c r="BF18" s="161" t="s">
        <v>75</v>
      </c>
      <c r="BG18" s="162" t="s">
        <v>76</v>
      </c>
      <c r="BH18" s="162" t="s">
        <v>77</v>
      </c>
      <c r="BI18" s="162" t="s">
        <v>78</v>
      </c>
      <c r="BJ18" s="162" t="s">
        <v>79</v>
      </c>
      <c r="BK18" s="162" t="s">
        <v>80</v>
      </c>
      <c r="BL18" s="163" t="s">
        <v>81</v>
      </c>
      <c r="BM18" s="168" t="s">
        <v>82</v>
      </c>
    </row>
    <row r="19" spans="1:66" ht="12.75">
      <c r="A19" s="744" t="s">
        <v>84</v>
      </c>
      <c r="B19" s="34" t="s">
        <v>9</v>
      </c>
      <c r="C19" s="169"/>
      <c r="D19" s="170"/>
      <c r="E19" s="169"/>
      <c r="F19" s="169"/>
      <c r="G19" s="171"/>
      <c r="H19" s="171"/>
      <c r="I19" s="169"/>
      <c r="J19" s="169"/>
      <c r="K19" s="194"/>
      <c r="L19" s="169"/>
      <c r="M19" s="195">
        <f>M3/D14</f>
        <v>1.0037589221607468</v>
      </c>
      <c r="N19" s="196">
        <f aca="true" t="shared" si="14" ref="N19:T19">N3/E14</f>
        <v>1.0226244343891402</v>
      </c>
      <c r="O19" s="196">
        <f t="shared" si="14"/>
        <v>0.997713066016161</v>
      </c>
      <c r="P19" s="196">
        <f t="shared" si="14"/>
        <v>0.9992810927390366</v>
      </c>
      <c r="Q19" s="196">
        <f t="shared" si="14"/>
        <v>1</v>
      </c>
      <c r="R19" s="196">
        <f t="shared" si="14"/>
        <v>1</v>
      </c>
      <c r="S19" s="196">
        <f t="shared" si="14"/>
        <v>1</v>
      </c>
      <c r="T19" s="197">
        <f t="shared" si="14"/>
        <v>1.0035129594517858</v>
      </c>
      <c r="U19" s="169"/>
      <c r="V19" s="195">
        <f aca="true" t="shared" si="15" ref="V19:AC19">V3/M14</f>
        <v>1.0031546977564416</v>
      </c>
      <c r="W19" s="196">
        <f t="shared" si="15"/>
        <v>1.0256637168141594</v>
      </c>
      <c r="X19" s="196">
        <f t="shared" si="15"/>
        <v>1.0038252170075033</v>
      </c>
      <c r="Y19" s="196">
        <f t="shared" si="15"/>
        <v>1.0021802325581395</v>
      </c>
      <c r="Z19" s="196">
        <f t="shared" si="15"/>
        <v>1.0330578512396693</v>
      </c>
      <c r="AA19" s="196">
        <f t="shared" si="15"/>
        <v>1</v>
      </c>
      <c r="AB19" s="196">
        <f t="shared" si="15"/>
        <v>1</v>
      </c>
      <c r="AC19" s="197">
        <f t="shared" si="15"/>
        <v>1.0034439770760275</v>
      </c>
      <c r="AD19" s="169"/>
      <c r="AE19" s="195">
        <f aca="true" t="shared" si="16" ref="AE19:AL19">AE3/V14</f>
        <v>1.004274735384587</v>
      </c>
      <c r="AF19" s="196">
        <f t="shared" si="16"/>
        <v>1.0414150129421915</v>
      </c>
      <c r="AG19" s="196">
        <f t="shared" si="16"/>
        <v>1.0054355600057217</v>
      </c>
      <c r="AH19" s="196">
        <f t="shared" si="16"/>
        <v>1.0087655222790357</v>
      </c>
      <c r="AI19" s="196">
        <f t="shared" si="16"/>
        <v>1.0084745762711864</v>
      </c>
      <c r="AJ19" s="196">
        <f t="shared" si="16"/>
        <v>1</v>
      </c>
      <c r="AK19" s="196">
        <f t="shared" si="16"/>
        <v>1</v>
      </c>
      <c r="AL19" s="197">
        <f t="shared" si="16"/>
        <v>1.00476754995693</v>
      </c>
      <c r="AM19" s="169"/>
      <c r="AN19" s="195">
        <f aca="true" t="shared" si="17" ref="AN19:AU19">AN3/AE14</f>
        <v>1.0034498826143838</v>
      </c>
      <c r="AO19" s="196">
        <f t="shared" si="17"/>
        <v>1.035625517812759</v>
      </c>
      <c r="AP19" s="196">
        <f t="shared" si="17"/>
        <v>1.0053065214355537</v>
      </c>
      <c r="AQ19" s="196">
        <f t="shared" si="17"/>
        <v>1.0070871722182848</v>
      </c>
      <c r="AR19" s="196">
        <f t="shared" si="17"/>
        <v>1</v>
      </c>
      <c r="AS19" s="196">
        <f t="shared" si="17"/>
        <v>1</v>
      </c>
      <c r="AT19" s="196">
        <f t="shared" si="17"/>
        <v>1</v>
      </c>
      <c r="AU19" s="197">
        <f t="shared" si="17"/>
        <v>1.0039176309854982</v>
      </c>
      <c r="AV19" s="169"/>
      <c r="AW19" s="195">
        <f aca="true" t="shared" si="18" ref="AW19:BD19">AW3/AN14</f>
        <v>1.003964998632759</v>
      </c>
      <c r="AX19" s="196">
        <f t="shared" si="18"/>
        <v>1.0136</v>
      </c>
      <c r="AY19" s="196">
        <f t="shared" si="18"/>
        <v>0.9991935483870967</v>
      </c>
      <c r="AZ19" s="196">
        <f t="shared" si="18"/>
        <v>1.0124740124740124</v>
      </c>
      <c r="BA19" s="196">
        <f t="shared" si="18"/>
        <v>1</v>
      </c>
      <c r="BB19" s="196">
        <f t="shared" si="18"/>
        <v>1</v>
      </c>
      <c r="BC19" s="196">
        <f t="shared" si="18"/>
        <v>1</v>
      </c>
      <c r="BD19" s="197">
        <f t="shared" si="18"/>
        <v>1.0038734109586889</v>
      </c>
      <c r="BE19" s="169"/>
      <c r="BF19" s="195">
        <f aca="true" t="shared" si="19" ref="BF19:BM19">BF3/AW14</f>
        <v>1.0012542049088418</v>
      </c>
      <c r="BG19" s="196">
        <f t="shared" si="19"/>
        <v>1.01026045777427</v>
      </c>
      <c r="BH19" s="196">
        <f t="shared" si="19"/>
        <v>1.0014696058784236</v>
      </c>
      <c r="BI19" s="196">
        <f t="shared" si="19"/>
        <v>1.0085582620144833</v>
      </c>
      <c r="BJ19" s="196">
        <f t="shared" si="19"/>
        <v>0.9914529914529915</v>
      </c>
      <c r="BK19" s="196">
        <f t="shared" si="19"/>
        <v>1</v>
      </c>
      <c r="BL19" s="196">
        <f t="shared" si="19"/>
        <v>1</v>
      </c>
      <c r="BM19" s="197">
        <f t="shared" si="19"/>
        <v>1.001429761986681</v>
      </c>
      <c r="BN19" s="173"/>
    </row>
    <row r="20" spans="1:66" ht="12.75">
      <c r="A20" s="745"/>
      <c r="B20" s="9" t="s">
        <v>10</v>
      </c>
      <c r="C20" s="172"/>
      <c r="D20" s="198">
        <f aca="true" t="shared" si="20" ref="D20:K20">D4/D3</f>
        <v>1.002926411993787</v>
      </c>
      <c r="E20" s="199">
        <f t="shared" si="20"/>
        <v>1</v>
      </c>
      <c r="F20" s="199">
        <f t="shared" si="20"/>
        <v>1.001700417375174</v>
      </c>
      <c r="G20" s="199">
        <f t="shared" si="20"/>
        <v>1.001516300227445</v>
      </c>
      <c r="H20" s="199">
        <f t="shared" si="20"/>
        <v>1.0081967213114753</v>
      </c>
      <c r="I20" s="199">
        <f t="shared" si="20"/>
        <v>1</v>
      </c>
      <c r="J20" s="199">
        <f t="shared" si="20"/>
        <v>1</v>
      </c>
      <c r="K20" s="200">
        <f t="shared" si="20"/>
        <v>1.0027997179846118</v>
      </c>
      <c r="L20" s="172"/>
      <c r="M20" s="198">
        <f aca="true" t="shared" si="21" ref="M20:T30">M4/M3</f>
        <v>1.0087414794243879</v>
      </c>
      <c r="N20" s="199">
        <f t="shared" si="21"/>
        <v>1</v>
      </c>
      <c r="O20" s="199">
        <f t="shared" si="21"/>
        <v>1.0068765281173595</v>
      </c>
      <c r="P20" s="199">
        <f t="shared" si="21"/>
        <v>1.0028776978417266</v>
      </c>
      <c r="Q20" s="199">
        <f t="shared" si="21"/>
        <v>1.0227272727272727</v>
      </c>
      <c r="R20" s="199">
        <f t="shared" si="21"/>
        <v>0.75</v>
      </c>
      <c r="S20" s="199">
        <f t="shared" si="21"/>
        <v>1</v>
      </c>
      <c r="T20" s="200">
        <f t="shared" si="21"/>
        <v>1.008459133370418</v>
      </c>
      <c r="U20" s="172"/>
      <c r="V20" s="198">
        <f aca="true" t="shared" si="22" ref="V20:AC30">V4/V3</f>
        <v>1.0039456207516213</v>
      </c>
      <c r="W20" s="199">
        <f t="shared" si="22"/>
        <v>1</v>
      </c>
      <c r="X20" s="199">
        <f t="shared" si="22"/>
        <v>1.0013190678587132</v>
      </c>
      <c r="Y20" s="199">
        <f t="shared" si="22"/>
        <v>0.9992748368382887</v>
      </c>
      <c r="Z20" s="199">
        <f t="shared" si="22"/>
        <v>1.008</v>
      </c>
      <c r="AA20" s="199">
        <f t="shared" si="22"/>
        <v>1</v>
      </c>
      <c r="AB20" s="199">
        <f t="shared" si="22"/>
        <v>1</v>
      </c>
      <c r="AC20" s="200">
        <f t="shared" si="22"/>
        <v>1.003691356148834</v>
      </c>
      <c r="AD20" s="172"/>
      <c r="AE20" s="198">
        <f aca="true" t="shared" si="23" ref="AE20:AL30">AE4/AE3</f>
        <v>1.002128269901637</v>
      </c>
      <c r="AF20" s="199">
        <f t="shared" si="23"/>
        <v>1</v>
      </c>
      <c r="AG20" s="199">
        <f t="shared" si="23"/>
        <v>1.0031298904538342</v>
      </c>
      <c r="AH20" s="199">
        <f t="shared" si="23"/>
        <v>0.997827661115134</v>
      </c>
      <c r="AI20" s="199">
        <f t="shared" si="23"/>
        <v>0.9915966386554622</v>
      </c>
      <c r="AJ20" s="199">
        <f t="shared" si="23"/>
        <v>1.3333333333333333</v>
      </c>
      <c r="AK20" s="199">
        <f t="shared" si="23"/>
        <v>1</v>
      </c>
      <c r="AL20" s="200">
        <f t="shared" si="23"/>
        <v>1.002113572701808</v>
      </c>
      <c r="AM20" s="172"/>
      <c r="AN20" s="198">
        <f aca="true" t="shared" si="24" ref="AN20:AU30">AN4/AN3</f>
        <v>1.0024646598144362</v>
      </c>
      <c r="AO20" s="199">
        <f t="shared" si="24"/>
        <v>1</v>
      </c>
      <c r="AP20" s="199">
        <f t="shared" si="24"/>
        <v>1.001250173635227</v>
      </c>
      <c r="AQ20" s="199">
        <f t="shared" si="24"/>
        <v>1.0007037297677692</v>
      </c>
      <c r="AR20" s="199">
        <f t="shared" si="24"/>
        <v>1.0084033613445378</v>
      </c>
      <c r="AS20" s="199">
        <f t="shared" si="24"/>
        <v>1</v>
      </c>
      <c r="AT20" s="199">
        <f t="shared" si="24"/>
        <v>1</v>
      </c>
      <c r="AU20" s="200">
        <f t="shared" si="24"/>
        <v>1.0023528833068258</v>
      </c>
      <c r="AV20" s="172"/>
      <c r="AW20" s="198">
        <f aca="true" t="shared" si="25" ref="AW20:BD30">AW4/AW3</f>
        <v>1.0035067411139862</v>
      </c>
      <c r="AX20" s="199">
        <f t="shared" si="25"/>
        <v>1</v>
      </c>
      <c r="AY20" s="199">
        <f t="shared" si="25"/>
        <v>0.9991928974979822</v>
      </c>
      <c r="AZ20" s="199">
        <f t="shared" si="25"/>
        <v>1.0123203285420945</v>
      </c>
      <c r="BA20" s="199">
        <f t="shared" si="25"/>
        <v>1</v>
      </c>
      <c r="BB20" s="199">
        <f t="shared" si="25"/>
        <v>1</v>
      </c>
      <c r="BC20" s="199">
        <f t="shared" si="25"/>
        <v>1</v>
      </c>
      <c r="BD20" s="200">
        <f t="shared" si="25"/>
        <v>1.0033184368910002</v>
      </c>
      <c r="BE20" s="172"/>
      <c r="BF20" s="198">
        <f aca="true" t="shared" si="26" ref="BF20:BM30">BF4/BF3</f>
        <v>1.0004147794203042</v>
      </c>
      <c r="BG20" s="199">
        <f t="shared" si="26"/>
        <v>1</v>
      </c>
      <c r="BH20" s="199">
        <f t="shared" si="26"/>
        <v>1.0001334044823906</v>
      </c>
      <c r="BI20" s="199">
        <f t="shared" si="26"/>
        <v>1.001958224543081</v>
      </c>
      <c r="BJ20" s="199">
        <f t="shared" si="26"/>
        <v>1</v>
      </c>
      <c r="BK20" s="199">
        <f t="shared" si="26"/>
        <v>1</v>
      </c>
      <c r="BL20" s="199">
        <f t="shared" si="26"/>
        <v>1</v>
      </c>
      <c r="BM20" s="200">
        <f t="shared" si="26"/>
        <v>1.000412282978821</v>
      </c>
      <c r="BN20" s="173"/>
    </row>
    <row r="21" spans="1:66" ht="12.75">
      <c r="A21" s="745"/>
      <c r="B21" s="9" t="s">
        <v>11</v>
      </c>
      <c r="C21" s="172"/>
      <c r="D21" s="198">
        <f aca="true" t="shared" si="27" ref="D21:J30">D5/D4</f>
        <v>1.0058581913675846</v>
      </c>
      <c r="E21" s="199">
        <f t="shared" si="27"/>
        <v>1</v>
      </c>
      <c r="F21" s="199">
        <f t="shared" si="27"/>
        <v>1.0021604938271604</v>
      </c>
      <c r="G21" s="199">
        <f t="shared" si="27"/>
        <v>1.0174110522331568</v>
      </c>
      <c r="H21" s="199">
        <f t="shared" si="27"/>
        <v>1.008130081300813</v>
      </c>
      <c r="I21" s="199">
        <f t="shared" si="27"/>
        <v>1</v>
      </c>
      <c r="J21" s="199">
        <f t="shared" si="27"/>
        <v>1</v>
      </c>
      <c r="K21" s="200">
        <f aca="true" t="shared" si="28" ref="K21:K30">K5/K4</f>
        <v>1.0057060759519467</v>
      </c>
      <c r="L21" s="172"/>
      <c r="M21" s="198">
        <f t="shared" si="21"/>
        <v>1.0040669482246207</v>
      </c>
      <c r="N21" s="199">
        <f t="shared" si="21"/>
        <v>1</v>
      </c>
      <c r="O21" s="199">
        <f t="shared" si="21"/>
        <v>1.0022765214751859</v>
      </c>
      <c r="P21" s="199">
        <f t="shared" si="21"/>
        <v>1</v>
      </c>
      <c r="Q21" s="199">
        <f t="shared" si="21"/>
        <v>0.9925925925925926</v>
      </c>
      <c r="R21" s="199">
        <f t="shared" si="21"/>
        <v>1</v>
      </c>
      <c r="S21" s="199">
        <f t="shared" si="21"/>
        <v>1</v>
      </c>
      <c r="T21" s="200">
        <f t="shared" si="21"/>
        <v>1.0038422033704872</v>
      </c>
      <c r="U21" s="172"/>
      <c r="V21" s="198">
        <f t="shared" si="22"/>
        <v>1.002937857504183</v>
      </c>
      <c r="W21" s="199">
        <f t="shared" si="22"/>
        <v>1</v>
      </c>
      <c r="X21" s="199">
        <f t="shared" si="22"/>
        <v>1.0040983606557377</v>
      </c>
      <c r="Y21" s="199">
        <f t="shared" si="22"/>
        <v>0.988388969521045</v>
      </c>
      <c r="Z21" s="199">
        <f t="shared" si="22"/>
        <v>0.9523809523809523</v>
      </c>
      <c r="AA21" s="199">
        <f t="shared" si="22"/>
        <v>1</v>
      </c>
      <c r="AB21" s="199">
        <f t="shared" si="22"/>
        <v>1</v>
      </c>
      <c r="AC21" s="200">
        <f t="shared" si="22"/>
        <v>1.0027427513001355</v>
      </c>
      <c r="AD21" s="172"/>
      <c r="AE21" s="198">
        <f t="shared" si="23"/>
        <v>1.0033518315035226</v>
      </c>
      <c r="AF21" s="199">
        <f t="shared" si="23"/>
        <v>1</v>
      </c>
      <c r="AG21" s="199">
        <f t="shared" si="23"/>
        <v>0.9994327045809105</v>
      </c>
      <c r="AH21" s="199">
        <f t="shared" si="23"/>
        <v>1.0130624092888243</v>
      </c>
      <c r="AI21" s="199">
        <f t="shared" si="23"/>
        <v>1</v>
      </c>
      <c r="AJ21" s="199">
        <f t="shared" si="23"/>
        <v>1</v>
      </c>
      <c r="AK21" s="199">
        <f t="shared" si="23"/>
        <v>1</v>
      </c>
      <c r="AL21" s="200">
        <f t="shared" si="23"/>
        <v>1.0031933185949398</v>
      </c>
      <c r="AM21" s="172"/>
      <c r="AN21" s="198">
        <f t="shared" si="24"/>
        <v>1.0023249806251615</v>
      </c>
      <c r="AO21" s="199">
        <f t="shared" si="24"/>
        <v>1</v>
      </c>
      <c r="AP21" s="199">
        <f t="shared" si="24"/>
        <v>1.003607103218646</v>
      </c>
      <c r="AQ21" s="199">
        <f t="shared" si="24"/>
        <v>0.9852320675105485</v>
      </c>
      <c r="AR21" s="199">
        <f t="shared" si="24"/>
        <v>0.9916666666666667</v>
      </c>
      <c r="AS21" s="199">
        <f t="shared" si="24"/>
        <v>1.25</v>
      </c>
      <c r="AT21" s="199">
        <f t="shared" si="24"/>
        <v>1</v>
      </c>
      <c r="AU21" s="200">
        <f t="shared" si="24"/>
        <v>1.002175602175602</v>
      </c>
      <c r="AV21" s="172"/>
      <c r="AW21" s="198">
        <f t="shared" si="25"/>
        <v>1.0021713316369805</v>
      </c>
      <c r="AX21" s="199">
        <f t="shared" si="25"/>
        <v>1</v>
      </c>
      <c r="AY21" s="199">
        <f t="shared" si="25"/>
        <v>1.001211631663974</v>
      </c>
      <c r="AZ21" s="199">
        <f t="shared" si="25"/>
        <v>1.0060851926977687</v>
      </c>
      <c r="BA21" s="199">
        <f t="shared" si="25"/>
        <v>1</v>
      </c>
      <c r="BB21" s="199">
        <f t="shared" si="25"/>
        <v>1</v>
      </c>
      <c r="BC21" s="199">
        <f t="shared" si="25"/>
        <v>1</v>
      </c>
      <c r="BD21" s="200">
        <f t="shared" si="25"/>
        <v>1.0021373688521393</v>
      </c>
      <c r="BE21" s="172"/>
      <c r="BF21" s="198">
        <f t="shared" si="26"/>
        <v>1.0008375070483266</v>
      </c>
      <c r="BG21" s="199">
        <f t="shared" si="26"/>
        <v>1</v>
      </c>
      <c r="BH21" s="199">
        <f t="shared" si="26"/>
        <v>1.0013338668800853</v>
      </c>
      <c r="BI21" s="199">
        <f t="shared" si="26"/>
        <v>1.0045602605863193</v>
      </c>
      <c r="BJ21" s="199">
        <f t="shared" si="26"/>
        <v>0.9913793103448276</v>
      </c>
      <c r="BK21" s="199">
        <f t="shared" si="26"/>
        <v>1</v>
      </c>
      <c r="BL21" s="199">
        <f t="shared" si="26"/>
        <v>1</v>
      </c>
      <c r="BM21" s="200">
        <f t="shared" si="26"/>
        <v>1.0008929116551681</v>
      </c>
      <c r="BN21" s="173"/>
    </row>
    <row r="22" spans="1:66" ht="12.75">
      <c r="A22" s="745"/>
      <c r="B22" s="9" t="s">
        <v>12</v>
      </c>
      <c r="C22" s="172"/>
      <c r="D22" s="198">
        <f t="shared" si="27"/>
        <v>1.0055674565983845</v>
      </c>
      <c r="E22" s="199">
        <f t="shared" si="27"/>
        <v>1</v>
      </c>
      <c r="F22" s="199">
        <f t="shared" si="27"/>
        <v>0.9966122574684324</v>
      </c>
      <c r="G22" s="199">
        <f t="shared" si="27"/>
        <v>1.0007440476190477</v>
      </c>
      <c r="H22" s="199">
        <f t="shared" si="27"/>
        <v>1</v>
      </c>
      <c r="I22" s="199">
        <f t="shared" si="27"/>
        <v>1</v>
      </c>
      <c r="J22" s="199">
        <f t="shared" si="27"/>
        <v>1</v>
      </c>
      <c r="K22" s="200">
        <f t="shared" si="28"/>
        <v>1.0048429093930153</v>
      </c>
      <c r="L22" s="172"/>
      <c r="M22" s="198">
        <f t="shared" si="21"/>
        <v>1.004569766838033</v>
      </c>
      <c r="N22" s="199">
        <f t="shared" si="21"/>
        <v>1</v>
      </c>
      <c r="O22" s="199">
        <f t="shared" si="21"/>
        <v>1.0003028467595396</v>
      </c>
      <c r="P22" s="199">
        <f t="shared" si="21"/>
        <v>1.0007173601147776</v>
      </c>
      <c r="Q22" s="199">
        <f t="shared" si="21"/>
        <v>1.0149253731343284</v>
      </c>
      <c r="R22" s="199">
        <f t="shared" si="21"/>
        <v>1</v>
      </c>
      <c r="S22" s="199">
        <f t="shared" si="21"/>
        <v>1</v>
      </c>
      <c r="T22" s="200">
        <f t="shared" si="21"/>
        <v>1.0042159314840078</v>
      </c>
      <c r="U22" s="172"/>
      <c r="V22" s="198">
        <f t="shared" si="22"/>
        <v>1.0044229761974044</v>
      </c>
      <c r="W22" s="199">
        <f t="shared" si="22"/>
        <v>1</v>
      </c>
      <c r="X22" s="199">
        <f t="shared" si="22"/>
        <v>0.9967930029154519</v>
      </c>
      <c r="Y22" s="199">
        <f t="shared" si="22"/>
        <v>1.0058737151248165</v>
      </c>
      <c r="Z22" s="199">
        <f t="shared" si="22"/>
        <v>1</v>
      </c>
      <c r="AA22" s="199">
        <f t="shared" si="22"/>
        <v>1</v>
      </c>
      <c r="AB22" s="199">
        <f t="shared" si="22"/>
        <v>1</v>
      </c>
      <c r="AC22" s="200">
        <f t="shared" si="22"/>
        <v>1.0039252602039004</v>
      </c>
      <c r="AD22" s="172"/>
      <c r="AE22" s="198">
        <f t="shared" si="23"/>
        <v>1.0026320148718042</v>
      </c>
      <c r="AF22" s="199">
        <f t="shared" si="23"/>
        <v>1</v>
      </c>
      <c r="AG22" s="199">
        <f t="shared" si="23"/>
        <v>0.9992904782176812</v>
      </c>
      <c r="AH22" s="199">
        <f t="shared" si="23"/>
        <v>1.001432664756447</v>
      </c>
      <c r="AI22" s="199">
        <f t="shared" si="23"/>
        <v>1</v>
      </c>
      <c r="AJ22" s="199">
        <f t="shared" si="23"/>
        <v>1</v>
      </c>
      <c r="AK22" s="199">
        <f t="shared" si="23"/>
        <v>1</v>
      </c>
      <c r="AL22" s="200">
        <f t="shared" si="23"/>
        <v>1.0023894761727854</v>
      </c>
      <c r="AM22" s="172"/>
      <c r="AN22" s="198">
        <f t="shared" si="24"/>
        <v>1.0025239957340917</v>
      </c>
      <c r="AO22" s="199">
        <f t="shared" si="24"/>
        <v>1</v>
      </c>
      <c r="AP22" s="199">
        <f t="shared" si="24"/>
        <v>1.0015205971799834</v>
      </c>
      <c r="AQ22" s="199">
        <f t="shared" si="24"/>
        <v>1.0007137758743754</v>
      </c>
      <c r="AR22" s="199">
        <f t="shared" si="24"/>
        <v>0.9915966386554622</v>
      </c>
      <c r="AS22" s="199">
        <f t="shared" si="24"/>
        <v>1</v>
      </c>
      <c r="AT22" s="199">
        <f t="shared" si="24"/>
        <v>1</v>
      </c>
      <c r="AU22" s="200">
        <f t="shared" si="24"/>
        <v>1.0024075540067412</v>
      </c>
      <c r="AV22" s="172"/>
      <c r="AW22" s="198">
        <f t="shared" si="25"/>
        <v>1.0029114052608417</v>
      </c>
      <c r="AX22" s="199">
        <f t="shared" si="25"/>
        <v>1</v>
      </c>
      <c r="AY22" s="199">
        <f t="shared" si="25"/>
        <v>0.9982519833266101</v>
      </c>
      <c r="AZ22" s="199">
        <f t="shared" si="25"/>
        <v>0.9959677419354839</v>
      </c>
      <c r="BA22" s="199">
        <f t="shared" si="25"/>
        <v>1.008849557522124</v>
      </c>
      <c r="BB22" s="199">
        <f t="shared" si="25"/>
        <v>1</v>
      </c>
      <c r="BC22" s="199">
        <f t="shared" si="25"/>
        <v>1</v>
      </c>
      <c r="BD22" s="200">
        <f t="shared" si="25"/>
        <v>1.002537577158692</v>
      </c>
      <c r="BE22" s="172"/>
      <c r="BF22" s="198">
        <f t="shared" si="26"/>
        <v>1.000381119663289</v>
      </c>
      <c r="BG22" s="199">
        <f t="shared" si="26"/>
        <v>1</v>
      </c>
      <c r="BH22" s="199">
        <f t="shared" si="26"/>
        <v>0.9977354469162115</v>
      </c>
      <c r="BI22" s="199">
        <f t="shared" si="26"/>
        <v>1.0103761348897535</v>
      </c>
      <c r="BJ22" s="199">
        <f t="shared" si="26"/>
        <v>1</v>
      </c>
      <c r="BK22" s="199">
        <f t="shared" si="26"/>
        <v>1</v>
      </c>
      <c r="BL22" s="199">
        <f t="shared" si="26"/>
        <v>1</v>
      </c>
      <c r="BM22" s="200">
        <f t="shared" si="26"/>
        <v>1.000343121182777</v>
      </c>
      <c r="BN22" s="173"/>
    </row>
    <row r="23" spans="1:66" ht="12.75">
      <c r="A23" s="745"/>
      <c r="B23" s="9" t="s">
        <v>13</v>
      </c>
      <c r="C23" s="172"/>
      <c r="D23" s="198">
        <f t="shared" si="27"/>
        <v>1.0049374771156256</v>
      </c>
      <c r="E23" s="199">
        <f t="shared" si="27"/>
        <v>1</v>
      </c>
      <c r="F23" s="199">
        <f t="shared" si="27"/>
        <v>1.0058714462299134</v>
      </c>
      <c r="G23" s="199">
        <f t="shared" si="27"/>
        <v>0.9992565055762082</v>
      </c>
      <c r="H23" s="199">
        <f t="shared" si="27"/>
        <v>1</v>
      </c>
      <c r="I23" s="199">
        <f t="shared" si="27"/>
        <v>1</v>
      </c>
      <c r="J23" s="199">
        <f t="shared" si="27"/>
        <v>1</v>
      </c>
      <c r="K23" s="200">
        <f t="shared" si="28"/>
        <v>1.0048598997771705</v>
      </c>
      <c r="L23" s="172"/>
      <c r="M23" s="198">
        <f t="shared" si="21"/>
        <v>1.0036391832514862</v>
      </c>
      <c r="N23" s="199">
        <f t="shared" si="21"/>
        <v>1</v>
      </c>
      <c r="O23" s="199">
        <f t="shared" si="21"/>
        <v>1.0004541326067211</v>
      </c>
      <c r="P23" s="199">
        <f t="shared" si="21"/>
        <v>1.0064516129032257</v>
      </c>
      <c r="Q23" s="199">
        <f t="shared" si="21"/>
        <v>0.8676470588235294</v>
      </c>
      <c r="R23" s="199">
        <f t="shared" si="21"/>
        <v>1</v>
      </c>
      <c r="S23" s="199">
        <f t="shared" si="21"/>
        <v>1</v>
      </c>
      <c r="T23" s="200">
        <f t="shared" si="21"/>
        <v>1.0032642433276413</v>
      </c>
      <c r="U23" s="172"/>
      <c r="V23" s="198">
        <f t="shared" si="22"/>
        <v>1.003650269424648</v>
      </c>
      <c r="W23" s="199">
        <f t="shared" si="22"/>
        <v>1</v>
      </c>
      <c r="X23" s="199">
        <f t="shared" si="22"/>
        <v>1.0038022813688212</v>
      </c>
      <c r="Y23" s="199">
        <f t="shared" si="22"/>
        <v>0.9875912408759124</v>
      </c>
      <c r="Z23" s="199">
        <f t="shared" si="22"/>
        <v>1</v>
      </c>
      <c r="AA23" s="199">
        <f t="shared" si="22"/>
        <v>1</v>
      </c>
      <c r="AB23" s="199">
        <f t="shared" si="22"/>
        <v>1</v>
      </c>
      <c r="AC23" s="200">
        <f t="shared" si="22"/>
        <v>1.0034233851706384</v>
      </c>
      <c r="AD23" s="172"/>
      <c r="AE23" s="198">
        <f t="shared" si="23"/>
        <v>1.0027444285347138</v>
      </c>
      <c r="AF23" s="199">
        <f t="shared" si="23"/>
        <v>1</v>
      </c>
      <c r="AG23" s="199">
        <f t="shared" si="23"/>
        <v>1.0005680204487362</v>
      </c>
      <c r="AH23" s="199">
        <f t="shared" si="23"/>
        <v>1.0100143061516451</v>
      </c>
      <c r="AI23" s="199">
        <f t="shared" si="23"/>
        <v>1</v>
      </c>
      <c r="AJ23" s="199">
        <f t="shared" si="23"/>
        <v>1</v>
      </c>
      <c r="AK23" s="199">
        <f t="shared" si="23"/>
        <v>1</v>
      </c>
      <c r="AL23" s="200">
        <f t="shared" si="23"/>
        <v>1.0026701707393089</v>
      </c>
      <c r="AM23" s="172"/>
      <c r="AN23" s="198">
        <f t="shared" si="24"/>
        <v>1.003510513811567</v>
      </c>
      <c r="AO23" s="199">
        <f t="shared" si="24"/>
        <v>1</v>
      </c>
      <c r="AP23" s="199">
        <f t="shared" si="24"/>
        <v>1.0017943409247758</v>
      </c>
      <c r="AQ23" s="199">
        <f t="shared" si="24"/>
        <v>1.0064194008559202</v>
      </c>
      <c r="AR23" s="199">
        <f t="shared" si="24"/>
        <v>0.9915254237288136</v>
      </c>
      <c r="AS23" s="199">
        <f t="shared" si="24"/>
        <v>1</v>
      </c>
      <c r="AT23" s="199">
        <f t="shared" si="24"/>
        <v>1</v>
      </c>
      <c r="AU23" s="200">
        <f t="shared" si="24"/>
        <v>1.0033950466513604</v>
      </c>
      <c r="AV23" s="172"/>
      <c r="AW23" s="198">
        <f t="shared" si="25"/>
        <v>1.0027257383966244</v>
      </c>
      <c r="AX23" s="199">
        <f t="shared" si="25"/>
        <v>1</v>
      </c>
      <c r="AY23" s="199">
        <f t="shared" si="25"/>
        <v>1.0002693965517242</v>
      </c>
      <c r="AZ23" s="199">
        <f t="shared" si="25"/>
        <v>0.9979757085020243</v>
      </c>
      <c r="BA23" s="199">
        <f t="shared" si="25"/>
        <v>1.0175438596491229</v>
      </c>
      <c r="BB23" s="199">
        <f t="shared" si="25"/>
        <v>1</v>
      </c>
      <c r="BC23" s="199">
        <f t="shared" si="25"/>
        <v>1</v>
      </c>
      <c r="BD23" s="200">
        <f t="shared" si="25"/>
        <v>1.0025156256065841</v>
      </c>
      <c r="BE23" s="172"/>
      <c r="BF23" s="198">
        <f t="shared" si="26"/>
        <v>1.0007702309864754</v>
      </c>
      <c r="BG23" s="199">
        <f t="shared" si="26"/>
        <v>1</v>
      </c>
      <c r="BH23" s="199">
        <f t="shared" si="26"/>
        <v>0.9994659546061415</v>
      </c>
      <c r="BI23" s="199">
        <f t="shared" si="26"/>
        <v>1.006418485237484</v>
      </c>
      <c r="BJ23" s="199">
        <f t="shared" si="26"/>
        <v>1.008695652173913</v>
      </c>
      <c r="BK23" s="199">
        <f t="shared" si="26"/>
        <v>1</v>
      </c>
      <c r="BL23" s="199">
        <f t="shared" si="26"/>
        <v>1</v>
      </c>
      <c r="BM23" s="200">
        <f t="shared" si="26"/>
        <v>1.0007622299800296</v>
      </c>
      <c r="BN23" s="173"/>
    </row>
    <row r="24" spans="1:66" ht="12.75">
      <c r="A24" s="745"/>
      <c r="B24" s="9" t="s">
        <v>14</v>
      </c>
      <c r="C24" s="172"/>
      <c r="D24" s="198">
        <f t="shared" si="27"/>
        <v>1.0051229960694255</v>
      </c>
      <c r="E24" s="199">
        <f t="shared" si="27"/>
        <v>1</v>
      </c>
      <c r="F24" s="199">
        <f t="shared" si="27"/>
        <v>1.0030721966205838</v>
      </c>
      <c r="G24" s="199">
        <f t="shared" si="27"/>
        <v>1.0044642857142858</v>
      </c>
      <c r="H24" s="199">
        <f t="shared" si="27"/>
        <v>1</v>
      </c>
      <c r="I24" s="199">
        <f t="shared" si="27"/>
        <v>1</v>
      </c>
      <c r="J24" s="199">
        <f t="shared" si="27"/>
        <v>1</v>
      </c>
      <c r="K24" s="200">
        <f t="shared" si="28"/>
        <v>1.0049166675028347</v>
      </c>
      <c r="L24" s="172"/>
      <c r="M24" s="198">
        <f t="shared" si="21"/>
        <v>1.0075198038670334</v>
      </c>
      <c r="N24" s="199">
        <f t="shared" si="21"/>
        <v>1</v>
      </c>
      <c r="O24" s="199">
        <f t="shared" si="21"/>
        <v>1.0009078529278257</v>
      </c>
      <c r="P24" s="199">
        <f t="shared" si="21"/>
        <v>0.9950142450142451</v>
      </c>
      <c r="Q24" s="199">
        <f t="shared" si="21"/>
        <v>1</v>
      </c>
      <c r="R24" s="199">
        <f t="shared" si="21"/>
        <v>1</v>
      </c>
      <c r="S24" s="199">
        <f t="shared" si="21"/>
        <v>1</v>
      </c>
      <c r="T24" s="200">
        <f t="shared" si="21"/>
        <v>1.0068551761752067</v>
      </c>
      <c r="U24" s="172"/>
      <c r="V24" s="198">
        <f t="shared" si="22"/>
        <v>1.0044740792056344</v>
      </c>
      <c r="W24" s="199">
        <f t="shared" si="22"/>
        <v>1</v>
      </c>
      <c r="X24" s="199">
        <f t="shared" si="22"/>
        <v>1.0008741258741258</v>
      </c>
      <c r="Y24" s="199">
        <f t="shared" si="22"/>
        <v>0.9985218033998522</v>
      </c>
      <c r="Z24" s="199">
        <f t="shared" si="22"/>
        <v>1</v>
      </c>
      <c r="AA24" s="199">
        <f t="shared" si="22"/>
        <v>1</v>
      </c>
      <c r="AB24" s="199">
        <f t="shared" si="22"/>
        <v>1</v>
      </c>
      <c r="AC24" s="200">
        <f t="shared" si="22"/>
        <v>1.0041345992788695</v>
      </c>
      <c r="AD24" s="172"/>
      <c r="AE24" s="198">
        <f t="shared" si="23"/>
        <v>1.0016384889287577</v>
      </c>
      <c r="AF24" s="199">
        <f t="shared" si="23"/>
        <v>1</v>
      </c>
      <c r="AG24" s="199">
        <f t="shared" si="23"/>
        <v>1</v>
      </c>
      <c r="AH24" s="199">
        <f t="shared" si="23"/>
        <v>1.0056657223796035</v>
      </c>
      <c r="AI24" s="199">
        <f t="shared" si="23"/>
        <v>1</v>
      </c>
      <c r="AJ24" s="199">
        <f t="shared" si="23"/>
        <v>1</v>
      </c>
      <c r="AK24" s="199">
        <f t="shared" si="23"/>
        <v>1</v>
      </c>
      <c r="AL24" s="200">
        <f t="shared" si="23"/>
        <v>1.0015709533250445</v>
      </c>
      <c r="AM24" s="172"/>
      <c r="AN24" s="198">
        <f t="shared" si="24"/>
        <v>1.003065371024735</v>
      </c>
      <c r="AO24" s="199">
        <f t="shared" si="24"/>
        <v>1</v>
      </c>
      <c r="AP24" s="199">
        <f t="shared" si="24"/>
        <v>1.0017911270322404</v>
      </c>
      <c r="AQ24" s="199">
        <f t="shared" si="24"/>
        <v>0.9992912827781715</v>
      </c>
      <c r="AR24" s="199">
        <f t="shared" si="24"/>
        <v>1</v>
      </c>
      <c r="AS24" s="199">
        <f t="shared" si="24"/>
        <v>1</v>
      </c>
      <c r="AT24" s="199">
        <f t="shared" si="24"/>
        <v>1</v>
      </c>
      <c r="AU24" s="200">
        <f t="shared" si="24"/>
        <v>1.0029129443457234</v>
      </c>
      <c r="AV24" s="172"/>
      <c r="AW24" s="198">
        <f t="shared" si="25"/>
        <v>1.0012287183457749</v>
      </c>
      <c r="AX24" s="199">
        <f t="shared" si="25"/>
        <v>1</v>
      </c>
      <c r="AY24" s="199">
        <f t="shared" si="25"/>
        <v>0.9982493940210073</v>
      </c>
      <c r="AZ24" s="199">
        <f t="shared" si="25"/>
        <v>1</v>
      </c>
      <c r="BA24" s="199">
        <f t="shared" si="25"/>
        <v>1.0086206896551724</v>
      </c>
      <c r="BB24" s="199">
        <f t="shared" si="25"/>
        <v>1</v>
      </c>
      <c r="BC24" s="199">
        <f t="shared" si="25"/>
        <v>1</v>
      </c>
      <c r="BD24" s="200">
        <f t="shared" si="25"/>
        <v>1.0010378023373787</v>
      </c>
      <c r="BE24" s="172"/>
      <c r="BF24" s="198">
        <f t="shared" si="26"/>
        <v>1.000678605713529</v>
      </c>
      <c r="BG24" s="199">
        <f t="shared" si="26"/>
        <v>1</v>
      </c>
      <c r="BH24" s="199">
        <f t="shared" si="26"/>
        <v>1.000400748063051</v>
      </c>
      <c r="BI24" s="199">
        <f t="shared" si="26"/>
        <v>1.0012755102040816</v>
      </c>
      <c r="BJ24" s="199">
        <f t="shared" si="26"/>
        <v>0.9827586206896551</v>
      </c>
      <c r="BK24" s="199">
        <f t="shared" si="26"/>
        <v>1</v>
      </c>
      <c r="BL24" s="199">
        <f t="shared" si="26"/>
        <v>1</v>
      </c>
      <c r="BM24" s="200">
        <f t="shared" si="26"/>
        <v>1.000647402013801</v>
      </c>
      <c r="BN24" s="173"/>
    </row>
    <row r="25" spans="1:66" ht="12.75">
      <c r="A25" s="745"/>
      <c r="B25" s="9" t="s">
        <v>15</v>
      </c>
      <c r="C25" s="172"/>
      <c r="D25" s="198">
        <f t="shared" si="27"/>
        <v>1.0086998550024167</v>
      </c>
      <c r="E25" s="199">
        <f t="shared" si="27"/>
        <v>1</v>
      </c>
      <c r="F25" s="199">
        <f t="shared" si="27"/>
        <v>0.9960183767228178</v>
      </c>
      <c r="G25" s="199">
        <f t="shared" si="27"/>
        <v>1</v>
      </c>
      <c r="H25" s="199">
        <f t="shared" si="27"/>
        <v>1</v>
      </c>
      <c r="I25" s="199">
        <f t="shared" si="27"/>
        <v>1</v>
      </c>
      <c r="J25" s="199">
        <f t="shared" si="27"/>
        <v>1</v>
      </c>
      <c r="K25" s="200">
        <f t="shared" si="28"/>
        <v>1.0076484508392327</v>
      </c>
      <c r="L25" s="172"/>
      <c r="M25" s="198">
        <f t="shared" si="21"/>
        <v>1.005173453842772</v>
      </c>
      <c r="N25" s="199">
        <f t="shared" si="21"/>
        <v>1</v>
      </c>
      <c r="O25" s="199">
        <f t="shared" si="21"/>
        <v>0.9977324263038548</v>
      </c>
      <c r="P25" s="199">
        <f t="shared" si="21"/>
        <v>1.0078740157480315</v>
      </c>
      <c r="Q25" s="199">
        <f t="shared" si="21"/>
        <v>1</v>
      </c>
      <c r="R25" s="199">
        <f t="shared" si="21"/>
        <v>1</v>
      </c>
      <c r="S25" s="199">
        <f t="shared" si="21"/>
        <v>1</v>
      </c>
      <c r="T25" s="200">
        <f t="shared" si="21"/>
        <v>1.0046884339509863</v>
      </c>
      <c r="U25" s="172"/>
      <c r="V25" s="198">
        <f t="shared" si="22"/>
        <v>1.0045499391744974</v>
      </c>
      <c r="W25" s="199">
        <f t="shared" si="22"/>
        <v>1</v>
      </c>
      <c r="X25" s="199">
        <f t="shared" si="22"/>
        <v>1.003056768558952</v>
      </c>
      <c r="Y25" s="199">
        <f t="shared" si="22"/>
        <v>1.002220577350111</v>
      </c>
      <c r="Z25" s="199">
        <f t="shared" si="22"/>
        <v>1</v>
      </c>
      <c r="AA25" s="199">
        <f t="shared" si="22"/>
        <v>1</v>
      </c>
      <c r="AB25" s="199">
        <f t="shared" si="22"/>
        <v>1</v>
      </c>
      <c r="AC25" s="200">
        <f t="shared" si="22"/>
        <v>1.0043809590700779</v>
      </c>
      <c r="AD25" s="172"/>
      <c r="AE25" s="198">
        <f t="shared" si="23"/>
        <v>1.0027415787838356</v>
      </c>
      <c r="AF25" s="199">
        <f t="shared" si="23"/>
        <v>1</v>
      </c>
      <c r="AG25" s="199">
        <f t="shared" si="23"/>
        <v>1.0011353959693443</v>
      </c>
      <c r="AH25" s="199">
        <f t="shared" si="23"/>
        <v>0.9852112676056338</v>
      </c>
      <c r="AI25" s="199">
        <f t="shared" si="23"/>
        <v>1.0084745762711864</v>
      </c>
      <c r="AJ25" s="199">
        <f t="shared" si="23"/>
        <v>1</v>
      </c>
      <c r="AK25" s="199">
        <f t="shared" si="23"/>
        <v>1</v>
      </c>
      <c r="AL25" s="200">
        <f t="shared" si="23"/>
        <v>1.0024156412772702</v>
      </c>
      <c r="AM25" s="172"/>
      <c r="AN25" s="198">
        <f t="shared" si="24"/>
        <v>1.004896650726131</v>
      </c>
      <c r="AO25" s="199">
        <f t="shared" si="24"/>
        <v>1</v>
      </c>
      <c r="AP25" s="199">
        <f t="shared" si="24"/>
        <v>1.0016503919680924</v>
      </c>
      <c r="AQ25" s="199">
        <f t="shared" si="24"/>
        <v>0.9943262411347518</v>
      </c>
      <c r="AR25" s="199">
        <f t="shared" si="24"/>
        <v>1</v>
      </c>
      <c r="AS25" s="199">
        <f t="shared" si="24"/>
        <v>1</v>
      </c>
      <c r="AT25" s="199">
        <f t="shared" si="24"/>
        <v>1</v>
      </c>
      <c r="AU25" s="200">
        <f t="shared" si="24"/>
        <v>1.0045306710247408</v>
      </c>
      <c r="AV25" s="172"/>
      <c r="AW25" s="198">
        <f t="shared" si="25"/>
        <v>1.002630937471106</v>
      </c>
      <c r="AX25" s="199">
        <f t="shared" si="25"/>
        <v>1</v>
      </c>
      <c r="AY25" s="199">
        <f t="shared" si="25"/>
        <v>1</v>
      </c>
      <c r="AZ25" s="199">
        <f t="shared" si="25"/>
        <v>1.0040567951318458</v>
      </c>
      <c r="BA25" s="199">
        <f t="shared" si="25"/>
        <v>1</v>
      </c>
      <c r="BB25" s="199">
        <f t="shared" si="25"/>
        <v>1</v>
      </c>
      <c r="BC25" s="199">
        <f t="shared" si="25"/>
        <v>1</v>
      </c>
      <c r="BD25" s="200">
        <f t="shared" si="25"/>
        <v>1.0024680278214044</v>
      </c>
      <c r="BE25" s="172"/>
      <c r="BF25" s="198">
        <f t="shared" si="26"/>
        <v>1.001257050232389</v>
      </c>
      <c r="BG25" s="199">
        <f t="shared" si="26"/>
        <v>1</v>
      </c>
      <c r="BH25" s="199">
        <f t="shared" si="26"/>
        <v>1.0014688209373748</v>
      </c>
      <c r="BI25" s="199">
        <f t="shared" si="26"/>
        <v>1.0031847133757963</v>
      </c>
      <c r="BJ25" s="199">
        <f t="shared" si="26"/>
        <v>1</v>
      </c>
      <c r="BK25" s="199">
        <f t="shared" si="26"/>
        <v>1</v>
      </c>
      <c r="BL25" s="199">
        <f t="shared" si="26"/>
        <v>1</v>
      </c>
      <c r="BM25" s="200">
        <f t="shared" si="26"/>
        <v>1.0012787431781336</v>
      </c>
      <c r="BN25" s="173"/>
    </row>
    <row r="26" spans="1:66" ht="12.75">
      <c r="A26" s="745"/>
      <c r="B26" s="9" t="s">
        <v>16</v>
      </c>
      <c r="C26" s="172"/>
      <c r="D26" s="198">
        <f t="shared" si="27"/>
        <v>1.0043668597813302</v>
      </c>
      <c r="E26" s="199">
        <f t="shared" si="27"/>
        <v>1</v>
      </c>
      <c r="F26" s="199">
        <f t="shared" si="27"/>
        <v>1.0029212792127922</v>
      </c>
      <c r="G26" s="199">
        <f t="shared" si="27"/>
        <v>0.9992592592592593</v>
      </c>
      <c r="H26" s="199">
        <f t="shared" si="27"/>
        <v>1</v>
      </c>
      <c r="I26" s="199">
        <f t="shared" si="27"/>
        <v>1</v>
      </c>
      <c r="J26" s="199">
        <f t="shared" si="27"/>
        <v>1</v>
      </c>
      <c r="K26" s="200">
        <f t="shared" si="28"/>
        <v>1.00415192683096</v>
      </c>
      <c r="L26" s="172"/>
      <c r="M26" s="198">
        <f t="shared" si="21"/>
        <v>1.0073032050695228</v>
      </c>
      <c r="N26" s="199">
        <f t="shared" si="21"/>
        <v>1</v>
      </c>
      <c r="O26" s="199">
        <f t="shared" si="21"/>
        <v>1.0077272727272728</v>
      </c>
      <c r="P26" s="199">
        <f t="shared" si="21"/>
        <v>1.0085227272727273</v>
      </c>
      <c r="Q26" s="199">
        <f t="shared" si="21"/>
        <v>1.0084745762711864</v>
      </c>
      <c r="R26" s="199">
        <f t="shared" si="21"/>
        <v>1</v>
      </c>
      <c r="S26" s="199">
        <f t="shared" si="21"/>
        <v>1</v>
      </c>
      <c r="T26" s="200">
        <f t="shared" si="21"/>
        <v>1.0072694145425474</v>
      </c>
      <c r="U26" s="172"/>
      <c r="V26" s="198">
        <f t="shared" si="22"/>
        <v>1.0043290868868717</v>
      </c>
      <c r="W26" s="199">
        <f t="shared" si="22"/>
        <v>1</v>
      </c>
      <c r="X26" s="199">
        <f t="shared" si="22"/>
        <v>1.0005804672761573</v>
      </c>
      <c r="Y26" s="199">
        <f t="shared" si="22"/>
        <v>1.0036927621861151</v>
      </c>
      <c r="Z26" s="199">
        <f t="shared" si="22"/>
        <v>1</v>
      </c>
      <c r="AA26" s="199">
        <f t="shared" si="22"/>
        <v>1</v>
      </c>
      <c r="AB26" s="199">
        <f t="shared" si="22"/>
        <v>1</v>
      </c>
      <c r="AC26" s="200">
        <f t="shared" si="22"/>
        <v>1.0040471674198652</v>
      </c>
      <c r="AD26" s="172"/>
      <c r="AE26" s="198">
        <f t="shared" si="23"/>
        <v>1.0038732843628675</v>
      </c>
      <c r="AF26" s="199">
        <f t="shared" si="23"/>
        <v>1</v>
      </c>
      <c r="AG26" s="199">
        <f t="shared" si="23"/>
        <v>1.001559398922597</v>
      </c>
      <c r="AH26" s="199">
        <f t="shared" si="23"/>
        <v>1.0050035739814154</v>
      </c>
      <c r="AI26" s="199">
        <f t="shared" si="23"/>
        <v>1</v>
      </c>
      <c r="AJ26" s="199">
        <f t="shared" si="23"/>
        <v>1</v>
      </c>
      <c r="AK26" s="199">
        <f t="shared" si="23"/>
        <v>1</v>
      </c>
      <c r="AL26" s="200">
        <f t="shared" si="23"/>
        <v>1.003706771761595</v>
      </c>
      <c r="AM26" s="172"/>
      <c r="AN26" s="198">
        <f t="shared" si="24"/>
        <v>1.0050831266487297</v>
      </c>
      <c r="AO26" s="199">
        <f t="shared" si="24"/>
        <v>1</v>
      </c>
      <c r="AP26" s="199">
        <f t="shared" si="24"/>
        <v>1.0048057119318963</v>
      </c>
      <c r="AQ26" s="199">
        <f t="shared" si="24"/>
        <v>1.0085592011412268</v>
      </c>
      <c r="AR26" s="199">
        <f t="shared" si="24"/>
        <v>1</v>
      </c>
      <c r="AS26" s="199">
        <f t="shared" si="24"/>
        <v>1</v>
      </c>
      <c r="AT26" s="199">
        <f t="shared" si="24"/>
        <v>1</v>
      </c>
      <c r="AU26" s="200">
        <f t="shared" si="24"/>
        <v>1.005049854222709</v>
      </c>
      <c r="AV26" s="172"/>
      <c r="AW26" s="198">
        <f t="shared" si="25"/>
        <v>1.0013078251538372</v>
      </c>
      <c r="AX26" s="199">
        <f t="shared" si="25"/>
        <v>1</v>
      </c>
      <c r="AY26" s="199">
        <f t="shared" si="25"/>
        <v>1.0008093889113718</v>
      </c>
      <c r="AZ26" s="199">
        <f t="shared" si="25"/>
        <v>1.004040404040404</v>
      </c>
      <c r="BA26" s="199">
        <f t="shared" si="25"/>
        <v>1</v>
      </c>
      <c r="BB26" s="199">
        <f t="shared" si="25"/>
        <v>1</v>
      </c>
      <c r="BC26" s="199">
        <f t="shared" si="25"/>
        <v>1</v>
      </c>
      <c r="BD26" s="200">
        <f t="shared" si="25"/>
        <v>1.0012965764208317</v>
      </c>
      <c r="BE26" s="172"/>
      <c r="BF26" s="198">
        <f t="shared" si="26"/>
        <v>1.001082018666887</v>
      </c>
      <c r="BG26" s="199">
        <f t="shared" si="26"/>
        <v>1</v>
      </c>
      <c r="BH26" s="199">
        <f t="shared" si="26"/>
        <v>1.0022666666666666</v>
      </c>
      <c r="BI26" s="199">
        <f t="shared" si="26"/>
        <v>1.0025396825396826</v>
      </c>
      <c r="BJ26" s="199">
        <f t="shared" si="26"/>
        <v>1</v>
      </c>
      <c r="BK26" s="199">
        <f t="shared" si="26"/>
        <v>1</v>
      </c>
      <c r="BL26" s="199">
        <f t="shared" si="26"/>
        <v>1</v>
      </c>
      <c r="BM26" s="200">
        <f t="shared" si="26"/>
        <v>1.0011554805506777</v>
      </c>
      <c r="BN26" s="173"/>
    </row>
    <row r="27" spans="1:66" s="119" customFormat="1" ht="12.75">
      <c r="A27" s="745"/>
      <c r="B27" s="201" t="s">
        <v>17</v>
      </c>
      <c r="C27" s="46"/>
      <c r="D27" s="202">
        <f t="shared" si="27"/>
        <v>1.0103112903750446</v>
      </c>
      <c r="E27" s="203">
        <f t="shared" si="27"/>
        <v>1</v>
      </c>
      <c r="F27" s="203">
        <f t="shared" si="27"/>
        <v>0.9983136593591906</v>
      </c>
      <c r="G27" s="203">
        <f t="shared" si="27"/>
        <v>1.0326167531504817</v>
      </c>
      <c r="H27" s="203">
        <f t="shared" si="27"/>
        <v>1.0241935483870968</v>
      </c>
      <c r="I27" s="203">
        <f t="shared" si="27"/>
        <v>1</v>
      </c>
      <c r="J27" s="203">
        <f t="shared" si="27"/>
        <v>1</v>
      </c>
      <c r="K27" s="204">
        <f t="shared" si="28"/>
        <v>1.0097398752664404</v>
      </c>
      <c r="L27" s="46"/>
      <c r="M27" s="202">
        <f t="shared" si="21"/>
        <v>1.009350607385566</v>
      </c>
      <c r="N27" s="203">
        <f t="shared" si="21"/>
        <v>1</v>
      </c>
      <c r="O27" s="203">
        <f t="shared" si="21"/>
        <v>1.0060141332130508</v>
      </c>
      <c r="P27" s="203">
        <f t="shared" si="21"/>
        <v>0.9774647887323944</v>
      </c>
      <c r="Q27" s="203">
        <f t="shared" si="21"/>
        <v>0.9915966386554622</v>
      </c>
      <c r="R27" s="203">
        <f t="shared" si="21"/>
        <v>1</v>
      </c>
      <c r="S27" s="203">
        <f t="shared" si="21"/>
        <v>1</v>
      </c>
      <c r="T27" s="204">
        <f t="shared" si="21"/>
        <v>1.008610506109491</v>
      </c>
      <c r="U27" s="46"/>
      <c r="V27" s="202">
        <f t="shared" si="22"/>
        <v>1.0068359189563831</v>
      </c>
      <c r="W27" s="203">
        <f t="shared" si="22"/>
        <v>1</v>
      </c>
      <c r="X27" s="203">
        <f t="shared" si="22"/>
        <v>1.005221174764322</v>
      </c>
      <c r="Y27" s="203">
        <f t="shared" si="22"/>
        <v>1.0051508462104488</v>
      </c>
      <c r="Z27" s="203">
        <f t="shared" si="22"/>
        <v>1</v>
      </c>
      <c r="AA27" s="203">
        <f t="shared" si="22"/>
        <v>1</v>
      </c>
      <c r="AB27" s="203">
        <f t="shared" si="22"/>
        <v>1</v>
      </c>
      <c r="AC27" s="204">
        <f t="shared" si="22"/>
        <v>1.0066426382504527</v>
      </c>
      <c r="AD27" s="46"/>
      <c r="AE27" s="202">
        <f t="shared" si="23"/>
        <v>1.003676770978021</v>
      </c>
      <c r="AF27" s="203">
        <f t="shared" si="23"/>
        <v>1</v>
      </c>
      <c r="AG27" s="203">
        <f t="shared" si="23"/>
        <v>1.0012738853503185</v>
      </c>
      <c r="AH27" s="203">
        <f t="shared" si="23"/>
        <v>1.0028449502133712</v>
      </c>
      <c r="AI27" s="203">
        <f t="shared" si="23"/>
        <v>1.0084033613445378</v>
      </c>
      <c r="AJ27" s="203">
        <f t="shared" si="23"/>
        <v>1</v>
      </c>
      <c r="AK27" s="203">
        <f t="shared" si="23"/>
        <v>1</v>
      </c>
      <c r="AL27" s="204">
        <f t="shared" si="23"/>
        <v>1.0034930056521667</v>
      </c>
      <c r="AM27" s="46"/>
      <c r="AN27" s="202">
        <f t="shared" si="24"/>
        <v>1.003357079950821</v>
      </c>
      <c r="AO27" s="203">
        <f t="shared" si="24"/>
        <v>1</v>
      </c>
      <c r="AP27" s="203">
        <f t="shared" si="24"/>
        <v>1.0005465974309922</v>
      </c>
      <c r="AQ27" s="203">
        <f t="shared" si="24"/>
        <v>1.0042432814710043</v>
      </c>
      <c r="AR27" s="203">
        <f t="shared" si="24"/>
        <v>0.9829059829059829</v>
      </c>
      <c r="AS27" s="203">
        <f t="shared" si="24"/>
        <v>1</v>
      </c>
      <c r="AT27" s="203">
        <f t="shared" si="24"/>
        <v>1</v>
      </c>
      <c r="AU27" s="204">
        <f t="shared" si="24"/>
        <v>1.0031493160454847</v>
      </c>
      <c r="AV27" s="46"/>
      <c r="AW27" s="202">
        <f t="shared" si="25"/>
        <v>1.0012475091679365</v>
      </c>
      <c r="AX27" s="203">
        <f t="shared" si="25"/>
        <v>1</v>
      </c>
      <c r="AY27" s="203">
        <f t="shared" si="25"/>
        <v>1.0029653592128318</v>
      </c>
      <c r="AZ27" s="203">
        <f t="shared" si="25"/>
        <v>1.0033534540576794</v>
      </c>
      <c r="BA27" s="203">
        <f t="shared" si="25"/>
        <v>1</v>
      </c>
      <c r="BB27" s="203">
        <f t="shared" si="25"/>
        <v>1</v>
      </c>
      <c r="BC27" s="203">
        <f t="shared" si="25"/>
        <v>1</v>
      </c>
      <c r="BD27" s="204">
        <f t="shared" si="25"/>
        <v>1.001356559272391</v>
      </c>
      <c r="BE27" s="46"/>
      <c r="BF27" s="198">
        <f t="shared" si="26"/>
        <v>1.000544549962459</v>
      </c>
      <c r="BG27" s="199">
        <f t="shared" si="26"/>
        <v>1</v>
      </c>
      <c r="BH27" s="199">
        <f t="shared" si="26"/>
        <v>1.0007981907675934</v>
      </c>
      <c r="BI27" s="199">
        <f t="shared" si="26"/>
        <v>1.0025332488917036</v>
      </c>
      <c r="BJ27" s="199">
        <f t="shared" si="26"/>
        <v>0.9912280701754386</v>
      </c>
      <c r="BK27" s="199">
        <f t="shared" si="26"/>
        <v>1</v>
      </c>
      <c r="BL27" s="199">
        <f t="shared" si="26"/>
        <v>1</v>
      </c>
      <c r="BM27" s="200">
        <f t="shared" si="26"/>
        <v>1.0005694804060774</v>
      </c>
      <c r="BN27" s="205"/>
    </row>
    <row r="28" spans="1:66" ht="12.75">
      <c r="A28" s="745"/>
      <c r="B28" s="9" t="s">
        <v>51</v>
      </c>
      <c r="C28" s="172"/>
      <c r="D28" s="198">
        <f t="shared" si="27"/>
        <v>1.009701652715175</v>
      </c>
      <c r="E28" s="199">
        <f t="shared" si="27"/>
        <v>1</v>
      </c>
      <c r="F28" s="199">
        <f t="shared" si="27"/>
        <v>1.002610565110565</v>
      </c>
      <c r="G28" s="199">
        <f t="shared" si="27"/>
        <v>0.9992821249102656</v>
      </c>
      <c r="H28" s="199">
        <f t="shared" si="27"/>
        <v>1.031496062992126</v>
      </c>
      <c r="I28" s="199">
        <f t="shared" si="27"/>
        <v>1</v>
      </c>
      <c r="J28" s="199">
        <f t="shared" si="27"/>
        <v>1</v>
      </c>
      <c r="K28" s="200">
        <f t="shared" si="28"/>
        <v>1.0090302278080197</v>
      </c>
      <c r="L28" s="172"/>
      <c r="M28" s="198">
        <f t="shared" si="21"/>
        <v>1.0061726542413238</v>
      </c>
      <c r="N28" s="199">
        <f t="shared" si="21"/>
        <v>1</v>
      </c>
      <c r="O28" s="199">
        <f t="shared" si="21"/>
        <v>1.0017934538932896</v>
      </c>
      <c r="P28" s="199">
        <f t="shared" si="21"/>
        <v>0.9913544668587896</v>
      </c>
      <c r="Q28" s="199">
        <f t="shared" si="21"/>
        <v>1.0338983050847457</v>
      </c>
      <c r="R28" s="199">
        <f t="shared" si="21"/>
        <v>1</v>
      </c>
      <c r="S28" s="199">
        <f t="shared" si="21"/>
        <v>1</v>
      </c>
      <c r="T28" s="200">
        <f t="shared" si="21"/>
        <v>1.005682182104329</v>
      </c>
      <c r="U28" s="172"/>
      <c r="V28" s="198">
        <f t="shared" si="22"/>
        <v>1.0048092337287593</v>
      </c>
      <c r="W28" s="199">
        <f t="shared" si="22"/>
        <v>1</v>
      </c>
      <c r="X28" s="199">
        <f t="shared" si="22"/>
        <v>1.0012985139229549</v>
      </c>
      <c r="Y28" s="199">
        <f t="shared" si="22"/>
        <v>0.9985358711566618</v>
      </c>
      <c r="Z28" s="199">
        <f t="shared" si="22"/>
        <v>1</v>
      </c>
      <c r="AA28" s="199">
        <f t="shared" si="22"/>
        <v>1</v>
      </c>
      <c r="AB28" s="199">
        <f t="shared" si="22"/>
        <v>1</v>
      </c>
      <c r="AC28" s="200">
        <f t="shared" si="22"/>
        <v>1.0044712740103956</v>
      </c>
      <c r="AD28" s="172"/>
      <c r="AE28" s="198">
        <f t="shared" si="23"/>
        <v>1.00622309056044</v>
      </c>
      <c r="AF28" s="199">
        <f t="shared" si="23"/>
        <v>1</v>
      </c>
      <c r="AG28" s="199">
        <f t="shared" si="23"/>
        <v>1.0094713033644331</v>
      </c>
      <c r="AH28" s="199">
        <f t="shared" si="23"/>
        <v>0.9950354609929078</v>
      </c>
      <c r="AI28" s="199">
        <f t="shared" si="23"/>
        <v>0.9916666666666667</v>
      </c>
      <c r="AJ28" s="199">
        <f t="shared" si="23"/>
        <v>1</v>
      </c>
      <c r="AK28" s="199">
        <f t="shared" si="23"/>
        <v>1</v>
      </c>
      <c r="AL28" s="200">
        <f t="shared" si="23"/>
        <v>1.006205710582938</v>
      </c>
      <c r="AM28" s="172"/>
      <c r="AN28" s="198">
        <f t="shared" si="24"/>
        <v>1.0061355024854868</v>
      </c>
      <c r="AO28" s="199">
        <f t="shared" si="24"/>
        <v>1</v>
      </c>
      <c r="AP28" s="199">
        <f t="shared" si="24"/>
        <v>1.0049166894291177</v>
      </c>
      <c r="AQ28" s="199">
        <f t="shared" si="24"/>
        <v>0.9992957746478873</v>
      </c>
      <c r="AR28" s="199">
        <f t="shared" si="24"/>
        <v>1</v>
      </c>
      <c r="AS28" s="199">
        <f t="shared" si="24"/>
        <v>1</v>
      </c>
      <c r="AT28" s="199">
        <f t="shared" si="24"/>
        <v>1</v>
      </c>
      <c r="AU28" s="200">
        <f t="shared" si="24"/>
        <v>1.0059193813807097</v>
      </c>
      <c r="AV28" s="172"/>
      <c r="AW28" s="198">
        <f t="shared" si="25"/>
        <v>1.0030438091096858</v>
      </c>
      <c r="AX28" s="199">
        <f t="shared" si="25"/>
        <v>1</v>
      </c>
      <c r="AY28" s="199">
        <f t="shared" si="25"/>
        <v>1.0005375621556243</v>
      </c>
      <c r="AZ28" s="199">
        <f t="shared" si="25"/>
        <v>1.01403743315508</v>
      </c>
      <c r="BA28" s="199">
        <f t="shared" si="25"/>
        <v>1</v>
      </c>
      <c r="BB28" s="199">
        <f t="shared" si="25"/>
        <v>1</v>
      </c>
      <c r="BC28" s="199">
        <f t="shared" si="25"/>
        <v>1</v>
      </c>
      <c r="BD28" s="200">
        <f t="shared" si="25"/>
        <v>1.0029942424335725</v>
      </c>
      <c r="BE28" s="172"/>
      <c r="BF28" s="198">
        <f t="shared" si="26"/>
        <v>1.001137984777392</v>
      </c>
      <c r="BG28" s="199">
        <f t="shared" si="26"/>
        <v>1</v>
      </c>
      <c r="BH28" s="199">
        <f t="shared" si="26"/>
        <v>1.010766981257477</v>
      </c>
      <c r="BI28" s="199">
        <f t="shared" si="26"/>
        <v>0.9677826910928616</v>
      </c>
      <c r="BJ28" s="199">
        <f t="shared" si="26"/>
        <v>1</v>
      </c>
      <c r="BK28" s="199">
        <f t="shared" si="26"/>
        <v>1</v>
      </c>
      <c r="BL28" s="199">
        <f t="shared" si="26"/>
        <v>1</v>
      </c>
      <c r="BM28" s="200">
        <f t="shared" si="26"/>
        <v>1.0012749100733074</v>
      </c>
      <c r="BN28" s="173"/>
    </row>
    <row r="29" spans="1:66" ht="12.75">
      <c r="A29" s="745"/>
      <c r="B29" s="9" t="s">
        <v>19</v>
      </c>
      <c r="C29" s="172"/>
      <c r="D29" s="198">
        <f t="shared" si="27"/>
        <v>1.0066323710726586</v>
      </c>
      <c r="E29" s="199">
        <f t="shared" si="27"/>
        <v>1</v>
      </c>
      <c r="F29" s="199">
        <f t="shared" si="27"/>
        <v>1.004594884362077</v>
      </c>
      <c r="G29" s="199">
        <f t="shared" si="27"/>
        <v>0.9992816091954023</v>
      </c>
      <c r="H29" s="199">
        <f t="shared" si="27"/>
        <v>1.0076335877862594</v>
      </c>
      <c r="I29" s="199">
        <f t="shared" si="27"/>
        <v>1</v>
      </c>
      <c r="J29" s="199">
        <f t="shared" si="27"/>
        <v>1</v>
      </c>
      <c r="K29" s="200">
        <f t="shared" si="28"/>
        <v>1.0063343244840044</v>
      </c>
      <c r="L29" s="172"/>
      <c r="M29" s="198">
        <f t="shared" si="21"/>
        <v>1.0087696621393203</v>
      </c>
      <c r="N29" s="199">
        <f t="shared" si="21"/>
        <v>1</v>
      </c>
      <c r="O29" s="199">
        <f t="shared" si="21"/>
        <v>1.0099955243920633</v>
      </c>
      <c r="P29" s="199">
        <f t="shared" si="21"/>
        <v>1.001453488372093</v>
      </c>
      <c r="Q29" s="199">
        <f t="shared" si="21"/>
        <v>0.9918032786885246</v>
      </c>
      <c r="R29" s="199">
        <f t="shared" si="21"/>
        <v>1</v>
      </c>
      <c r="S29" s="199">
        <f t="shared" si="21"/>
        <v>1</v>
      </c>
      <c r="T29" s="200">
        <f t="shared" si="21"/>
        <v>1.0086434355381675</v>
      </c>
      <c r="U29" s="172"/>
      <c r="V29" s="198">
        <f t="shared" si="22"/>
        <v>1.0067945493449453</v>
      </c>
      <c r="W29" s="199">
        <f t="shared" si="22"/>
        <v>1</v>
      </c>
      <c r="X29" s="199">
        <f t="shared" si="22"/>
        <v>1.0036023054755043</v>
      </c>
      <c r="Y29" s="199">
        <f t="shared" si="22"/>
        <v>0.9970674486803519</v>
      </c>
      <c r="Z29" s="199">
        <f t="shared" si="22"/>
        <v>0.975</v>
      </c>
      <c r="AA29" s="199">
        <f t="shared" si="22"/>
        <v>1</v>
      </c>
      <c r="AB29" s="199">
        <f t="shared" si="22"/>
        <v>1</v>
      </c>
      <c r="AC29" s="200">
        <f t="shared" si="22"/>
        <v>1.0063886210221793</v>
      </c>
      <c r="AD29" s="172"/>
      <c r="AE29" s="198">
        <f t="shared" si="23"/>
        <v>1.0015101938082054</v>
      </c>
      <c r="AF29" s="199">
        <f t="shared" si="23"/>
        <v>1</v>
      </c>
      <c r="AG29" s="199">
        <f t="shared" si="23"/>
        <v>1.0009802548662652</v>
      </c>
      <c r="AH29" s="199">
        <f t="shared" si="23"/>
        <v>1.0057020669992873</v>
      </c>
      <c r="AI29" s="199">
        <f t="shared" si="23"/>
        <v>1</v>
      </c>
      <c r="AJ29" s="199">
        <f t="shared" si="23"/>
        <v>1</v>
      </c>
      <c r="AK29" s="199">
        <f t="shared" si="23"/>
        <v>1</v>
      </c>
      <c r="AL29" s="200">
        <f t="shared" si="23"/>
        <v>1.0015108982826948</v>
      </c>
      <c r="AM29" s="172"/>
      <c r="AN29" s="198">
        <f t="shared" si="24"/>
        <v>1.0059339748129978</v>
      </c>
      <c r="AO29" s="199">
        <f t="shared" si="24"/>
        <v>1</v>
      </c>
      <c r="AP29" s="199">
        <f t="shared" si="24"/>
        <v>1.0051644468605598</v>
      </c>
      <c r="AQ29" s="199">
        <f t="shared" si="24"/>
        <v>1.0126849894291754</v>
      </c>
      <c r="AR29" s="199">
        <f t="shared" si="24"/>
        <v>1</v>
      </c>
      <c r="AS29" s="199">
        <f t="shared" si="24"/>
        <v>1</v>
      </c>
      <c r="AT29" s="199">
        <f t="shared" si="24"/>
        <v>1</v>
      </c>
      <c r="AU29" s="200">
        <f t="shared" si="24"/>
        <v>1.005900431215902</v>
      </c>
      <c r="AV29" s="172"/>
      <c r="AW29" s="198">
        <f t="shared" si="25"/>
        <v>1.0023342865003209</v>
      </c>
      <c r="AX29" s="199">
        <f t="shared" si="25"/>
        <v>1</v>
      </c>
      <c r="AY29" s="199">
        <f t="shared" si="25"/>
        <v>1.0041638683680323</v>
      </c>
      <c r="AZ29" s="199">
        <f t="shared" si="25"/>
        <v>1.000659195781147</v>
      </c>
      <c r="BA29" s="199">
        <f t="shared" si="25"/>
        <v>1</v>
      </c>
      <c r="BB29" s="199">
        <f t="shared" si="25"/>
        <v>1</v>
      </c>
      <c r="BC29" s="199">
        <f t="shared" si="25"/>
        <v>1</v>
      </c>
      <c r="BD29" s="200">
        <f t="shared" si="25"/>
        <v>1.0023943824104984</v>
      </c>
      <c r="BE29" s="172"/>
      <c r="BF29" s="198">
        <f t="shared" si="26"/>
        <v>1.0009390058070096</v>
      </c>
      <c r="BG29" s="199">
        <f t="shared" si="26"/>
        <v>1</v>
      </c>
      <c r="BH29" s="199">
        <f t="shared" si="26"/>
        <v>1.0015781167806417</v>
      </c>
      <c r="BI29" s="199">
        <f t="shared" si="26"/>
        <v>1.0026109660574412</v>
      </c>
      <c r="BJ29" s="199">
        <f t="shared" si="26"/>
        <v>0.9734513274336283</v>
      </c>
      <c r="BK29" s="199">
        <f t="shared" si="26"/>
        <v>1</v>
      </c>
      <c r="BL29" s="199">
        <f t="shared" si="26"/>
        <v>1</v>
      </c>
      <c r="BM29" s="200">
        <f t="shared" si="26"/>
        <v>1.0009625441481864</v>
      </c>
      <c r="BN29" s="173"/>
    </row>
    <row r="30" spans="1:66" ht="13.5" thickBot="1">
      <c r="A30" s="746"/>
      <c r="B30" s="178" t="s">
        <v>20</v>
      </c>
      <c r="C30" s="179"/>
      <c r="D30" s="206">
        <f t="shared" si="27"/>
        <v>1</v>
      </c>
      <c r="E30" s="207">
        <f t="shared" si="27"/>
        <v>1</v>
      </c>
      <c r="F30" s="207">
        <f t="shared" si="27"/>
        <v>1</v>
      </c>
      <c r="G30" s="207">
        <f t="shared" si="27"/>
        <v>1</v>
      </c>
      <c r="H30" s="207">
        <f t="shared" si="27"/>
        <v>1</v>
      </c>
      <c r="I30" s="207">
        <f t="shared" si="27"/>
        <v>1</v>
      </c>
      <c r="J30" s="207">
        <f t="shared" si="27"/>
        <v>1</v>
      </c>
      <c r="K30" s="208">
        <f t="shared" si="28"/>
        <v>1</v>
      </c>
      <c r="L30" s="179"/>
      <c r="M30" s="206">
        <f t="shared" si="21"/>
        <v>1.0060518845607949</v>
      </c>
      <c r="N30" s="207">
        <f t="shared" si="21"/>
        <v>1</v>
      </c>
      <c r="O30" s="207">
        <f t="shared" si="21"/>
        <v>1.0039881831610045</v>
      </c>
      <c r="P30" s="207">
        <f t="shared" si="21"/>
        <v>0.9985486211901307</v>
      </c>
      <c r="Q30" s="207">
        <f t="shared" si="21"/>
        <v>1</v>
      </c>
      <c r="R30" s="207">
        <f t="shared" si="21"/>
        <v>1</v>
      </c>
      <c r="S30" s="207">
        <f t="shared" si="21"/>
        <v>1</v>
      </c>
      <c r="T30" s="208">
        <f t="shared" si="21"/>
        <v>1.0057640267003427</v>
      </c>
      <c r="U30" s="179"/>
      <c r="V30" s="206">
        <f t="shared" si="22"/>
        <v>1.0030667412378822</v>
      </c>
      <c r="W30" s="207">
        <f t="shared" si="22"/>
        <v>1</v>
      </c>
      <c r="X30" s="207">
        <f t="shared" si="22"/>
        <v>1.0037329504666188</v>
      </c>
      <c r="Y30" s="207">
        <f t="shared" si="22"/>
        <v>1.0066176470588235</v>
      </c>
      <c r="Z30" s="207">
        <f t="shared" si="22"/>
        <v>1.0085470085470085</v>
      </c>
      <c r="AA30" s="207">
        <f t="shared" si="22"/>
        <v>1</v>
      </c>
      <c r="AB30" s="207">
        <f t="shared" si="22"/>
        <v>1</v>
      </c>
      <c r="AC30" s="208">
        <f t="shared" si="22"/>
        <v>1.0031227007511592</v>
      </c>
      <c r="AD30" s="179"/>
      <c r="AE30" s="206">
        <f t="shared" si="23"/>
        <v>1.0016694790507306</v>
      </c>
      <c r="AF30" s="207">
        <f t="shared" si="23"/>
        <v>1</v>
      </c>
      <c r="AG30" s="207">
        <f t="shared" si="23"/>
        <v>1.0018186905428093</v>
      </c>
      <c r="AH30" s="207">
        <f t="shared" si="23"/>
        <v>1</v>
      </c>
      <c r="AI30" s="207">
        <f t="shared" si="23"/>
        <v>1</v>
      </c>
      <c r="AJ30" s="207">
        <f t="shared" si="23"/>
        <v>1</v>
      </c>
      <c r="AK30" s="207">
        <f t="shared" si="23"/>
        <v>1</v>
      </c>
      <c r="AL30" s="208">
        <f t="shared" si="23"/>
        <v>1.0016405200201148</v>
      </c>
      <c r="AM30" s="179"/>
      <c r="AN30" s="206">
        <f t="shared" si="24"/>
        <v>1.0048342363538008</v>
      </c>
      <c r="AO30" s="207">
        <f t="shared" si="24"/>
        <v>1</v>
      </c>
      <c r="AP30" s="207">
        <f t="shared" si="24"/>
        <v>1.005949161709032</v>
      </c>
      <c r="AQ30" s="207">
        <f t="shared" si="24"/>
        <v>1.0041753653444676</v>
      </c>
      <c r="AR30" s="207">
        <f t="shared" si="24"/>
        <v>0.9826086956521739</v>
      </c>
      <c r="AS30" s="207">
        <f t="shared" si="24"/>
        <v>1.2</v>
      </c>
      <c r="AT30" s="207">
        <f t="shared" si="24"/>
        <v>1</v>
      </c>
      <c r="AU30" s="208">
        <f t="shared" si="24"/>
        <v>1.0048316043768653</v>
      </c>
      <c r="AV30" s="179"/>
      <c r="AW30" s="206">
        <f t="shared" si="25"/>
        <v>1.0013640408879574</v>
      </c>
      <c r="AX30" s="207">
        <f t="shared" si="25"/>
        <v>1</v>
      </c>
      <c r="AY30" s="207">
        <f t="shared" si="25"/>
        <v>1.0012038523274478</v>
      </c>
      <c r="AZ30" s="207">
        <f t="shared" si="25"/>
        <v>1.0006587615283267</v>
      </c>
      <c r="BA30" s="207">
        <f t="shared" si="25"/>
        <v>1</v>
      </c>
      <c r="BB30" s="207">
        <f t="shared" si="25"/>
        <v>1</v>
      </c>
      <c r="BC30" s="207">
        <f t="shared" si="25"/>
        <v>1</v>
      </c>
      <c r="BD30" s="208">
        <f t="shared" si="25"/>
        <v>1.0013321390018144</v>
      </c>
      <c r="BE30" s="179"/>
      <c r="BF30" s="206">
        <f t="shared" si="26"/>
        <v>1.001423645685037</v>
      </c>
      <c r="BG30" s="207">
        <f t="shared" si="26"/>
        <v>1</v>
      </c>
      <c r="BH30" s="207">
        <f t="shared" si="26"/>
        <v>1.0005252100840336</v>
      </c>
      <c r="BI30" s="207">
        <f t="shared" si="26"/>
        <v>0.9986979166666666</v>
      </c>
      <c r="BJ30" s="207">
        <f t="shared" si="26"/>
        <v>1.009090909090909</v>
      </c>
      <c r="BK30" s="207">
        <f t="shared" si="26"/>
        <v>1</v>
      </c>
      <c r="BL30" s="207">
        <f t="shared" si="26"/>
        <v>1</v>
      </c>
      <c r="BM30" s="208">
        <f t="shared" si="26"/>
        <v>1.001332636727771</v>
      </c>
      <c r="BN30" s="173"/>
    </row>
    <row r="31" spans="2:65" ht="13.5" thickBot="1">
      <c r="B31" s="5"/>
      <c r="D31" s="209"/>
      <c r="E31" s="209"/>
      <c r="F31" s="209"/>
      <c r="G31" s="209"/>
      <c r="H31" s="209"/>
      <c r="I31" s="209"/>
      <c r="J31" s="209"/>
      <c r="K31" s="209"/>
      <c r="M31" s="209"/>
      <c r="N31" s="209"/>
      <c r="O31" s="209"/>
      <c r="P31" s="209"/>
      <c r="Q31" s="209"/>
      <c r="R31" s="209"/>
      <c r="S31" s="209"/>
      <c r="T31" s="209"/>
      <c r="V31" s="209"/>
      <c r="W31" s="209"/>
      <c r="X31" s="209"/>
      <c r="Y31" s="209"/>
      <c r="Z31" s="209"/>
      <c r="AA31" s="209"/>
      <c r="AB31" s="209"/>
      <c r="AC31" s="209"/>
      <c r="AE31" s="209"/>
      <c r="AF31" s="209"/>
      <c r="AG31" s="209"/>
      <c r="AH31" s="209"/>
      <c r="AI31" s="209"/>
      <c r="AJ31" s="209"/>
      <c r="AK31" s="209"/>
      <c r="AL31" s="209"/>
      <c r="AN31" s="209"/>
      <c r="AO31" s="209"/>
      <c r="AP31" s="209"/>
      <c r="AQ31" s="209"/>
      <c r="AR31" s="209"/>
      <c r="AS31" s="209"/>
      <c r="AT31" s="209"/>
      <c r="AU31" s="209"/>
      <c r="AW31" s="209"/>
      <c r="AX31" s="209"/>
      <c r="AY31" s="209"/>
      <c r="AZ31" s="209"/>
      <c r="BA31" s="209"/>
      <c r="BB31" s="209"/>
      <c r="BC31" s="209"/>
      <c r="BD31" s="209"/>
      <c r="BF31" s="209"/>
      <c r="BG31" s="209"/>
      <c r="BH31" s="209"/>
      <c r="BI31" s="209"/>
      <c r="BJ31" s="209"/>
      <c r="BK31" s="209"/>
      <c r="BL31" s="209"/>
      <c r="BM31" s="209"/>
    </row>
    <row r="32" spans="4:65" ht="12.75">
      <c r="D32" s="720">
        <v>2010</v>
      </c>
      <c r="E32" s="721"/>
      <c r="F32" s="721"/>
      <c r="G32" s="721"/>
      <c r="H32" s="721"/>
      <c r="I32" s="721"/>
      <c r="J32" s="721"/>
      <c r="K32" s="158"/>
      <c r="L32" s="210">
        <v>2010</v>
      </c>
      <c r="M32" s="720">
        <v>2011</v>
      </c>
      <c r="N32" s="721"/>
      <c r="O32" s="721"/>
      <c r="P32" s="721"/>
      <c r="Q32" s="721"/>
      <c r="R32" s="721"/>
      <c r="S32" s="721"/>
      <c r="T32" s="159"/>
      <c r="U32" s="210">
        <v>2011</v>
      </c>
      <c r="V32" s="209"/>
      <c r="W32" s="209"/>
      <c r="X32" s="209"/>
      <c r="Y32" s="209"/>
      <c r="Z32" s="209"/>
      <c r="AA32" s="209"/>
      <c r="AB32" s="209"/>
      <c r="AC32" s="209"/>
      <c r="AE32" s="209"/>
      <c r="AF32" s="209"/>
      <c r="AG32" s="209"/>
      <c r="AH32" s="209"/>
      <c r="AI32" s="209"/>
      <c r="AJ32" s="209"/>
      <c r="AK32" s="209"/>
      <c r="AL32" s="209"/>
      <c r="AN32" s="209"/>
      <c r="AO32" s="209"/>
      <c r="AP32" s="209"/>
      <c r="AQ32" s="209"/>
      <c r="AR32" s="209"/>
      <c r="AS32" s="209"/>
      <c r="AT32" s="209"/>
      <c r="AU32" s="209"/>
      <c r="AW32" s="209"/>
      <c r="AX32" s="209"/>
      <c r="AY32" s="209"/>
      <c r="AZ32" s="209"/>
      <c r="BA32" s="209"/>
      <c r="BB32" s="209"/>
      <c r="BC32" s="209"/>
      <c r="BD32" s="209"/>
      <c r="BF32" s="209"/>
      <c r="BG32" s="209"/>
      <c r="BH32" s="209"/>
      <c r="BI32" s="209"/>
      <c r="BJ32" s="209"/>
      <c r="BK32" s="209"/>
      <c r="BL32" s="209"/>
      <c r="BM32" s="209"/>
    </row>
    <row r="33" spans="1:65" ht="13.5" thickBot="1">
      <c r="A33" s="5"/>
      <c r="B33" s="5"/>
      <c r="C33" s="5"/>
      <c r="D33" s="161" t="s">
        <v>75</v>
      </c>
      <c r="E33" s="162" t="s">
        <v>76</v>
      </c>
      <c r="F33" s="162" t="s">
        <v>77</v>
      </c>
      <c r="G33" s="162" t="s">
        <v>78</v>
      </c>
      <c r="H33" s="162" t="s">
        <v>79</v>
      </c>
      <c r="I33" s="162" t="s">
        <v>80</v>
      </c>
      <c r="J33" s="162" t="s">
        <v>81</v>
      </c>
      <c r="K33" s="163" t="s">
        <v>82</v>
      </c>
      <c r="L33" s="48"/>
      <c r="M33" s="161" t="s">
        <v>75</v>
      </c>
      <c r="N33" s="162" t="s">
        <v>76</v>
      </c>
      <c r="O33" s="162" t="s">
        <v>77</v>
      </c>
      <c r="P33" s="162" t="s">
        <v>78</v>
      </c>
      <c r="Q33" s="162" t="s">
        <v>79</v>
      </c>
      <c r="R33" s="162" t="s">
        <v>80</v>
      </c>
      <c r="S33" s="162" t="s">
        <v>81</v>
      </c>
      <c r="T33" s="163" t="s">
        <v>82</v>
      </c>
      <c r="U33" s="48"/>
      <c r="V33" s="209"/>
      <c r="W33" s="209"/>
      <c r="X33" s="209"/>
      <c r="Y33" s="209"/>
      <c r="Z33" s="209"/>
      <c r="AA33" s="209"/>
      <c r="AB33" s="209"/>
      <c r="AC33" s="209"/>
      <c r="AE33" s="209"/>
      <c r="AF33" s="209"/>
      <c r="AG33" s="209"/>
      <c r="AH33" s="209"/>
      <c r="AI33" s="209"/>
      <c r="AJ33" s="209"/>
      <c r="AK33" s="209"/>
      <c r="AL33" s="209"/>
      <c r="AN33" s="209"/>
      <c r="AO33" s="209"/>
      <c r="AP33" s="209"/>
      <c r="AQ33" s="209"/>
      <c r="AR33" s="209"/>
      <c r="AS33" s="209"/>
      <c r="AT33" s="209"/>
      <c r="AU33" s="209"/>
      <c r="AW33" s="209"/>
      <c r="AX33" s="209"/>
      <c r="AY33" s="209"/>
      <c r="AZ33" s="209"/>
      <c r="BA33" s="209"/>
      <c r="BB33" s="209"/>
      <c r="BC33" s="209"/>
      <c r="BD33" s="209"/>
      <c r="BF33" s="209"/>
      <c r="BG33" s="209"/>
      <c r="BH33" s="209"/>
      <c r="BI33" s="209"/>
      <c r="BJ33" s="209"/>
      <c r="BK33" s="209"/>
      <c r="BL33" s="209"/>
      <c r="BM33" s="209"/>
    </row>
    <row r="34" spans="1:65" ht="12.75">
      <c r="A34" s="744" t="s">
        <v>85</v>
      </c>
      <c r="B34" s="34" t="s">
        <v>9</v>
      </c>
      <c r="C34" s="169"/>
      <c r="D34" s="211">
        <v>121786</v>
      </c>
      <c r="E34" s="529">
        <f>BG14*(1+$S$154)</f>
        <v>1281.0944494518199</v>
      </c>
      <c r="F34" s="212">
        <v>7668</v>
      </c>
      <c r="G34" s="212">
        <v>1536</v>
      </c>
      <c r="H34" s="212">
        <v>112</v>
      </c>
      <c r="I34" s="212">
        <v>6</v>
      </c>
      <c r="J34" s="212">
        <v>2</v>
      </c>
      <c r="K34" s="224">
        <f>SUM(D34:J34)</f>
        <v>132391.09444945183</v>
      </c>
      <c r="L34" s="530"/>
      <c r="M34" s="531">
        <f>D45*(1+$G$154)</f>
        <v>123069.80434740764</v>
      </c>
      <c r="N34" s="529">
        <f>E45*(1+$S$154)</f>
        <v>1294.3010643362882</v>
      </c>
      <c r="O34" s="529">
        <f>F45*(1+$K$154)</f>
        <v>7816.127759947154</v>
      </c>
      <c r="P34" s="529">
        <f>G45*(1+$O$154)</f>
        <v>1548.4651606836653</v>
      </c>
      <c r="Q34" s="529">
        <f>H45*(1+$W$154)</f>
        <v>107.92682307799708</v>
      </c>
      <c r="R34" s="212">
        <v>6</v>
      </c>
      <c r="S34" s="212">
        <v>2</v>
      </c>
      <c r="T34" s="224">
        <f>SUM(M34:S34)</f>
        <v>133844.62515545276</v>
      </c>
      <c r="U34" s="213"/>
      <c r="V34" s="209"/>
      <c r="W34" s="209"/>
      <c r="X34" s="209"/>
      <c r="Y34" s="209"/>
      <c r="Z34" s="209"/>
      <c r="AA34" s="209"/>
      <c r="AB34" s="209"/>
      <c r="AC34" s="209"/>
      <c r="AE34" s="209"/>
      <c r="AF34" s="209"/>
      <c r="AG34" s="209"/>
      <c r="AH34" s="209"/>
      <c r="AI34" s="209"/>
      <c r="AJ34" s="209"/>
      <c r="AK34" s="209"/>
      <c r="AL34" s="209"/>
      <c r="AN34" s="209"/>
      <c r="AO34" s="209"/>
      <c r="AP34" s="209"/>
      <c r="AQ34" s="209"/>
      <c r="AR34" s="209"/>
      <c r="AS34" s="209"/>
      <c r="AT34" s="209"/>
      <c r="AU34" s="209"/>
      <c r="AW34" s="209"/>
      <c r="AX34" s="209"/>
      <c r="AY34" s="209"/>
      <c r="AZ34" s="209"/>
      <c r="BA34" s="209"/>
      <c r="BB34" s="209"/>
      <c r="BC34" s="209"/>
      <c r="BD34" s="209"/>
      <c r="BF34" s="209"/>
      <c r="BG34" s="209"/>
      <c r="BH34" s="209"/>
      <c r="BI34" s="209"/>
      <c r="BJ34" s="209"/>
      <c r="BK34" s="209"/>
      <c r="BL34" s="209"/>
      <c r="BM34" s="209"/>
    </row>
    <row r="35" spans="1:65" ht="12.75">
      <c r="A35" s="745"/>
      <c r="B35" s="9" t="s">
        <v>10</v>
      </c>
      <c r="C35" s="172"/>
      <c r="D35" s="175">
        <v>121899</v>
      </c>
      <c r="E35" s="100">
        <f>E34*(1+$S$154)</f>
        <v>1282.1898347002043</v>
      </c>
      <c r="F35" s="176">
        <v>7665</v>
      </c>
      <c r="G35" s="176">
        <v>1541</v>
      </c>
      <c r="H35" s="176">
        <v>112</v>
      </c>
      <c r="I35" s="176">
        <v>6</v>
      </c>
      <c r="J35" s="176">
        <v>2</v>
      </c>
      <c r="K35" s="177">
        <f aca="true" t="shared" si="29" ref="K35:K45">SUM(D35:J35)</f>
        <v>132507.1898347002</v>
      </c>
      <c r="L35" s="217"/>
      <c r="M35" s="491">
        <f>M34*(1+$G$154)</f>
        <v>123176.79710563875</v>
      </c>
      <c r="N35" s="100">
        <f>N34*(1+$S$154)</f>
        <v>1295.4077417506262</v>
      </c>
      <c r="O35" s="100">
        <f>O34*(1+$K$154)</f>
        <v>7830.013527640772</v>
      </c>
      <c r="P35" s="100">
        <f>P34*(1+$O$154)</f>
        <v>1549.1456022814843</v>
      </c>
      <c r="Q35" s="100">
        <f>Q34*(1+$W$154)</f>
        <v>107.56396203455317</v>
      </c>
      <c r="R35" s="176">
        <v>6</v>
      </c>
      <c r="S35" s="176">
        <v>2</v>
      </c>
      <c r="T35" s="177">
        <f aca="true" t="shared" si="30" ref="T35:T45">SUM(M35:S35)</f>
        <v>133966.9279393462</v>
      </c>
      <c r="U35" s="215"/>
      <c r="V35" s="209"/>
      <c r="W35" s="209"/>
      <c r="X35" s="209"/>
      <c r="Y35" s="209"/>
      <c r="Z35" s="209"/>
      <c r="AA35" s="209"/>
      <c r="AB35" s="209"/>
      <c r="AC35" s="209"/>
      <c r="AE35" s="209"/>
      <c r="AF35" s="209"/>
      <c r="AG35" s="209"/>
      <c r="AH35" s="209"/>
      <c r="AI35" s="209"/>
      <c r="AJ35" s="209"/>
      <c r="AK35" s="209"/>
      <c r="AL35" s="209"/>
      <c r="AN35" s="209"/>
      <c r="AO35" s="209"/>
      <c r="AP35" s="209"/>
      <c r="AQ35" s="209"/>
      <c r="AR35" s="209"/>
      <c r="AS35" s="209"/>
      <c r="AT35" s="209"/>
      <c r="AU35" s="209"/>
      <c r="AW35" s="209"/>
      <c r="AX35" s="209"/>
      <c r="AY35" s="209"/>
      <c r="AZ35" s="209"/>
      <c r="BA35" s="209"/>
      <c r="BB35" s="209"/>
      <c r="BC35" s="209"/>
      <c r="BD35" s="209"/>
      <c r="BF35" s="209"/>
      <c r="BG35" s="209"/>
      <c r="BH35" s="209"/>
      <c r="BI35" s="209"/>
      <c r="BJ35" s="209"/>
      <c r="BK35" s="209"/>
      <c r="BL35" s="209"/>
      <c r="BM35" s="209"/>
    </row>
    <row r="36" spans="1:65" ht="12.75">
      <c r="A36" s="745"/>
      <c r="B36" s="9" t="s">
        <v>11</v>
      </c>
      <c r="C36" s="172"/>
      <c r="D36" s="491">
        <f aca="true" t="shared" si="31" ref="D36:D45">D35*(1+$G$154)</f>
        <v>122004.97490021838</v>
      </c>
      <c r="E36" s="100">
        <f aca="true" t="shared" si="32" ref="E36:E45">E35*(1+$S$154)</f>
        <v>1283.2861565452954</v>
      </c>
      <c r="F36" s="100">
        <f aca="true" t="shared" si="33" ref="F36:F45">F35*(1+$K$154)</f>
        <v>7678.617281170478</v>
      </c>
      <c r="G36" s="100">
        <f aca="true" t="shared" si="34" ref="G36:G45">G35*(1+$O$154)</f>
        <v>1541.6771611844183</v>
      </c>
      <c r="H36" s="100">
        <f aca="true" t="shared" si="35" ref="H36:H45">H35*(1+$W$154)</f>
        <v>111.6234445181774</v>
      </c>
      <c r="I36" s="176">
        <v>6</v>
      </c>
      <c r="J36" s="176">
        <v>2</v>
      </c>
      <c r="K36" s="177">
        <f t="shared" si="29"/>
        <v>132628.17894363677</v>
      </c>
      <c r="L36" s="217"/>
      <c r="M36" s="491">
        <f aca="true" t="shared" si="36" ref="M36:M45">M35*(1+$G$154)</f>
        <v>123283.88287978366</v>
      </c>
      <c r="N36" s="100">
        <f aca="true" t="shared" si="37" ref="N36:N45">N35*(1+$S$154)</f>
        <v>1296.5153654169092</v>
      </c>
      <c r="O36" s="100">
        <f aca="true" t="shared" si="38" ref="O36:O45">O35*(1+$K$154)</f>
        <v>7843.923964141038</v>
      </c>
      <c r="P36" s="100">
        <f aca="true" t="shared" si="39" ref="P36:P45">P35*(1+$O$154)</f>
        <v>1549.8263428855578</v>
      </c>
      <c r="Q36" s="100">
        <f aca="true" t="shared" si="40" ref="Q36:Q45">Q35*(1+$W$154)</f>
        <v>107.20232096713649</v>
      </c>
      <c r="R36" s="176">
        <v>6</v>
      </c>
      <c r="S36" s="176">
        <v>2</v>
      </c>
      <c r="T36" s="177">
        <f t="shared" si="30"/>
        <v>134089.3508731943</v>
      </c>
      <c r="U36" s="215"/>
      <c r="V36" s="209"/>
      <c r="W36" s="209"/>
      <c r="X36" s="209"/>
      <c r="Y36" s="209"/>
      <c r="Z36" s="209"/>
      <c r="AA36" s="209"/>
      <c r="AB36" s="209"/>
      <c r="AC36" s="209"/>
      <c r="AE36" s="209"/>
      <c r="AF36" s="209"/>
      <c r="AG36" s="209"/>
      <c r="AH36" s="209"/>
      <c r="AI36" s="209"/>
      <c r="AJ36" s="209"/>
      <c r="AK36" s="209"/>
      <c r="AL36" s="209"/>
      <c r="AN36" s="209"/>
      <c r="AO36" s="209"/>
      <c r="AP36" s="209"/>
      <c r="AQ36" s="209"/>
      <c r="AR36" s="209"/>
      <c r="AS36" s="209"/>
      <c r="AT36" s="209"/>
      <c r="AU36" s="209"/>
      <c r="AW36" s="209"/>
      <c r="AX36" s="209"/>
      <c r="AY36" s="209"/>
      <c r="AZ36" s="209"/>
      <c r="BA36" s="209"/>
      <c r="BB36" s="209"/>
      <c r="BC36" s="209"/>
      <c r="BD36" s="209"/>
      <c r="BF36" s="209"/>
      <c r="BG36" s="209"/>
      <c r="BH36" s="209"/>
      <c r="BI36" s="209"/>
      <c r="BJ36" s="209"/>
      <c r="BK36" s="209"/>
      <c r="BL36" s="209"/>
      <c r="BM36" s="209"/>
    </row>
    <row r="37" spans="1:65" ht="12.75">
      <c r="A37" s="745"/>
      <c r="B37" s="9" t="s">
        <v>12</v>
      </c>
      <c r="C37" s="172"/>
      <c r="D37" s="491">
        <f t="shared" si="31"/>
        <v>122111.04193145898</v>
      </c>
      <c r="E37" s="100">
        <f t="shared" si="32"/>
        <v>1284.3834157879196</v>
      </c>
      <c r="F37" s="100">
        <f t="shared" si="33"/>
        <v>7692.258754166981</v>
      </c>
      <c r="G37" s="100">
        <f t="shared" si="34"/>
        <v>1542.3546199335801</v>
      </c>
      <c r="H37" s="100">
        <f t="shared" si="35"/>
        <v>111.24815505448774</v>
      </c>
      <c r="I37" s="176">
        <v>6</v>
      </c>
      <c r="J37" s="176">
        <v>2</v>
      </c>
      <c r="K37" s="177">
        <f t="shared" si="29"/>
        <v>132749.28687640195</v>
      </c>
      <c r="L37" s="217"/>
      <c r="M37" s="491">
        <f t="shared" si="36"/>
        <v>123391.0617507073</v>
      </c>
      <c r="N37" s="100">
        <f t="shared" si="37"/>
        <v>1297.623936144219</v>
      </c>
      <c r="O37" s="100">
        <f t="shared" si="38"/>
        <v>7857.859113273401</v>
      </c>
      <c r="P37" s="100">
        <f t="shared" si="39"/>
        <v>1550.507382627278</v>
      </c>
      <c r="Q37" s="100">
        <f t="shared" si="40"/>
        <v>106.84189577406255</v>
      </c>
      <c r="R37" s="176">
        <v>6</v>
      </c>
      <c r="S37" s="176">
        <v>2</v>
      </c>
      <c r="T37" s="177">
        <f t="shared" si="30"/>
        <v>134211.89407852627</v>
      </c>
      <c r="U37" s="215"/>
      <c r="V37" s="209"/>
      <c r="W37" s="209"/>
      <c r="X37" s="209"/>
      <c r="Y37" s="209"/>
      <c r="Z37" s="209"/>
      <c r="AA37" s="209"/>
      <c r="AB37" s="209"/>
      <c r="AC37" s="209"/>
      <c r="AE37" s="209"/>
      <c r="AF37" s="209"/>
      <c r="AG37" s="209"/>
      <c r="AH37" s="209"/>
      <c r="AI37" s="209"/>
      <c r="AJ37" s="209"/>
      <c r="AK37" s="209"/>
      <c r="AL37" s="209"/>
      <c r="AN37" s="209"/>
      <c r="AO37" s="209"/>
      <c r="AP37" s="209"/>
      <c r="AQ37" s="209"/>
      <c r="AR37" s="209"/>
      <c r="AS37" s="209"/>
      <c r="AT37" s="209"/>
      <c r="AU37" s="209"/>
      <c r="AW37" s="209"/>
      <c r="AX37" s="209"/>
      <c r="AY37" s="209"/>
      <c r="AZ37" s="209"/>
      <c r="BA37" s="209"/>
      <c r="BB37" s="209"/>
      <c r="BC37" s="209"/>
      <c r="BD37" s="209"/>
      <c r="BF37" s="209"/>
      <c r="BG37" s="209"/>
      <c r="BH37" s="209"/>
      <c r="BI37" s="209"/>
      <c r="BJ37" s="209"/>
      <c r="BK37" s="209"/>
      <c r="BL37" s="209"/>
      <c r="BM37" s="209"/>
    </row>
    <row r="38" spans="1:65" ht="12.75">
      <c r="A38" s="745"/>
      <c r="B38" s="9" t="s">
        <v>13</v>
      </c>
      <c r="C38" s="172"/>
      <c r="D38" s="491">
        <f t="shared" si="31"/>
        <v>122217.2011738174</v>
      </c>
      <c r="E38" s="100">
        <f t="shared" si="32"/>
        <v>1285.481613229588</v>
      </c>
      <c r="F38" s="100">
        <f t="shared" si="33"/>
        <v>7705.9244619675765</v>
      </c>
      <c r="G38" s="100">
        <f t="shared" si="34"/>
        <v>1543.0323763782442</v>
      </c>
      <c r="H38" s="100">
        <f t="shared" si="35"/>
        <v>110.8741273524483</v>
      </c>
      <c r="I38" s="176">
        <v>6</v>
      </c>
      <c r="J38" s="176">
        <v>2</v>
      </c>
      <c r="K38" s="177">
        <f t="shared" si="29"/>
        <v>132870.51375274526</v>
      </c>
      <c r="L38" s="217"/>
      <c r="M38" s="491">
        <f t="shared" si="36"/>
        <v>123498.33379934488</v>
      </c>
      <c r="N38" s="100">
        <f t="shared" si="37"/>
        <v>1298.7334547423295</v>
      </c>
      <c r="O38" s="100">
        <f t="shared" si="38"/>
        <v>7871.81901894117</v>
      </c>
      <c r="P38" s="100">
        <f t="shared" si="39"/>
        <v>1551.188721638095</v>
      </c>
      <c r="Q38" s="100">
        <f t="shared" si="40"/>
        <v>106.48268236743718</v>
      </c>
      <c r="R38" s="176">
        <v>6</v>
      </c>
      <c r="S38" s="176">
        <v>2</v>
      </c>
      <c r="T38" s="177">
        <f t="shared" si="30"/>
        <v>134334.5576770339</v>
      </c>
      <c r="U38" s="215"/>
      <c r="V38" s="209"/>
      <c r="W38" s="209"/>
      <c r="X38" s="209"/>
      <c r="Y38" s="209"/>
      <c r="Z38" s="209"/>
      <c r="AA38" s="209"/>
      <c r="AB38" s="209"/>
      <c r="AC38" s="209"/>
      <c r="AE38" s="209"/>
      <c r="AF38" s="209"/>
      <c r="AG38" s="209"/>
      <c r="AH38" s="209"/>
      <c r="AI38" s="209"/>
      <c r="AJ38" s="209"/>
      <c r="AK38" s="209"/>
      <c r="AL38" s="209"/>
      <c r="AN38" s="209"/>
      <c r="AO38" s="209"/>
      <c r="AP38" s="209"/>
      <c r="AQ38" s="209"/>
      <c r="AR38" s="209"/>
      <c r="AS38" s="209"/>
      <c r="AT38" s="209"/>
      <c r="AU38" s="209"/>
      <c r="AW38" s="209"/>
      <c r="AX38" s="209"/>
      <c r="AY38" s="209"/>
      <c r="AZ38" s="209"/>
      <c r="BA38" s="209"/>
      <c r="BB38" s="209"/>
      <c r="BC38" s="209"/>
      <c r="BD38" s="209"/>
      <c r="BF38" s="209"/>
      <c r="BG38" s="209"/>
      <c r="BH38" s="209"/>
      <c r="BI38" s="209"/>
      <c r="BJ38" s="209"/>
      <c r="BK38" s="209"/>
      <c r="BL38" s="209"/>
      <c r="BM38" s="209"/>
    </row>
    <row r="39" spans="1:65" ht="12.75">
      <c r="A39" s="745"/>
      <c r="B39" s="9" t="s">
        <v>14</v>
      </c>
      <c r="C39" s="172"/>
      <c r="D39" s="491">
        <f t="shared" si="31"/>
        <v>122323.45270745891</v>
      </c>
      <c r="E39" s="100">
        <f t="shared" si="32"/>
        <v>1286.5807496724972</v>
      </c>
      <c r="F39" s="100">
        <f t="shared" si="33"/>
        <v>7719.614447626687</v>
      </c>
      <c r="G39" s="100">
        <f t="shared" si="34"/>
        <v>1543.7104306492267</v>
      </c>
      <c r="H39" s="100">
        <f t="shared" si="35"/>
        <v>110.50135716988703</v>
      </c>
      <c r="I39" s="176">
        <v>6</v>
      </c>
      <c r="J39" s="176">
        <v>2</v>
      </c>
      <c r="K39" s="177">
        <f t="shared" si="29"/>
        <v>132991.8596925772</v>
      </c>
      <c r="L39" s="217"/>
      <c r="M39" s="491">
        <f t="shared" si="36"/>
        <v>123605.69910670197</v>
      </c>
      <c r="N39" s="100">
        <f t="shared" si="37"/>
        <v>1299.8439220217067</v>
      </c>
      <c r="O39" s="100">
        <f t="shared" si="38"/>
        <v>7885.80372512565</v>
      </c>
      <c r="P39" s="100">
        <f t="shared" si="39"/>
        <v>1551.8703600495166</v>
      </c>
      <c r="Q39" s="100">
        <f t="shared" si="40"/>
        <v>106.1246766731101</v>
      </c>
      <c r="R39" s="176">
        <v>6</v>
      </c>
      <c r="S39" s="176">
        <v>2</v>
      </c>
      <c r="T39" s="177">
        <f t="shared" si="30"/>
        <v>134457.34179057195</v>
      </c>
      <c r="U39" s="215"/>
      <c r="V39" s="209"/>
      <c r="W39" s="209"/>
      <c r="X39" s="209"/>
      <c r="Y39" s="209"/>
      <c r="Z39" s="209"/>
      <c r="AA39" s="209"/>
      <c r="AB39" s="209"/>
      <c r="AC39" s="209"/>
      <c r="AE39" s="209"/>
      <c r="AF39" s="209"/>
      <c r="AG39" s="209"/>
      <c r="AH39" s="209"/>
      <c r="AI39" s="209"/>
      <c r="AJ39" s="209"/>
      <c r="AK39" s="209"/>
      <c r="AL39" s="209"/>
      <c r="AN39" s="209"/>
      <c r="AO39" s="209"/>
      <c r="AP39" s="209"/>
      <c r="AQ39" s="209"/>
      <c r="AR39" s="209"/>
      <c r="AS39" s="209"/>
      <c r="AT39" s="209"/>
      <c r="AU39" s="209"/>
      <c r="AW39" s="209"/>
      <c r="AX39" s="209"/>
      <c r="AY39" s="209"/>
      <c r="AZ39" s="209"/>
      <c r="BA39" s="209"/>
      <c r="BB39" s="209"/>
      <c r="BC39" s="209"/>
      <c r="BD39" s="209"/>
      <c r="BF39" s="209"/>
      <c r="BG39" s="209"/>
      <c r="BH39" s="209"/>
      <c r="BI39" s="209"/>
      <c r="BJ39" s="209"/>
      <c r="BK39" s="209"/>
      <c r="BL39" s="209"/>
      <c r="BM39" s="209"/>
    </row>
    <row r="40" spans="1:65" ht="12.75">
      <c r="A40" s="745"/>
      <c r="B40" s="9" t="s">
        <v>15</v>
      </c>
      <c r="C40" s="172"/>
      <c r="D40" s="491">
        <f t="shared" si="31"/>
        <v>122429.79661261845</v>
      </c>
      <c r="E40" s="100">
        <f t="shared" si="32"/>
        <v>1287.6808259195293</v>
      </c>
      <c r="F40" s="100">
        <f t="shared" si="33"/>
        <v>7733.328754275222</v>
      </c>
      <c r="G40" s="100">
        <f t="shared" si="34"/>
        <v>1544.3887828774016</v>
      </c>
      <c r="H40" s="100">
        <f t="shared" si="35"/>
        <v>110.12984027889455</v>
      </c>
      <c r="I40" s="176">
        <v>6</v>
      </c>
      <c r="J40" s="176">
        <v>2</v>
      </c>
      <c r="K40" s="177">
        <f t="shared" si="29"/>
        <v>133113.32481596948</v>
      </c>
      <c r="L40" s="217"/>
      <c r="M40" s="491">
        <f t="shared" si="36"/>
        <v>123713.15775385458</v>
      </c>
      <c r="N40" s="100">
        <f t="shared" si="37"/>
        <v>1300.95533879351</v>
      </c>
      <c r="O40" s="100">
        <f t="shared" si="38"/>
        <v>7899.813275886282</v>
      </c>
      <c r="P40" s="100">
        <f t="shared" si="39"/>
        <v>1552.5522979931084</v>
      </c>
      <c r="Q40" s="100">
        <f t="shared" si="40"/>
        <v>105.76787463062875</v>
      </c>
      <c r="R40" s="176">
        <v>6</v>
      </c>
      <c r="S40" s="176">
        <v>2</v>
      </c>
      <c r="T40" s="177">
        <f t="shared" si="30"/>
        <v>134580.24654115812</v>
      </c>
      <c r="U40" s="215"/>
      <c r="V40" s="209"/>
      <c r="W40" s="209"/>
      <c r="X40" s="209"/>
      <c r="Y40" s="209"/>
      <c r="Z40" s="209"/>
      <c r="AA40" s="209"/>
      <c r="AB40" s="209"/>
      <c r="AC40" s="209"/>
      <c r="AE40" s="209"/>
      <c r="AF40" s="209"/>
      <c r="AG40" s="209"/>
      <c r="AH40" s="209"/>
      <c r="AI40" s="209"/>
      <c r="AJ40" s="209"/>
      <c r="AK40" s="209"/>
      <c r="AL40" s="209"/>
      <c r="AN40" s="209"/>
      <c r="AO40" s="209"/>
      <c r="AP40" s="209"/>
      <c r="AQ40" s="209"/>
      <c r="AR40" s="209"/>
      <c r="AS40" s="209"/>
      <c r="AT40" s="209"/>
      <c r="AU40" s="209"/>
      <c r="AW40" s="209"/>
      <c r="AX40" s="209"/>
      <c r="AY40" s="209"/>
      <c r="AZ40" s="209"/>
      <c r="BA40" s="209"/>
      <c r="BB40" s="209"/>
      <c r="BC40" s="209"/>
      <c r="BD40" s="209"/>
      <c r="BF40" s="209"/>
      <c r="BG40" s="209"/>
      <c r="BH40" s="209"/>
      <c r="BI40" s="209"/>
      <c r="BJ40" s="209"/>
      <c r="BK40" s="209"/>
      <c r="BL40" s="209"/>
      <c r="BM40" s="209"/>
    </row>
    <row r="41" spans="1:65" ht="12.75">
      <c r="A41" s="745"/>
      <c r="B41" s="9" t="s">
        <v>16</v>
      </c>
      <c r="C41" s="172"/>
      <c r="D41" s="491">
        <f t="shared" si="31"/>
        <v>122536.2329696007</v>
      </c>
      <c r="E41" s="100">
        <f t="shared" si="32"/>
        <v>1288.7818427742532</v>
      </c>
      <c r="F41" s="100">
        <f t="shared" si="33"/>
        <v>7747.0674251207165</v>
      </c>
      <c r="G41" s="100">
        <f t="shared" si="34"/>
        <v>1545.0674331936998</v>
      </c>
      <c r="H41" s="100">
        <f t="shared" si="35"/>
        <v>109.7595724657761</v>
      </c>
      <c r="I41" s="176">
        <v>6</v>
      </c>
      <c r="J41" s="176">
        <v>2</v>
      </c>
      <c r="K41" s="177">
        <f t="shared" si="29"/>
        <v>133234.90924315515</v>
      </c>
      <c r="L41" s="217"/>
      <c r="M41" s="491">
        <f t="shared" si="36"/>
        <v>123820.7098219492</v>
      </c>
      <c r="N41" s="100">
        <f t="shared" si="37"/>
        <v>1302.067705869592</v>
      </c>
      <c r="O41" s="100">
        <f t="shared" si="38"/>
        <v>7913.847715360779</v>
      </c>
      <c r="P41" s="100">
        <f t="shared" si="39"/>
        <v>1553.2345356004935</v>
      </c>
      <c r="Q41" s="100">
        <f t="shared" si="40"/>
        <v>105.41227219319225</v>
      </c>
      <c r="R41" s="176">
        <v>6</v>
      </c>
      <c r="S41" s="176">
        <v>2</v>
      </c>
      <c r="T41" s="177">
        <f t="shared" si="30"/>
        <v>134703.27205097323</v>
      </c>
      <c r="U41" s="215"/>
      <c r="V41" s="209"/>
      <c r="W41" s="209"/>
      <c r="X41" s="209"/>
      <c r="Y41" s="209"/>
      <c r="Z41" s="209"/>
      <c r="AA41" s="209"/>
      <c r="AB41" s="209"/>
      <c r="AC41" s="209"/>
      <c r="AE41" s="209"/>
      <c r="AF41" s="209"/>
      <c r="AG41" s="209"/>
      <c r="AH41" s="209"/>
      <c r="AI41" s="209"/>
      <c r="AJ41" s="209"/>
      <c r="AK41" s="209"/>
      <c r="AL41" s="209"/>
      <c r="AN41" s="209"/>
      <c r="AO41" s="209"/>
      <c r="AP41" s="209"/>
      <c r="AQ41" s="209"/>
      <c r="AR41" s="209"/>
      <c r="AS41" s="209"/>
      <c r="AT41" s="209"/>
      <c r="AU41" s="209"/>
      <c r="AW41" s="209"/>
      <c r="AX41" s="209"/>
      <c r="AY41" s="209"/>
      <c r="AZ41" s="209"/>
      <c r="BA41" s="209"/>
      <c r="BB41" s="209"/>
      <c r="BC41" s="209"/>
      <c r="BD41" s="209"/>
      <c r="BF41" s="209"/>
      <c r="BG41" s="209"/>
      <c r="BH41" s="209"/>
      <c r="BI41" s="209"/>
      <c r="BJ41" s="209"/>
      <c r="BK41" s="209"/>
      <c r="BL41" s="209"/>
      <c r="BM41" s="209"/>
    </row>
    <row r="42" spans="1:65" ht="12.75">
      <c r="A42" s="745"/>
      <c r="B42" s="201" t="s">
        <v>17</v>
      </c>
      <c r="C42" s="46"/>
      <c r="D42" s="491">
        <f t="shared" si="31"/>
        <v>122642.76185878018</v>
      </c>
      <c r="E42" s="100">
        <f t="shared" si="32"/>
        <v>1289.883801040925</v>
      </c>
      <c r="F42" s="100">
        <f t="shared" si="33"/>
        <v>7760.830503447464</v>
      </c>
      <c r="G42" s="100">
        <f t="shared" si="34"/>
        <v>1545.7463817291102</v>
      </c>
      <c r="H42" s="100">
        <f t="shared" si="35"/>
        <v>109.39054953100384</v>
      </c>
      <c r="I42" s="176">
        <v>6</v>
      </c>
      <c r="J42" s="176">
        <v>2</v>
      </c>
      <c r="K42" s="177">
        <f t="shared" si="29"/>
        <v>133356.6130945287</v>
      </c>
      <c r="L42" s="217"/>
      <c r="M42" s="491">
        <f t="shared" si="36"/>
        <v>123928.35539220287</v>
      </c>
      <c r="N42" s="100">
        <f t="shared" si="37"/>
        <v>1303.1810240624993</v>
      </c>
      <c r="O42" s="100">
        <f t="shared" si="38"/>
        <v>7927.907087765269</v>
      </c>
      <c r="P42" s="100">
        <f t="shared" si="39"/>
        <v>1553.9170730033532</v>
      </c>
      <c r="Q42" s="100">
        <f t="shared" si="40"/>
        <v>105.05786532760544</v>
      </c>
      <c r="R42" s="176">
        <v>6</v>
      </c>
      <c r="S42" s="176">
        <v>2</v>
      </c>
      <c r="T42" s="177">
        <f t="shared" si="30"/>
        <v>134826.4184423616</v>
      </c>
      <c r="U42" s="217"/>
      <c r="V42" s="209"/>
      <c r="W42" s="209"/>
      <c r="X42" s="209"/>
      <c r="Y42" s="209"/>
      <c r="Z42" s="209"/>
      <c r="AA42" s="209"/>
      <c r="AB42" s="209"/>
      <c r="AC42" s="209"/>
      <c r="AE42" s="209"/>
      <c r="AF42" s="209"/>
      <c r="AG42" s="209"/>
      <c r="AH42" s="209"/>
      <c r="AI42" s="209"/>
      <c r="AJ42" s="209"/>
      <c r="AK42" s="209"/>
      <c r="AL42" s="209"/>
      <c r="AN42" s="209"/>
      <c r="AO42" s="209"/>
      <c r="AP42" s="209"/>
      <c r="AQ42" s="209"/>
      <c r="AR42" s="209"/>
      <c r="AS42" s="209"/>
      <c r="AT42" s="209"/>
      <c r="AU42" s="209"/>
      <c r="AW42" s="209"/>
      <c r="AX42" s="209"/>
      <c r="AY42" s="209"/>
      <c r="AZ42" s="209"/>
      <c r="BA42" s="209"/>
      <c r="BB42" s="209"/>
      <c r="BC42" s="209"/>
      <c r="BD42" s="209"/>
      <c r="BF42" s="209"/>
      <c r="BG42" s="209"/>
      <c r="BH42" s="209"/>
      <c r="BI42" s="209"/>
      <c r="BJ42" s="209"/>
      <c r="BK42" s="209"/>
      <c r="BL42" s="209"/>
      <c r="BM42" s="209"/>
    </row>
    <row r="43" spans="1:65" ht="12.75">
      <c r="A43" s="745"/>
      <c r="B43" s="9" t="s">
        <v>51</v>
      </c>
      <c r="C43" s="172"/>
      <c r="D43" s="491">
        <f t="shared" si="31"/>
        <v>122749.38336060129</v>
      </c>
      <c r="E43" s="100">
        <f t="shared" si="32"/>
        <v>1290.986701524488</v>
      </c>
      <c r="F43" s="100">
        <f t="shared" si="33"/>
        <v>7774.618032616658</v>
      </c>
      <c r="G43" s="100">
        <f t="shared" si="34"/>
        <v>1546.4256286146792</v>
      </c>
      <c r="H43" s="100">
        <f t="shared" si="35"/>
        <v>109.02276728916914</v>
      </c>
      <c r="I43" s="176">
        <v>6</v>
      </c>
      <c r="J43" s="176">
        <v>2</v>
      </c>
      <c r="K43" s="177">
        <f t="shared" si="29"/>
        <v>133478.43649064627</v>
      </c>
      <c r="L43" s="217"/>
      <c r="M43" s="491">
        <f t="shared" si="36"/>
        <v>124036.09454590321</v>
      </c>
      <c r="N43" s="100">
        <f t="shared" si="37"/>
        <v>1304.2952941854737</v>
      </c>
      <c r="O43" s="100">
        <f t="shared" si="38"/>
        <v>7941.991437394432</v>
      </c>
      <c r="P43" s="100">
        <f t="shared" si="39"/>
        <v>1554.5999103334264</v>
      </c>
      <c r="Q43" s="100">
        <f t="shared" si="40"/>
        <v>104.70465001423321</v>
      </c>
      <c r="R43" s="176">
        <v>6</v>
      </c>
      <c r="S43" s="176">
        <v>2</v>
      </c>
      <c r="T43" s="177">
        <f t="shared" si="30"/>
        <v>134949.68583783077</v>
      </c>
      <c r="U43" s="215"/>
      <c r="V43" s="209"/>
      <c r="W43" s="209"/>
      <c r="X43" s="209"/>
      <c r="Y43" s="209"/>
      <c r="Z43" s="209"/>
      <c r="AA43" s="209"/>
      <c r="AB43" s="209"/>
      <c r="AC43" s="209"/>
      <c r="AE43" s="209"/>
      <c r="AF43" s="209"/>
      <c r="AG43" s="209"/>
      <c r="AH43" s="209"/>
      <c r="AI43" s="209"/>
      <c r="AJ43" s="209"/>
      <c r="AK43" s="209"/>
      <c r="AL43" s="209"/>
      <c r="AN43" s="209"/>
      <c r="AO43" s="209"/>
      <c r="AP43" s="209"/>
      <c r="AQ43" s="209"/>
      <c r="AR43" s="209"/>
      <c r="AS43" s="209"/>
      <c r="AT43" s="209"/>
      <c r="AU43" s="209"/>
      <c r="AW43" s="209"/>
      <c r="AX43" s="209"/>
      <c r="AY43" s="209"/>
      <c r="AZ43" s="209"/>
      <c r="BA43" s="209"/>
      <c r="BB43" s="209"/>
      <c r="BC43" s="209"/>
      <c r="BD43" s="209"/>
      <c r="BF43" s="209"/>
      <c r="BG43" s="209"/>
      <c r="BH43" s="209"/>
      <c r="BI43" s="209"/>
      <c r="BJ43" s="209"/>
      <c r="BK43" s="209"/>
      <c r="BL43" s="209"/>
      <c r="BM43" s="209"/>
    </row>
    <row r="44" spans="1:65" ht="12.75">
      <c r="A44" s="745"/>
      <c r="B44" s="9" t="s">
        <v>19</v>
      </c>
      <c r="C44" s="172"/>
      <c r="D44" s="491">
        <f t="shared" si="31"/>
        <v>122856.09755557835</v>
      </c>
      <c r="E44" s="100">
        <f t="shared" si="32"/>
        <v>1292.090545030574</v>
      </c>
      <c r="F44" s="100">
        <f t="shared" si="33"/>
        <v>7788.430056066522</v>
      </c>
      <c r="G44" s="100">
        <f t="shared" si="34"/>
        <v>1547.105173981511</v>
      </c>
      <c r="H44" s="100">
        <f t="shared" si="35"/>
        <v>108.65622156893515</v>
      </c>
      <c r="I44" s="176">
        <v>6</v>
      </c>
      <c r="J44" s="176">
        <v>2</v>
      </c>
      <c r="K44" s="177">
        <f t="shared" si="29"/>
        <v>133600.3795522259</v>
      </c>
      <c r="L44" s="217"/>
      <c r="M44" s="491">
        <f t="shared" si="36"/>
        <v>124143.92736440853</v>
      </c>
      <c r="N44" s="100">
        <f t="shared" si="37"/>
        <v>1305.4105170524524</v>
      </c>
      <c r="O44" s="100">
        <f t="shared" si="38"/>
        <v>7956.100808621638</v>
      </c>
      <c r="P44" s="100">
        <f t="shared" si="39"/>
        <v>1555.28304772251</v>
      </c>
      <c r="Q44" s="100">
        <f t="shared" si="40"/>
        <v>104.35262224695485</v>
      </c>
      <c r="R44" s="176">
        <v>6</v>
      </c>
      <c r="S44" s="176">
        <v>2</v>
      </c>
      <c r="T44" s="177">
        <f t="shared" si="30"/>
        <v>135073.0743600521</v>
      </c>
      <c r="U44" s="215"/>
      <c r="V44" s="209"/>
      <c r="W44" s="209"/>
      <c r="X44" s="209"/>
      <c r="Y44" s="209"/>
      <c r="Z44" s="209"/>
      <c r="AA44" s="209"/>
      <c r="AB44" s="209"/>
      <c r="AC44" s="209"/>
      <c r="AE44" s="209"/>
      <c r="AF44" s="209"/>
      <c r="AG44" s="209"/>
      <c r="AH44" s="209"/>
      <c r="AI44" s="209"/>
      <c r="AJ44" s="209"/>
      <c r="AK44" s="209"/>
      <c r="AL44" s="209"/>
      <c r="AN44" s="209"/>
      <c r="AO44" s="209"/>
      <c r="AP44" s="209"/>
      <c r="AQ44" s="209"/>
      <c r="AR44" s="209"/>
      <c r="AS44" s="209"/>
      <c r="AT44" s="209"/>
      <c r="AU44" s="209"/>
      <c r="AW44" s="209"/>
      <c r="AX44" s="209"/>
      <c r="AY44" s="209"/>
      <c r="AZ44" s="209"/>
      <c r="BA44" s="209"/>
      <c r="BB44" s="209"/>
      <c r="BC44" s="209"/>
      <c r="BD44" s="209"/>
      <c r="BF44" s="209"/>
      <c r="BG44" s="209"/>
      <c r="BH44" s="209"/>
      <c r="BI44" s="209"/>
      <c r="BJ44" s="209"/>
      <c r="BK44" s="209"/>
      <c r="BL44" s="209"/>
      <c r="BM44" s="209"/>
    </row>
    <row r="45" spans="1:65" ht="13.5" thickBot="1">
      <c r="A45" s="746"/>
      <c r="B45" s="178" t="s">
        <v>20</v>
      </c>
      <c r="C45" s="179"/>
      <c r="D45" s="532">
        <f t="shared" si="31"/>
        <v>122962.90452429568</v>
      </c>
      <c r="E45" s="533">
        <f t="shared" si="32"/>
        <v>1293.195332365504</v>
      </c>
      <c r="F45" s="533">
        <f t="shared" si="33"/>
        <v>7802.2666173124535</v>
      </c>
      <c r="G45" s="533">
        <f t="shared" si="34"/>
        <v>1547.7850179607665</v>
      </c>
      <c r="H45" s="533">
        <f t="shared" si="35"/>
        <v>108.29090821298949</v>
      </c>
      <c r="I45" s="184">
        <v>6</v>
      </c>
      <c r="J45" s="184">
        <v>2</v>
      </c>
      <c r="K45" s="185">
        <f t="shared" si="29"/>
        <v>133722.44240014738</v>
      </c>
      <c r="L45" s="534"/>
      <c r="M45" s="532">
        <f t="shared" si="36"/>
        <v>124251.85392914788</v>
      </c>
      <c r="N45" s="533">
        <f t="shared" si="37"/>
        <v>1306.526693478068</v>
      </c>
      <c r="O45" s="533">
        <f t="shared" si="38"/>
        <v>7970.23524589909</v>
      </c>
      <c r="P45" s="533">
        <f t="shared" si="39"/>
        <v>1555.966485302459</v>
      </c>
      <c r="Q45" s="533">
        <f t="shared" si="40"/>
        <v>104.00177803311865</v>
      </c>
      <c r="R45" s="184">
        <v>6</v>
      </c>
      <c r="S45" s="184">
        <v>2</v>
      </c>
      <c r="T45" s="185">
        <f t="shared" si="30"/>
        <v>135196.5841318606</v>
      </c>
      <c r="U45" s="218"/>
      <c r="V45" s="209"/>
      <c r="W45" s="209"/>
      <c r="X45" s="209"/>
      <c r="Y45" s="209"/>
      <c r="Z45" s="209"/>
      <c r="AA45" s="209"/>
      <c r="AB45" s="209"/>
      <c r="AC45" s="209"/>
      <c r="AE45" s="209"/>
      <c r="AF45" s="209"/>
      <c r="AG45" s="209"/>
      <c r="AH45" s="209"/>
      <c r="AI45" s="209"/>
      <c r="AJ45" s="209"/>
      <c r="AK45" s="209"/>
      <c r="AL45" s="209"/>
      <c r="AN45" s="209"/>
      <c r="AO45" s="209"/>
      <c r="AP45" s="209"/>
      <c r="AQ45" s="209"/>
      <c r="AR45" s="209"/>
      <c r="AS45" s="209"/>
      <c r="AT45" s="209"/>
      <c r="AU45" s="209"/>
      <c r="AW45" s="209"/>
      <c r="AX45" s="209"/>
      <c r="AY45" s="209"/>
      <c r="AZ45" s="209"/>
      <c r="BA45" s="209"/>
      <c r="BB45" s="209"/>
      <c r="BC45" s="209"/>
      <c r="BD45" s="209"/>
      <c r="BF45" s="209"/>
      <c r="BG45" s="209"/>
      <c r="BH45" s="209"/>
      <c r="BI45" s="209"/>
      <c r="BJ45" s="209"/>
      <c r="BK45" s="209"/>
      <c r="BL45" s="209"/>
      <c r="BM45" s="209"/>
    </row>
    <row r="46" spans="2:65" ht="13.5" thickBot="1">
      <c r="B46" s="187" t="s">
        <v>86</v>
      </c>
      <c r="D46" s="193"/>
      <c r="E46" s="193"/>
      <c r="F46" s="193"/>
      <c r="G46" s="193"/>
      <c r="H46" s="193"/>
      <c r="I46" s="193"/>
      <c r="J46" s="193"/>
      <c r="K46" s="535">
        <f>K45-BM14</f>
        <v>1477.4424001473817</v>
      </c>
      <c r="M46" s="193"/>
      <c r="N46" s="193"/>
      <c r="O46" s="193"/>
      <c r="P46" s="193"/>
      <c r="Q46" s="193"/>
      <c r="R46" s="193"/>
      <c r="S46" s="193"/>
      <c r="T46" s="536">
        <f>T45-K45</f>
        <v>1474.141731713229</v>
      </c>
      <c r="V46" s="209"/>
      <c r="W46" s="209"/>
      <c r="X46" s="209"/>
      <c r="Y46" s="209"/>
      <c r="Z46" s="209"/>
      <c r="AA46" s="209"/>
      <c r="AB46" s="209"/>
      <c r="AC46" s="209"/>
      <c r="AE46" s="209"/>
      <c r="AF46" s="209"/>
      <c r="AG46" s="209"/>
      <c r="AH46" s="209"/>
      <c r="AI46" s="209"/>
      <c r="AJ46" s="209"/>
      <c r="AK46" s="209"/>
      <c r="AL46" s="209"/>
      <c r="AN46" s="209"/>
      <c r="AO46" s="209"/>
      <c r="AP46" s="209"/>
      <c r="AQ46" s="209"/>
      <c r="AR46" s="209"/>
      <c r="AS46" s="209"/>
      <c r="AT46" s="209"/>
      <c r="AU46" s="209"/>
      <c r="AW46" s="209"/>
      <c r="AX46" s="209"/>
      <c r="AY46" s="209"/>
      <c r="AZ46" s="209"/>
      <c r="BA46" s="209"/>
      <c r="BB46" s="209"/>
      <c r="BC46" s="209"/>
      <c r="BD46" s="209"/>
      <c r="BF46" s="209"/>
      <c r="BG46" s="209"/>
      <c r="BH46" s="209"/>
      <c r="BI46" s="209"/>
      <c r="BJ46" s="209"/>
      <c r="BK46" s="209"/>
      <c r="BL46" s="209"/>
      <c r="BM46" s="209"/>
    </row>
    <row r="47" spans="2:65" s="220" customFormat="1" ht="13.5" thickBot="1">
      <c r="B47" s="221" t="s">
        <v>56</v>
      </c>
      <c r="D47" s="188">
        <f>AVERAGE(D34:D45)</f>
        <v>122376.57063286903</v>
      </c>
      <c r="E47" s="189">
        <f aca="true" t="shared" si="41" ref="E47:K47">AVERAGE(E34:E45)</f>
        <v>1287.1362723368832</v>
      </c>
      <c r="F47" s="189">
        <f t="shared" si="41"/>
        <v>7727.996361147564</v>
      </c>
      <c r="G47" s="189">
        <f t="shared" si="41"/>
        <v>1543.6910838752199</v>
      </c>
      <c r="H47" s="189">
        <f t="shared" si="41"/>
        <v>110.29141195348073</v>
      </c>
      <c r="I47" s="189">
        <f t="shared" si="41"/>
        <v>6</v>
      </c>
      <c r="J47" s="189">
        <f t="shared" si="41"/>
        <v>2</v>
      </c>
      <c r="K47" s="190">
        <f t="shared" si="41"/>
        <v>133053.68576218217</v>
      </c>
      <c r="M47" s="188">
        <f>AVERAGE(M34:M45)</f>
        <v>123659.97314975421</v>
      </c>
      <c r="N47" s="189">
        <f aca="true" t="shared" si="42" ref="N47:T47">AVERAGE(N34:N45)</f>
        <v>1300.4051714878062</v>
      </c>
      <c r="O47" s="189">
        <f t="shared" si="42"/>
        <v>7892.95355666639</v>
      </c>
      <c r="P47" s="189">
        <f t="shared" si="42"/>
        <v>1552.2130766767457</v>
      </c>
      <c r="Q47" s="189">
        <f t="shared" si="42"/>
        <v>105.9532852783358</v>
      </c>
      <c r="R47" s="189">
        <f t="shared" si="42"/>
        <v>6</v>
      </c>
      <c r="S47" s="189">
        <f t="shared" si="42"/>
        <v>2</v>
      </c>
      <c r="T47" s="190">
        <f t="shared" si="42"/>
        <v>134519.49823986346</v>
      </c>
      <c r="V47" s="222"/>
      <c r="W47" s="222"/>
      <c r="X47" s="222"/>
      <c r="Y47" s="222"/>
      <c r="Z47" s="222"/>
      <c r="AA47" s="222"/>
      <c r="AB47" s="222"/>
      <c r="AC47" s="222"/>
      <c r="AE47" s="222"/>
      <c r="AF47" s="222"/>
      <c r="AG47" s="222"/>
      <c r="AH47" s="222"/>
      <c r="AI47" s="222"/>
      <c r="AJ47" s="222"/>
      <c r="AK47" s="222"/>
      <c r="AL47" s="222"/>
      <c r="AN47" s="222"/>
      <c r="AO47" s="222"/>
      <c r="AP47" s="222"/>
      <c r="AQ47" s="222"/>
      <c r="AR47" s="222"/>
      <c r="AS47" s="222"/>
      <c r="AT47" s="222"/>
      <c r="AU47" s="222"/>
      <c r="AW47" s="222"/>
      <c r="AX47" s="222"/>
      <c r="AY47" s="222"/>
      <c r="AZ47" s="222"/>
      <c r="BA47" s="222"/>
      <c r="BB47" s="222"/>
      <c r="BC47" s="222"/>
      <c r="BD47" s="222"/>
      <c r="BF47" s="222"/>
      <c r="BG47" s="222"/>
      <c r="BH47" s="222"/>
      <c r="BI47" s="222"/>
      <c r="BJ47" s="222"/>
      <c r="BK47" s="222"/>
      <c r="BL47" s="222"/>
      <c r="BM47" s="222"/>
    </row>
    <row r="48" spans="4:65" s="220" customFormat="1" ht="13.5" thickBot="1">
      <c r="D48" s="223"/>
      <c r="E48" s="223"/>
      <c r="F48" s="223"/>
      <c r="G48" s="223"/>
      <c r="H48" s="223"/>
      <c r="I48" s="223"/>
      <c r="J48" s="223"/>
      <c r="K48" s="223"/>
      <c r="M48" s="223"/>
      <c r="N48" s="223"/>
      <c r="O48" s="223"/>
      <c r="P48" s="223"/>
      <c r="Q48" s="223"/>
      <c r="R48" s="223"/>
      <c r="S48" s="223"/>
      <c r="T48" s="224"/>
      <c r="V48" s="222"/>
      <c r="W48" s="222"/>
      <c r="X48" s="222"/>
      <c r="Y48" s="222"/>
      <c r="Z48" s="222"/>
      <c r="AA48" s="222"/>
      <c r="AB48" s="222"/>
      <c r="AC48" s="222"/>
      <c r="AE48" s="222"/>
      <c r="AF48" s="222"/>
      <c r="AG48" s="222"/>
      <c r="AH48" s="222"/>
      <c r="AI48" s="222"/>
      <c r="AJ48" s="222"/>
      <c r="AK48" s="222"/>
      <c r="AL48" s="222"/>
      <c r="AN48" s="222"/>
      <c r="AO48" s="222"/>
      <c r="AP48" s="222"/>
      <c r="AQ48" s="222"/>
      <c r="AR48" s="222"/>
      <c r="AS48" s="222"/>
      <c r="AT48" s="222"/>
      <c r="AU48" s="222"/>
      <c r="AW48" s="222"/>
      <c r="AX48" s="222"/>
      <c r="AY48" s="222"/>
      <c r="AZ48" s="222"/>
      <c r="BA48" s="222"/>
      <c r="BB48" s="222"/>
      <c r="BC48" s="222"/>
      <c r="BD48" s="222"/>
      <c r="BF48" s="222"/>
      <c r="BG48" s="222"/>
      <c r="BH48" s="222"/>
      <c r="BI48" s="222"/>
      <c r="BJ48" s="222"/>
      <c r="BK48" s="222"/>
      <c r="BL48" s="222"/>
      <c r="BM48" s="222"/>
    </row>
    <row r="49" spans="4:65" ht="12.75">
      <c r="D49" s="720">
        <v>2010</v>
      </c>
      <c r="E49" s="721"/>
      <c r="F49" s="721"/>
      <c r="G49" s="721"/>
      <c r="H49" s="721"/>
      <c r="I49" s="721"/>
      <c r="J49" s="721"/>
      <c r="K49" s="158"/>
      <c r="L49" s="108">
        <v>2003</v>
      </c>
      <c r="M49" s="720">
        <v>2011</v>
      </c>
      <c r="N49" s="721"/>
      <c r="O49" s="721"/>
      <c r="P49" s="721"/>
      <c r="Q49" s="721"/>
      <c r="R49" s="721"/>
      <c r="S49" s="721"/>
      <c r="T49" s="159"/>
      <c r="U49" s="108">
        <v>2004</v>
      </c>
      <c r="V49" s="209"/>
      <c r="W49" s="209"/>
      <c r="X49" s="209"/>
      <c r="Y49" s="209"/>
      <c r="Z49" s="209"/>
      <c r="AA49" s="209"/>
      <c r="AB49" s="209"/>
      <c r="AC49" s="209"/>
      <c r="AE49" s="209"/>
      <c r="AF49" s="209"/>
      <c r="AG49" s="209"/>
      <c r="AH49" s="209"/>
      <c r="AI49" s="209"/>
      <c r="AJ49" s="209"/>
      <c r="AK49" s="209"/>
      <c r="AL49" s="209"/>
      <c r="AN49" s="209"/>
      <c r="AO49" s="209"/>
      <c r="AP49" s="209"/>
      <c r="AQ49" s="209"/>
      <c r="AR49" s="209"/>
      <c r="AS49" s="209"/>
      <c r="AT49" s="209"/>
      <c r="AU49" s="209"/>
      <c r="AW49" s="209"/>
      <c r="AX49" s="209"/>
      <c r="AY49" s="209"/>
      <c r="AZ49" s="209"/>
      <c r="BA49" s="209"/>
      <c r="BB49" s="209"/>
      <c r="BC49" s="209"/>
      <c r="BD49" s="209"/>
      <c r="BF49" s="209"/>
      <c r="BG49" s="209"/>
      <c r="BH49" s="209"/>
      <c r="BI49" s="209"/>
      <c r="BJ49" s="209"/>
      <c r="BK49" s="209"/>
      <c r="BL49" s="209"/>
      <c r="BM49" s="209"/>
    </row>
    <row r="50" spans="1:65" ht="13.5" thickBot="1">
      <c r="A50" s="5"/>
      <c r="B50" s="5"/>
      <c r="C50" s="5"/>
      <c r="D50" s="161" t="s">
        <v>75</v>
      </c>
      <c r="E50" s="162" t="s">
        <v>76</v>
      </c>
      <c r="F50" s="162" t="s">
        <v>77</v>
      </c>
      <c r="G50" s="162" t="s">
        <v>78</v>
      </c>
      <c r="H50" s="162" t="s">
        <v>79</v>
      </c>
      <c r="I50" s="162" t="s">
        <v>80</v>
      </c>
      <c r="J50" s="162" t="s">
        <v>81</v>
      </c>
      <c r="K50" s="163" t="s">
        <v>82</v>
      </c>
      <c r="L50" s="5"/>
      <c r="M50" s="161" t="s">
        <v>75</v>
      </c>
      <c r="N50" s="162" t="s">
        <v>76</v>
      </c>
      <c r="O50" s="162" t="s">
        <v>77</v>
      </c>
      <c r="P50" s="162" t="s">
        <v>78</v>
      </c>
      <c r="Q50" s="162" t="s">
        <v>79</v>
      </c>
      <c r="R50" s="162" t="s">
        <v>80</v>
      </c>
      <c r="S50" s="162" t="s">
        <v>81</v>
      </c>
      <c r="T50" s="163" t="s">
        <v>82</v>
      </c>
      <c r="U50" s="5"/>
      <c r="V50" s="209"/>
      <c r="W50" s="209"/>
      <c r="X50" s="209"/>
      <c r="Y50" s="209"/>
      <c r="Z50" s="209"/>
      <c r="AA50" s="209"/>
      <c r="AB50" s="209"/>
      <c r="AC50" s="209"/>
      <c r="AE50" s="209"/>
      <c r="AF50" s="209"/>
      <c r="AG50" s="209"/>
      <c r="AH50" s="209"/>
      <c r="AI50" s="209"/>
      <c r="AJ50" s="209"/>
      <c r="AK50" s="209"/>
      <c r="AL50" s="209"/>
      <c r="AN50" s="209"/>
      <c r="AO50" s="209"/>
      <c r="AP50" s="209"/>
      <c r="AQ50" s="209"/>
      <c r="AR50" s="209"/>
      <c r="AS50" s="209"/>
      <c r="AT50" s="209"/>
      <c r="AU50" s="209"/>
      <c r="AW50" s="209"/>
      <c r="AX50" s="209"/>
      <c r="AY50" s="209"/>
      <c r="AZ50" s="209"/>
      <c r="BA50" s="209"/>
      <c r="BB50" s="209"/>
      <c r="BC50" s="209"/>
      <c r="BD50" s="209"/>
      <c r="BF50" s="209"/>
      <c r="BG50" s="209"/>
      <c r="BH50" s="209"/>
      <c r="BI50" s="209"/>
      <c r="BJ50" s="209"/>
      <c r="BK50" s="209"/>
      <c r="BL50" s="209"/>
      <c r="BM50" s="209"/>
    </row>
    <row r="51" spans="1:65" ht="12.75">
      <c r="A51" s="744" t="s">
        <v>84</v>
      </c>
      <c r="B51" s="34" t="s">
        <v>9</v>
      </c>
      <c r="C51" s="169"/>
      <c r="D51" s="170"/>
      <c r="E51" s="169"/>
      <c r="F51" s="169"/>
      <c r="G51" s="171"/>
      <c r="H51" s="171"/>
      <c r="I51" s="169"/>
      <c r="J51" s="169"/>
      <c r="K51" s="194"/>
      <c r="L51" s="169"/>
      <c r="M51" s="195">
        <f aca="true" t="shared" si="43" ref="M51:T51">M34/D45</f>
        <v>1.0008693664445023</v>
      </c>
      <c r="N51" s="196">
        <f t="shared" si="43"/>
        <v>1.0008550386342343</v>
      </c>
      <c r="O51" s="196">
        <f t="shared" si="43"/>
        <v>1.0017765533164356</v>
      </c>
      <c r="P51" s="196">
        <f t="shared" si="43"/>
        <v>1.000439429710849</v>
      </c>
      <c r="Q51" s="196">
        <f t="shared" si="43"/>
        <v>0.9966378974837268</v>
      </c>
      <c r="R51" s="196">
        <f t="shared" si="43"/>
        <v>1</v>
      </c>
      <c r="S51" s="196">
        <f t="shared" si="43"/>
        <v>1</v>
      </c>
      <c r="T51" s="197">
        <f t="shared" si="43"/>
        <v>1.0009137041854184</v>
      </c>
      <c r="U51" s="173"/>
      <c r="V51" s="209"/>
      <c r="W51" s="209"/>
      <c r="X51" s="209"/>
      <c r="Y51" s="209"/>
      <c r="Z51" s="209"/>
      <c r="AA51" s="209"/>
      <c r="AB51" s="209"/>
      <c r="AC51" s="209"/>
      <c r="AE51" s="209"/>
      <c r="AF51" s="209"/>
      <c r="AG51" s="209"/>
      <c r="AH51" s="209"/>
      <c r="AI51" s="209"/>
      <c r="AJ51" s="209"/>
      <c r="AK51" s="209"/>
      <c r="AL51" s="209"/>
      <c r="AN51" s="209"/>
      <c r="AO51" s="209"/>
      <c r="AP51" s="209"/>
      <c r="AQ51" s="209"/>
      <c r="AR51" s="209"/>
      <c r="AS51" s="209"/>
      <c r="AT51" s="209"/>
      <c r="AU51" s="209"/>
      <c r="AW51" s="209"/>
      <c r="AX51" s="209"/>
      <c r="AY51" s="209"/>
      <c r="AZ51" s="209"/>
      <c r="BA51" s="209"/>
      <c r="BB51" s="209"/>
      <c r="BC51" s="209"/>
      <c r="BD51" s="209"/>
      <c r="BF51" s="209"/>
      <c r="BG51" s="209"/>
      <c r="BH51" s="209"/>
      <c r="BI51" s="209"/>
      <c r="BJ51" s="209"/>
      <c r="BK51" s="209"/>
      <c r="BL51" s="209"/>
      <c r="BM51" s="209"/>
    </row>
    <row r="52" spans="1:65" ht="12.75" customHeight="1">
      <c r="A52" s="745"/>
      <c r="B52" s="9" t="s">
        <v>10</v>
      </c>
      <c r="C52" s="172"/>
      <c r="D52" s="198">
        <f aca="true" t="shared" si="44" ref="D52:K62">D35/D34</f>
        <v>1.0009278570607458</v>
      </c>
      <c r="E52" s="199">
        <f t="shared" si="44"/>
        <v>1.0008550386342343</v>
      </c>
      <c r="F52" s="199">
        <f t="shared" si="44"/>
        <v>0.9996087636932708</v>
      </c>
      <c r="G52" s="199">
        <f t="shared" si="44"/>
        <v>1.0032552083333333</v>
      </c>
      <c r="H52" s="199">
        <f t="shared" si="44"/>
        <v>1</v>
      </c>
      <c r="I52" s="199">
        <f t="shared" si="44"/>
        <v>1</v>
      </c>
      <c r="J52" s="199">
        <f t="shared" si="44"/>
        <v>1</v>
      </c>
      <c r="K52" s="200">
        <f t="shared" si="44"/>
        <v>1.0008769123461903</v>
      </c>
      <c r="L52" s="172"/>
      <c r="M52" s="198">
        <f>M35/M34</f>
        <v>1.0008693664445023</v>
      </c>
      <c r="N52" s="199">
        <f aca="true" t="shared" si="45" ref="N52:T52">N35/N34</f>
        <v>1.0008550386342343</v>
      </c>
      <c r="O52" s="199">
        <f t="shared" si="45"/>
        <v>1.0017765533164356</v>
      </c>
      <c r="P52" s="199">
        <f t="shared" si="45"/>
        <v>1.000439429710849</v>
      </c>
      <c r="Q52" s="199">
        <f t="shared" si="45"/>
        <v>0.9966378974837268</v>
      </c>
      <c r="R52" s="199">
        <f t="shared" si="45"/>
        <v>1</v>
      </c>
      <c r="S52" s="199">
        <f t="shared" si="45"/>
        <v>1</v>
      </c>
      <c r="T52" s="200">
        <f t="shared" si="45"/>
        <v>1.00091376686775</v>
      </c>
      <c r="U52" s="173"/>
      <c r="V52" s="209"/>
      <c r="W52" s="209"/>
      <c r="X52" s="209"/>
      <c r="Y52" s="209"/>
      <c r="Z52" s="209"/>
      <c r="AA52" s="209"/>
      <c r="AB52" s="209"/>
      <c r="AC52" s="209"/>
      <c r="AE52" s="209"/>
      <c r="AF52" s="209"/>
      <c r="AG52" s="209"/>
      <c r="AH52" s="209"/>
      <c r="AI52" s="209"/>
      <c r="AJ52" s="209"/>
      <c r="AK52" s="209"/>
      <c r="AL52" s="209"/>
      <c r="AN52" s="209"/>
      <c r="AO52" s="209"/>
      <c r="AP52" s="209"/>
      <c r="AQ52" s="209"/>
      <c r="AR52" s="209"/>
      <c r="AS52" s="209"/>
      <c r="AT52" s="209"/>
      <c r="AU52" s="209"/>
      <c r="AW52" s="209"/>
      <c r="AX52" s="209"/>
      <c r="AY52" s="209"/>
      <c r="AZ52" s="209"/>
      <c r="BA52" s="209"/>
      <c r="BB52" s="209"/>
      <c r="BC52" s="209"/>
      <c r="BD52" s="209"/>
      <c r="BF52" s="209"/>
      <c r="BG52" s="209"/>
      <c r="BH52" s="209"/>
      <c r="BI52" s="209"/>
      <c r="BJ52" s="209"/>
      <c r="BK52" s="209"/>
      <c r="BL52" s="209"/>
      <c r="BM52" s="209"/>
    </row>
    <row r="53" spans="1:65" ht="12.75">
      <c r="A53" s="745"/>
      <c r="B53" s="9" t="s">
        <v>11</v>
      </c>
      <c r="C53" s="172"/>
      <c r="D53" s="198">
        <f t="shared" si="44"/>
        <v>1.0008693664445023</v>
      </c>
      <c r="E53" s="199">
        <f t="shared" si="44"/>
        <v>1.0008550386342343</v>
      </c>
      <c r="F53" s="199">
        <f t="shared" si="44"/>
        <v>1.0017765533164356</v>
      </c>
      <c r="G53" s="199">
        <f t="shared" si="44"/>
        <v>1.000439429710849</v>
      </c>
      <c r="H53" s="199">
        <f t="shared" si="44"/>
        <v>0.9966378974837268</v>
      </c>
      <c r="I53" s="199">
        <f t="shared" si="44"/>
        <v>1</v>
      </c>
      <c r="J53" s="199">
        <f t="shared" si="44"/>
        <v>1</v>
      </c>
      <c r="K53" s="200">
        <f t="shared" si="44"/>
        <v>1.0009130758043205</v>
      </c>
      <c r="L53" s="172"/>
      <c r="M53" s="198">
        <f aca="true" t="shared" si="46" ref="M53:T62">M36/M35</f>
        <v>1.0008693664445023</v>
      </c>
      <c r="N53" s="199">
        <f t="shared" si="46"/>
        <v>1.0008550386342343</v>
      </c>
      <c r="O53" s="199">
        <f t="shared" si="46"/>
        <v>1.0017765533164356</v>
      </c>
      <c r="P53" s="199">
        <f t="shared" si="46"/>
        <v>1.000439429710849</v>
      </c>
      <c r="Q53" s="199">
        <f t="shared" si="46"/>
        <v>0.9966378974837268</v>
      </c>
      <c r="R53" s="199">
        <f t="shared" si="46"/>
        <v>1</v>
      </c>
      <c r="S53" s="199">
        <f t="shared" si="46"/>
        <v>1</v>
      </c>
      <c r="T53" s="200">
        <f t="shared" si="46"/>
        <v>1.0009138295229365</v>
      </c>
      <c r="U53" s="173"/>
      <c r="V53" s="209"/>
      <c r="W53" s="209"/>
      <c r="X53" s="209"/>
      <c r="Y53" s="209"/>
      <c r="Z53" s="209"/>
      <c r="AA53" s="209"/>
      <c r="AB53" s="209"/>
      <c r="AC53" s="209"/>
      <c r="AE53" s="209"/>
      <c r="AF53" s="209"/>
      <c r="AG53" s="209"/>
      <c r="AH53" s="209"/>
      <c r="AI53" s="209"/>
      <c r="AJ53" s="209"/>
      <c r="AK53" s="209"/>
      <c r="AL53" s="209"/>
      <c r="AN53" s="209"/>
      <c r="AO53" s="209"/>
      <c r="AP53" s="209"/>
      <c r="AQ53" s="209"/>
      <c r="AR53" s="209"/>
      <c r="AS53" s="209"/>
      <c r="AT53" s="209"/>
      <c r="AU53" s="209"/>
      <c r="AW53" s="209"/>
      <c r="AX53" s="209"/>
      <c r="AY53" s="209"/>
      <c r="AZ53" s="209"/>
      <c r="BA53" s="209"/>
      <c r="BB53" s="209"/>
      <c r="BC53" s="209"/>
      <c r="BD53" s="209"/>
      <c r="BF53" s="209"/>
      <c r="BG53" s="209"/>
      <c r="BH53" s="209"/>
      <c r="BI53" s="209"/>
      <c r="BJ53" s="209"/>
      <c r="BK53" s="209"/>
      <c r="BL53" s="209"/>
      <c r="BM53" s="209"/>
    </row>
    <row r="54" spans="1:65" ht="12.75">
      <c r="A54" s="745"/>
      <c r="B54" s="9" t="s">
        <v>12</v>
      </c>
      <c r="C54" s="172"/>
      <c r="D54" s="198">
        <f t="shared" si="44"/>
        <v>1.0008693664445023</v>
      </c>
      <c r="E54" s="199">
        <f t="shared" si="44"/>
        <v>1.0008550386342343</v>
      </c>
      <c r="F54" s="199">
        <f t="shared" si="44"/>
        <v>1.0017765533164356</v>
      </c>
      <c r="G54" s="199">
        <f t="shared" si="44"/>
        <v>1.000439429710849</v>
      </c>
      <c r="H54" s="199">
        <f t="shared" si="44"/>
        <v>0.9966378974837268</v>
      </c>
      <c r="I54" s="199">
        <f t="shared" si="44"/>
        <v>1</v>
      </c>
      <c r="J54" s="199">
        <f t="shared" si="44"/>
        <v>1</v>
      </c>
      <c r="K54" s="200">
        <f t="shared" si="44"/>
        <v>1.0009131387743524</v>
      </c>
      <c r="L54" s="172"/>
      <c r="M54" s="198">
        <f t="shared" si="46"/>
        <v>1.0008693664445023</v>
      </c>
      <c r="N54" s="199">
        <f t="shared" si="46"/>
        <v>1.0008550386342343</v>
      </c>
      <c r="O54" s="199">
        <f t="shared" si="46"/>
        <v>1.0017765533164356</v>
      </c>
      <c r="P54" s="199">
        <f t="shared" si="46"/>
        <v>1.000439429710849</v>
      </c>
      <c r="Q54" s="199">
        <f t="shared" si="46"/>
        <v>0.9966378974837268</v>
      </c>
      <c r="R54" s="199">
        <f t="shared" si="46"/>
        <v>1</v>
      </c>
      <c r="S54" s="199">
        <f t="shared" si="46"/>
        <v>1</v>
      </c>
      <c r="T54" s="200">
        <f t="shared" si="46"/>
        <v>1.0009138921512706</v>
      </c>
      <c r="U54" s="173"/>
      <c r="V54" s="209"/>
      <c r="W54" s="209"/>
      <c r="X54" s="209"/>
      <c r="Y54" s="209"/>
      <c r="Z54" s="209"/>
      <c r="AA54" s="209"/>
      <c r="AB54" s="209"/>
      <c r="AC54" s="209"/>
      <c r="AE54" s="209"/>
      <c r="AF54" s="209"/>
      <c r="AG54" s="209"/>
      <c r="AH54" s="209"/>
      <c r="AI54" s="209"/>
      <c r="AJ54" s="209"/>
      <c r="AK54" s="209"/>
      <c r="AL54" s="209"/>
      <c r="AN54" s="209"/>
      <c r="AO54" s="209"/>
      <c r="AP54" s="209"/>
      <c r="AQ54" s="209"/>
      <c r="AR54" s="209"/>
      <c r="AS54" s="209"/>
      <c r="AT54" s="209"/>
      <c r="AU54" s="209"/>
      <c r="AW54" s="209"/>
      <c r="AX54" s="209"/>
      <c r="AY54" s="209"/>
      <c r="AZ54" s="209"/>
      <c r="BA54" s="209"/>
      <c r="BB54" s="209"/>
      <c r="BC54" s="209"/>
      <c r="BD54" s="209"/>
      <c r="BF54" s="209"/>
      <c r="BG54" s="209"/>
      <c r="BH54" s="209"/>
      <c r="BI54" s="209"/>
      <c r="BJ54" s="209"/>
      <c r="BK54" s="209"/>
      <c r="BL54" s="209"/>
      <c r="BM54" s="209"/>
    </row>
    <row r="55" spans="1:65" ht="12.75">
      <c r="A55" s="745"/>
      <c r="B55" s="9" t="s">
        <v>13</v>
      </c>
      <c r="C55" s="172"/>
      <c r="D55" s="198">
        <f t="shared" si="44"/>
        <v>1.0008693664445023</v>
      </c>
      <c r="E55" s="199">
        <f t="shared" si="44"/>
        <v>1.0008550386342343</v>
      </c>
      <c r="F55" s="199">
        <f t="shared" si="44"/>
        <v>1.0017765533164356</v>
      </c>
      <c r="G55" s="199">
        <f t="shared" si="44"/>
        <v>1.000439429710849</v>
      </c>
      <c r="H55" s="199">
        <f t="shared" si="44"/>
        <v>0.9966378974837268</v>
      </c>
      <c r="I55" s="199">
        <f t="shared" si="44"/>
        <v>1</v>
      </c>
      <c r="J55" s="199">
        <f t="shared" si="44"/>
        <v>1</v>
      </c>
      <c r="K55" s="200">
        <f t="shared" si="44"/>
        <v>1.0009132017142675</v>
      </c>
      <c r="L55" s="172"/>
      <c r="M55" s="198">
        <f t="shared" si="46"/>
        <v>1.0008693664445023</v>
      </c>
      <c r="N55" s="199">
        <f t="shared" si="46"/>
        <v>1.0008550386342343</v>
      </c>
      <c r="O55" s="199">
        <f t="shared" si="46"/>
        <v>1.0017765533164356</v>
      </c>
      <c r="P55" s="199">
        <f t="shared" si="46"/>
        <v>1.000439429710849</v>
      </c>
      <c r="Q55" s="199">
        <f t="shared" si="46"/>
        <v>0.9966378974837268</v>
      </c>
      <c r="R55" s="199">
        <f t="shared" si="46"/>
        <v>1</v>
      </c>
      <c r="S55" s="199">
        <f t="shared" si="46"/>
        <v>1</v>
      </c>
      <c r="T55" s="200">
        <f t="shared" si="46"/>
        <v>1.0009139547530406</v>
      </c>
      <c r="U55" s="173"/>
      <c r="V55" s="209"/>
      <c r="W55" s="209"/>
      <c r="X55" s="209"/>
      <c r="Y55" s="209"/>
      <c r="Z55" s="209"/>
      <c r="AA55" s="209"/>
      <c r="AB55" s="209"/>
      <c r="AC55" s="209"/>
      <c r="AE55" s="209"/>
      <c r="AF55" s="209"/>
      <c r="AG55" s="209"/>
      <c r="AH55" s="209"/>
      <c r="AI55" s="209"/>
      <c r="AJ55" s="209"/>
      <c r="AK55" s="209"/>
      <c r="AL55" s="209"/>
      <c r="AN55" s="209"/>
      <c r="AO55" s="209"/>
      <c r="AP55" s="209"/>
      <c r="AQ55" s="209"/>
      <c r="AR55" s="209"/>
      <c r="AS55" s="209"/>
      <c r="AT55" s="209"/>
      <c r="AU55" s="209"/>
      <c r="AW55" s="209"/>
      <c r="AX55" s="209"/>
      <c r="AY55" s="209"/>
      <c r="AZ55" s="209"/>
      <c r="BA55" s="209"/>
      <c r="BB55" s="209"/>
      <c r="BC55" s="209"/>
      <c r="BD55" s="209"/>
      <c r="BF55" s="209"/>
      <c r="BG55" s="209"/>
      <c r="BH55" s="209"/>
      <c r="BI55" s="209"/>
      <c r="BJ55" s="209"/>
      <c r="BK55" s="209"/>
      <c r="BL55" s="209"/>
      <c r="BM55" s="209"/>
    </row>
    <row r="56" spans="1:65" ht="12.75">
      <c r="A56" s="745"/>
      <c r="B56" s="9" t="s">
        <v>14</v>
      </c>
      <c r="C56" s="172"/>
      <c r="D56" s="198">
        <f t="shared" si="44"/>
        <v>1.0008693664445023</v>
      </c>
      <c r="E56" s="199">
        <f t="shared" si="44"/>
        <v>1.0008550386342343</v>
      </c>
      <c r="F56" s="199">
        <f t="shared" si="44"/>
        <v>1.0017765533164356</v>
      </c>
      <c r="G56" s="199">
        <f t="shared" si="44"/>
        <v>1.000439429710849</v>
      </c>
      <c r="H56" s="199">
        <f t="shared" si="44"/>
        <v>0.9966378974837268</v>
      </c>
      <c r="I56" s="199">
        <f t="shared" si="44"/>
        <v>1</v>
      </c>
      <c r="J56" s="199">
        <f t="shared" si="44"/>
        <v>1</v>
      </c>
      <c r="K56" s="200">
        <f t="shared" si="44"/>
        <v>1.0009132646243677</v>
      </c>
      <c r="L56" s="172"/>
      <c r="M56" s="198">
        <f t="shared" si="46"/>
        <v>1.0008693664445023</v>
      </c>
      <c r="N56" s="199">
        <f t="shared" si="46"/>
        <v>1.0008550386342343</v>
      </c>
      <c r="O56" s="199">
        <f t="shared" si="46"/>
        <v>1.0017765533164356</v>
      </c>
      <c r="P56" s="199">
        <f t="shared" si="46"/>
        <v>1.000439429710849</v>
      </c>
      <c r="Q56" s="199">
        <f t="shared" si="46"/>
        <v>0.9966378974837269</v>
      </c>
      <c r="R56" s="199">
        <f t="shared" si="46"/>
        <v>1</v>
      </c>
      <c r="S56" s="199">
        <f t="shared" si="46"/>
        <v>1</v>
      </c>
      <c r="T56" s="200">
        <f t="shared" si="46"/>
        <v>1.000914017328536</v>
      </c>
      <c r="U56" s="173"/>
      <c r="V56" s="209"/>
      <c r="W56" s="209"/>
      <c r="X56" s="209"/>
      <c r="Y56" s="209"/>
      <c r="Z56" s="209"/>
      <c r="AA56" s="209"/>
      <c r="AB56" s="209"/>
      <c r="AC56" s="209"/>
      <c r="AE56" s="209"/>
      <c r="AF56" s="209"/>
      <c r="AG56" s="209"/>
      <c r="AH56" s="209"/>
      <c r="AI56" s="209"/>
      <c r="AJ56" s="209"/>
      <c r="AK56" s="209"/>
      <c r="AL56" s="209"/>
      <c r="AN56" s="209"/>
      <c r="AO56" s="209"/>
      <c r="AP56" s="209"/>
      <c r="AQ56" s="209"/>
      <c r="AR56" s="209"/>
      <c r="AS56" s="209"/>
      <c r="AT56" s="209"/>
      <c r="AU56" s="209"/>
      <c r="AW56" s="209"/>
      <c r="AX56" s="209"/>
      <c r="AY56" s="209"/>
      <c r="AZ56" s="209"/>
      <c r="BA56" s="209"/>
      <c r="BB56" s="209"/>
      <c r="BC56" s="209"/>
      <c r="BD56" s="209"/>
      <c r="BF56" s="209"/>
      <c r="BG56" s="209"/>
      <c r="BH56" s="209"/>
      <c r="BI56" s="209"/>
      <c r="BJ56" s="209"/>
      <c r="BK56" s="209"/>
      <c r="BL56" s="209"/>
      <c r="BM56" s="209"/>
    </row>
    <row r="57" spans="1:65" ht="12.75">
      <c r="A57" s="745"/>
      <c r="B57" s="9" t="s">
        <v>15</v>
      </c>
      <c r="C57" s="172"/>
      <c r="D57" s="198">
        <f t="shared" si="44"/>
        <v>1.0008693664445023</v>
      </c>
      <c r="E57" s="199">
        <f t="shared" si="44"/>
        <v>1.0008550386342343</v>
      </c>
      <c r="F57" s="199">
        <f t="shared" si="44"/>
        <v>1.0017765533164356</v>
      </c>
      <c r="G57" s="199">
        <f t="shared" si="44"/>
        <v>1.000439429710849</v>
      </c>
      <c r="H57" s="199">
        <f t="shared" si="44"/>
        <v>0.9966378974837268</v>
      </c>
      <c r="I57" s="199">
        <f t="shared" si="44"/>
        <v>1</v>
      </c>
      <c r="J57" s="199">
        <f t="shared" si="44"/>
        <v>1</v>
      </c>
      <c r="K57" s="200">
        <f t="shared" si="44"/>
        <v>1.0009133275049544</v>
      </c>
      <c r="L57" s="172"/>
      <c r="M57" s="198">
        <f t="shared" si="46"/>
        <v>1.0008693664445023</v>
      </c>
      <c r="N57" s="199">
        <f t="shared" si="46"/>
        <v>1.0008550386342343</v>
      </c>
      <c r="O57" s="199">
        <f t="shared" si="46"/>
        <v>1.0017765533164356</v>
      </c>
      <c r="P57" s="199">
        <f t="shared" si="46"/>
        <v>1.000439429710849</v>
      </c>
      <c r="Q57" s="199">
        <f t="shared" si="46"/>
        <v>0.9966378974837268</v>
      </c>
      <c r="R57" s="199">
        <f t="shared" si="46"/>
        <v>1</v>
      </c>
      <c r="S57" s="199">
        <f t="shared" si="46"/>
        <v>1</v>
      </c>
      <c r="T57" s="200">
        <f t="shared" si="46"/>
        <v>1.000914079878045</v>
      </c>
      <c r="U57" s="173"/>
      <c r="V57" s="209"/>
      <c r="W57" s="209"/>
      <c r="X57" s="209"/>
      <c r="Y57" s="209"/>
      <c r="Z57" s="209"/>
      <c r="AA57" s="209"/>
      <c r="AB57" s="209"/>
      <c r="AC57" s="209"/>
      <c r="AE57" s="209"/>
      <c r="AF57" s="209"/>
      <c r="AG57" s="209"/>
      <c r="AH57" s="209"/>
      <c r="AI57" s="209"/>
      <c r="AJ57" s="209"/>
      <c r="AK57" s="209"/>
      <c r="AL57" s="209"/>
      <c r="AN57" s="209"/>
      <c r="AO57" s="209"/>
      <c r="AP57" s="209"/>
      <c r="AQ57" s="209"/>
      <c r="AR57" s="209"/>
      <c r="AS57" s="209"/>
      <c r="AT57" s="209"/>
      <c r="AU57" s="209"/>
      <c r="AW57" s="209"/>
      <c r="AX57" s="209"/>
      <c r="AY57" s="209"/>
      <c r="AZ57" s="209"/>
      <c r="BA57" s="209"/>
      <c r="BB57" s="209"/>
      <c r="BC57" s="209"/>
      <c r="BD57" s="209"/>
      <c r="BF57" s="209"/>
      <c r="BG57" s="209"/>
      <c r="BH57" s="209"/>
      <c r="BI57" s="209"/>
      <c r="BJ57" s="209"/>
      <c r="BK57" s="209"/>
      <c r="BL57" s="209"/>
      <c r="BM57" s="209"/>
    </row>
    <row r="58" spans="1:65" ht="12.75">
      <c r="A58" s="745"/>
      <c r="B58" s="9" t="s">
        <v>16</v>
      </c>
      <c r="C58" s="172"/>
      <c r="D58" s="198">
        <f t="shared" si="44"/>
        <v>1.0008693664445023</v>
      </c>
      <c r="E58" s="199">
        <f t="shared" si="44"/>
        <v>1.0008550386342343</v>
      </c>
      <c r="F58" s="199">
        <f t="shared" si="44"/>
        <v>1.0017765533164356</v>
      </c>
      <c r="G58" s="199">
        <f t="shared" si="44"/>
        <v>1.000439429710849</v>
      </c>
      <c r="H58" s="199">
        <f t="shared" si="44"/>
        <v>0.9966378974837268</v>
      </c>
      <c r="I58" s="199">
        <f t="shared" si="44"/>
        <v>1</v>
      </c>
      <c r="J58" s="199">
        <f t="shared" si="44"/>
        <v>1</v>
      </c>
      <c r="K58" s="200">
        <f t="shared" si="44"/>
        <v>1.000913390356328</v>
      </c>
      <c r="L58" s="172"/>
      <c r="M58" s="198">
        <f t="shared" si="46"/>
        <v>1.0008693664445023</v>
      </c>
      <c r="N58" s="199">
        <f t="shared" si="46"/>
        <v>1.0008550386342343</v>
      </c>
      <c r="O58" s="199">
        <f t="shared" si="46"/>
        <v>1.0017765533164356</v>
      </c>
      <c r="P58" s="199">
        <f t="shared" si="46"/>
        <v>1.000439429710849</v>
      </c>
      <c r="Q58" s="199">
        <f t="shared" si="46"/>
        <v>0.9966378974837268</v>
      </c>
      <c r="R58" s="199">
        <f t="shared" si="46"/>
        <v>1</v>
      </c>
      <c r="S58" s="199">
        <f t="shared" si="46"/>
        <v>1</v>
      </c>
      <c r="T58" s="200">
        <f t="shared" si="46"/>
        <v>1.000914142401853</v>
      </c>
      <c r="U58" s="173"/>
      <c r="V58" s="209"/>
      <c r="W58" s="209"/>
      <c r="X58" s="209"/>
      <c r="Y58" s="209"/>
      <c r="Z58" s="209"/>
      <c r="AA58" s="209"/>
      <c r="AB58" s="209"/>
      <c r="AC58" s="209"/>
      <c r="AE58" s="209"/>
      <c r="AF58" s="209"/>
      <c r="AG58" s="209"/>
      <c r="AH58" s="209"/>
      <c r="AI58" s="209"/>
      <c r="AJ58" s="209"/>
      <c r="AK58" s="209"/>
      <c r="AL58" s="209"/>
      <c r="AN58" s="209"/>
      <c r="AO58" s="209"/>
      <c r="AP58" s="209"/>
      <c r="AQ58" s="209"/>
      <c r="AR58" s="209"/>
      <c r="AS58" s="209"/>
      <c r="AT58" s="209"/>
      <c r="AU58" s="209"/>
      <c r="AW58" s="209"/>
      <c r="AX58" s="209"/>
      <c r="AY58" s="209"/>
      <c r="AZ58" s="209"/>
      <c r="BA58" s="209"/>
      <c r="BB58" s="209"/>
      <c r="BC58" s="209"/>
      <c r="BD58" s="209"/>
      <c r="BF58" s="209"/>
      <c r="BG58" s="209"/>
      <c r="BH58" s="209"/>
      <c r="BI58" s="209"/>
      <c r="BJ58" s="209"/>
      <c r="BK58" s="209"/>
      <c r="BL58" s="209"/>
      <c r="BM58" s="209"/>
    </row>
    <row r="59" spans="1:65" ht="12.75">
      <c r="A59" s="745"/>
      <c r="B59" s="201" t="s">
        <v>17</v>
      </c>
      <c r="C59" s="46"/>
      <c r="D59" s="202">
        <f t="shared" si="44"/>
        <v>1.0008693664445023</v>
      </c>
      <c r="E59" s="203">
        <f t="shared" si="44"/>
        <v>1.0008550386342343</v>
      </c>
      <c r="F59" s="203">
        <f t="shared" si="44"/>
        <v>1.0017765533164356</v>
      </c>
      <c r="G59" s="203">
        <f t="shared" si="44"/>
        <v>1.000439429710849</v>
      </c>
      <c r="H59" s="203">
        <f t="shared" si="44"/>
        <v>0.9966378974837268</v>
      </c>
      <c r="I59" s="203">
        <f t="shared" si="44"/>
        <v>1</v>
      </c>
      <c r="J59" s="203">
        <f t="shared" si="44"/>
        <v>1</v>
      </c>
      <c r="K59" s="204">
        <f t="shared" si="44"/>
        <v>1.0009134531787869</v>
      </c>
      <c r="L59" s="46"/>
      <c r="M59" s="202">
        <f t="shared" si="46"/>
        <v>1.0008693664445023</v>
      </c>
      <c r="N59" s="203">
        <f t="shared" si="46"/>
        <v>1.0008550386342343</v>
      </c>
      <c r="O59" s="203">
        <f t="shared" si="46"/>
        <v>1.0017765533164356</v>
      </c>
      <c r="P59" s="203">
        <f t="shared" si="46"/>
        <v>1.000439429710849</v>
      </c>
      <c r="Q59" s="203">
        <f t="shared" si="46"/>
        <v>0.9966378974837268</v>
      </c>
      <c r="R59" s="203">
        <f t="shared" si="46"/>
        <v>1</v>
      </c>
      <c r="S59" s="203">
        <f t="shared" si="46"/>
        <v>1</v>
      </c>
      <c r="T59" s="204">
        <f t="shared" si="46"/>
        <v>1.0009142049002475</v>
      </c>
      <c r="U59" s="205"/>
      <c r="V59" s="209"/>
      <c r="W59" s="209"/>
      <c r="X59" s="209"/>
      <c r="Y59" s="209"/>
      <c r="Z59" s="209"/>
      <c r="AA59" s="209"/>
      <c r="AB59" s="209"/>
      <c r="AC59" s="209"/>
      <c r="AE59" s="209"/>
      <c r="AF59" s="209"/>
      <c r="AG59" s="209"/>
      <c r="AH59" s="209"/>
      <c r="AI59" s="209"/>
      <c r="AJ59" s="209"/>
      <c r="AK59" s="209"/>
      <c r="AL59" s="209"/>
      <c r="AN59" s="209"/>
      <c r="AO59" s="209"/>
      <c r="AP59" s="209"/>
      <c r="AQ59" s="209"/>
      <c r="AR59" s="209"/>
      <c r="AS59" s="209"/>
      <c r="AT59" s="209"/>
      <c r="AU59" s="209"/>
      <c r="AW59" s="209"/>
      <c r="AX59" s="209"/>
      <c r="AY59" s="209"/>
      <c r="AZ59" s="209"/>
      <c r="BA59" s="209"/>
      <c r="BB59" s="209"/>
      <c r="BC59" s="209"/>
      <c r="BD59" s="209"/>
      <c r="BF59" s="209"/>
      <c r="BG59" s="209"/>
      <c r="BH59" s="209"/>
      <c r="BI59" s="209"/>
      <c r="BJ59" s="209"/>
      <c r="BK59" s="209"/>
      <c r="BL59" s="209"/>
      <c r="BM59" s="209"/>
    </row>
    <row r="60" spans="1:65" ht="12.75">
      <c r="A60" s="745"/>
      <c r="B60" s="9" t="s">
        <v>51</v>
      </c>
      <c r="C60" s="172"/>
      <c r="D60" s="198">
        <f t="shared" si="44"/>
        <v>1.0008693664445023</v>
      </c>
      <c r="E60" s="199">
        <f t="shared" si="44"/>
        <v>1.0008550386342343</v>
      </c>
      <c r="F60" s="199">
        <f t="shared" si="44"/>
        <v>1.0017765533164356</v>
      </c>
      <c r="G60" s="199">
        <f t="shared" si="44"/>
        <v>1.000439429710849</v>
      </c>
      <c r="H60" s="199">
        <f t="shared" si="44"/>
        <v>0.9966378974837268</v>
      </c>
      <c r="I60" s="199">
        <f t="shared" si="44"/>
        <v>1</v>
      </c>
      <c r="J60" s="199">
        <f t="shared" si="44"/>
        <v>1</v>
      </c>
      <c r="K60" s="200">
        <f t="shared" si="44"/>
        <v>1.000913515972629</v>
      </c>
      <c r="L60" s="172"/>
      <c r="M60" s="198">
        <f t="shared" si="46"/>
        <v>1.0008693664445023</v>
      </c>
      <c r="N60" s="199">
        <f t="shared" si="46"/>
        <v>1.0008550386342343</v>
      </c>
      <c r="O60" s="199">
        <f t="shared" si="46"/>
        <v>1.0017765533164356</v>
      </c>
      <c r="P60" s="199">
        <f t="shared" si="46"/>
        <v>1.000439429710849</v>
      </c>
      <c r="Q60" s="199">
        <f t="shared" si="46"/>
        <v>0.9966378974837268</v>
      </c>
      <c r="R60" s="199">
        <f t="shared" si="46"/>
        <v>1</v>
      </c>
      <c r="S60" s="199">
        <f t="shared" si="46"/>
        <v>1</v>
      </c>
      <c r="T60" s="200">
        <f t="shared" si="46"/>
        <v>1.0009142673735107</v>
      </c>
      <c r="U60" s="173"/>
      <c r="V60" s="209"/>
      <c r="W60" s="209"/>
      <c r="X60" s="209"/>
      <c r="Y60" s="209"/>
      <c r="Z60" s="209"/>
      <c r="AA60" s="209"/>
      <c r="AB60" s="209"/>
      <c r="AC60" s="209"/>
      <c r="AE60" s="209"/>
      <c r="AF60" s="209"/>
      <c r="AG60" s="209"/>
      <c r="AH60" s="209"/>
      <c r="AI60" s="209"/>
      <c r="AJ60" s="209"/>
      <c r="AK60" s="209"/>
      <c r="AL60" s="209"/>
      <c r="AN60" s="209"/>
      <c r="AO60" s="209"/>
      <c r="AP60" s="209"/>
      <c r="AQ60" s="209"/>
      <c r="AR60" s="209"/>
      <c r="AS60" s="209"/>
      <c r="AT60" s="209"/>
      <c r="AU60" s="209"/>
      <c r="AW60" s="209"/>
      <c r="AX60" s="209"/>
      <c r="AY60" s="209"/>
      <c r="AZ60" s="209"/>
      <c r="BA60" s="209"/>
      <c r="BB60" s="209"/>
      <c r="BC60" s="209"/>
      <c r="BD60" s="209"/>
      <c r="BF60" s="209"/>
      <c r="BG60" s="209"/>
      <c r="BH60" s="209"/>
      <c r="BI60" s="209"/>
      <c r="BJ60" s="209"/>
      <c r="BK60" s="209"/>
      <c r="BL60" s="209"/>
      <c r="BM60" s="209"/>
    </row>
    <row r="61" spans="1:65" ht="12.75">
      <c r="A61" s="745"/>
      <c r="B61" s="9" t="s">
        <v>19</v>
      </c>
      <c r="C61" s="172"/>
      <c r="D61" s="198">
        <f t="shared" si="44"/>
        <v>1.0008693664445023</v>
      </c>
      <c r="E61" s="199">
        <f t="shared" si="44"/>
        <v>1.0008550386342343</v>
      </c>
      <c r="F61" s="199">
        <f t="shared" si="44"/>
        <v>1.0017765533164356</v>
      </c>
      <c r="G61" s="199">
        <f t="shared" si="44"/>
        <v>1.000439429710849</v>
      </c>
      <c r="H61" s="199">
        <f t="shared" si="44"/>
        <v>0.9966378974837268</v>
      </c>
      <c r="I61" s="199">
        <f t="shared" si="44"/>
        <v>1</v>
      </c>
      <c r="J61" s="199">
        <f t="shared" si="44"/>
        <v>1</v>
      </c>
      <c r="K61" s="200">
        <f t="shared" si="44"/>
        <v>1.000913578738152</v>
      </c>
      <c r="L61" s="172"/>
      <c r="M61" s="198">
        <f t="shared" si="46"/>
        <v>1.0008693664445023</v>
      </c>
      <c r="N61" s="199">
        <f t="shared" si="46"/>
        <v>1.0008550386342343</v>
      </c>
      <c r="O61" s="199">
        <f t="shared" si="46"/>
        <v>1.0017765533164356</v>
      </c>
      <c r="P61" s="199">
        <f t="shared" si="46"/>
        <v>1.000439429710849</v>
      </c>
      <c r="Q61" s="199">
        <f t="shared" si="46"/>
        <v>0.9966378974837268</v>
      </c>
      <c r="R61" s="199">
        <f t="shared" si="46"/>
        <v>1</v>
      </c>
      <c r="S61" s="199">
        <f t="shared" si="46"/>
        <v>1</v>
      </c>
      <c r="T61" s="200">
        <f t="shared" si="46"/>
        <v>1.0009143298219279</v>
      </c>
      <c r="U61" s="173"/>
      <c r="V61" s="209"/>
      <c r="W61" s="209"/>
      <c r="X61" s="209"/>
      <c r="Y61" s="209"/>
      <c r="Z61" s="209"/>
      <c r="AA61" s="209"/>
      <c r="AB61" s="209"/>
      <c r="AC61" s="209"/>
      <c r="AE61" s="209"/>
      <c r="AF61" s="209"/>
      <c r="AG61" s="209"/>
      <c r="AH61" s="209"/>
      <c r="AI61" s="209"/>
      <c r="AJ61" s="209"/>
      <c r="AK61" s="209"/>
      <c r="AL61" s="209"/>
      <c r="AN61" s="209"/>
      <c r="AO61" s="209"/>
      <c r="AP61" s="209"/>
      <c r="AQ61" s="209"/>
      <c r="AR61" s="209"/>
      <c r="AS61" s="209"/>
      <c r="AT61" s="209"/>
      <c r="AU61" s="209"/>
      <c r="AW61" s="209"/>
      <c r="AX61" s="209"/>
      <c r="AY61" s="209"/>
      <c r="AZ61" s="209"/>
      <c r="BA61" s="209"/>
      <c r="BB61" s="209"/>
      <c r="BC61" s="209"/>
      <c r="BD61" s="209"/>
      <c r="BF61" s="209"/>
      <c r="BG61" s="209"/>
      <c r="BH61" s="209"/>
      <c r="BI61" s="209"/>
      <c r="BJ61" s="209"/>
      <c r="BK61" s="209"/>
      <c r="BL61" s="209"/>
      <c r="BM61" s="209"/>
    </row>
    <row r="62" spans="1:65" ht="13.5" thickBot="1">
      <c r="A62" s="746"/>
      <c r="B62" s="178" t="s">
        <v>20</v>
      </c>
      <c r="C62" s="179"/>
      <c r="D62" s="206">
        <f t="shared" si="44"/>
        <v>1.0008693664445023</v>
      </c>
      <c r="E62" s="207">
        <f t="shared" si="44"/>
        <v>1.0008550386342343</v>
      </c>
      <c r="F62" s="207">
        <f t="shared" si="44"/>
        <v>1.0017765533164356</v>
      </c>
      <c r="G62" s="207">
        <f t="shared" si="44"/>
        <v>1.000439429710849</v>
      </c>
      <c r="H62" s="207">
        <f t="shared" si="44"/>
        <v>0.9966378974837268</v>
      </c>
      <c r="I62" s="207">
        <f t="shared" si="44"/>
        <v>1</v>
      </c>
      <c r="J62" s="207">
        <f t="shared" si="44"/>
        <v>1</v>
      </c>
      <c r="K62" s="208">
        <f t="shared" si="44"/>
        <v>1.0009136414756499</v>
      </c>
      <c r="L62" s="179"/>
      <c r="M62" s="206">
        <f t="shared" si="46"/>
        <v>1.0008693664445023</v>
      </c>
      <c r="N62" s="207">
        <f t="shared" si="46"/>
        <v>1.0008550386342343</v>
      </c>
      <c r="O62" s="207">
        <f t="shared" si="46"/>
        <v>1.0017765533164356</v>
      </c>
      <c r="P62" s="207">
        <f t="shared" si="46"/>
        <v>1.000439429710849</v>
      </c>
      <c r="Q62" s="207">
        <f t="shared" si="46"/>
        <v>0.9966378974837268</v>
      </c>
      <c r="R62" s="207">
        <f t="shared" si="46"/>
        <v>1</v>
      </c>
      <c r="S62" s="207">
        <f t="shared" si="46"/>
        <v>1</v>
      </c>
      <c r="T62" s="208">
        <f t="shared" si="46"/>
        <v>1.0009143922457802</v>
      </c>
      <c r="U62" s="173"/>
      <c r="V62" s="209"/>
      <c r="W62" s="209"/>
      <c r="X62" s="209"/>
      <c r="Y62" s="209"/>
      <c r="Z62" s="209"/>
      <c r="AA62" s="209"/>
      <c r="AB62" s="209"/>
      <c r="AC62" s="209"/>
      <c r="AE62" s="209"/>
      <c r="AF62" s="209"/>
      <c r="AG62" s="209"/>
      <c r="AH62" s="209"/>
      <c r="AI62" s="209"/>
      <c r="AJ62" s="209"/>
      <c r="AK62" s="209"/>
      <c r="AL62" s="209"/>
      <c r="AN62" s="209"/>
      <c r="AO62" s="209"/>
      <c r="AP62" s="209"/>
      <c r="AQ62" s="209"/>
      <c r="AR62" s="209"/>
      <c r="AS62" s="209"/>
      <c r="AT62" s="209"/>
      <c r="AU62" s="209"/>
      <c r="AW62" s="209"/>
      <c r="AX62" s="209"/>
      <c r="AY62" s="209"/>
      <c r="AZ62" s="209"/>
      <c r="BA62" s="209"/>
      <c r="BB62" s="209"/>
      <c r="BC62" s="209"/>
      <c r="BD62" s="209"/>
      <c r="BF62" s="209"/>
      <c r="BG62" s="209"/>
      <c r="BH62" s="209"/>
      <c r="BI62" s="209"/>
      <c r="BJ62" s="209"/>
      <c r="BK62" s="209"/>
      <c r="BL62" s="209"/>
      <c r="BM62" s="209"/>
    </row>
    <row r="63" spans="2:65" ht="13.5" thickBot="1">
      <c r="B63" s="5"/>
      <c r="D63" s="209"/>
      <c r="E63" s="209"/>
      <c r="F63" s="209"/>
      <c r="G63" s="209"/>
      <c r="H63" s="209"/>
      <c r="I63" s="209"/>
      <c r="J63" s="209"/>
      <c r="K63" s="209"/>
      <c r="M63" s="209"/>
      <c r="N63" s="209"/>
      <c r="O63" s="209"/>
      <c r="P63" s="209"/>
      <c r="Q63" s="209"/>
      <c r="R63" s="209"/>
      <c r="S63" s="209"/>
      <c r="T63" s="209"/>
      <c r="V63" s="209"/>
      <c r="W63" s="209"/>
      <c r="X63" s="209"/>
      <c r="Y63" s="209"/>
      <c r="Z63" s="209"/>
      <c r="AA63" s="209"/>
      <c r="AB63" s="209"/>
      <c r="AC63" s="209"/>
      <c r="AE63" s="209"/>
      <c r="AF63" s="209"/>
      <c r="AG63" s="209"/>
      <c r="AH63" s="209"/>
      <c r="AI63" s="209"/>
      <c r="AJ63" s="209"/>
      <c r="AK63" s="209"/>
      <c r="AL63" s="209"/>
      <c r="AN63" s="209"/>
      <c r="AO63" s="209"/>
      <c r="AP63" s="209"/>
      <c r="AQ63" s="209"/>
      <c r="AR63" s="209"/>
      <c r="AS63" s="209"/>
      <c r="AT63" s="209"/>
      <c r="AU63" s="209"/>
      <c r="AW63" s="209"/>
      <c r="AX63" s="209"/>
      <c r="AY63" s="209"/>
      <c r="AZ63" s="209"/>
      <c r="BA63" s="209"/>
      <c r="BB63" s="209"/>
      <c r="BC63" s="209"/>
      <c r="BD63" s="209"/>
      <c r="BF63" s="209"/>
      <c r="BG63" s="209"/>
      <c r="BH63" s="209"/>
      <c r="BI63" s="209"/>
      <c r="BJ63" s="209"/>
      <c r="BK63" s="209"/>
      <c r="BL63" s="209"/>
      <c r="BM63" s="209"/>
    </row>
    <row r="64" spans="1:65" s="172" customFormat="1" ht="12.75">
      <c r="A64" s="170"/>
      <c r="B64" s="34"/>
      <c r="C64" s="169"/>
      <c r="D64" s="748" t="s">
        <v>87</v>
      </c>
      <c r="E64" s="726"/>
      <c r="F64" s="726"/>
      <c r="G64" s="726"/>
      <c r="H64" s="726"/>
      <c r="I64" s="726"/>
      <c r="J64" s="726"/>
      <c r="K64" s="726"/>
      <c r="L64" s="726"/>
      <c r="M64" s="726"/>
      <c r="N64" s="726"/>
      <c r="O64" s="726"/>
      <c r="P64" s="726"/>
      <c r="Q64" s="726"/>
      <c r="R64" s="726"/>
      <c r="S64" s="726"/>
      <c r="T64" s="726"/>
      <c r="U64" s="726"/>
      <c r="V64" s="726"/>
      <c r="W64" s="727"/>
      <c r="X64" s="199"/>
      <c r="Y64" s="199"/>
      <c r="Z64" s="199"/>
      <c r="AA64" s="199"/>
      <c r="AB64" s="199"/>
      <c r="AC64" s="199"/>
      <c r="AE64" s="199"/>
      <c r="AF64" s="199"/>
      <c r="AG64" s="199"/>
      <c r="AH64" s="199"/>
      <c r="AI64" s="199"/>
      <c r="AJ64" s="199"/>
      <c r="AK64" s="199"/>
      <c r="AL64" s="199"/>
      <c r="AN64" s="199"/>
      <c r="AO64" s="199"/>
      <c r="AP64" s="199"/>
      <c r="AQ64" s="199"/>
      <c r="AR64" s="199"/>
      <c r="AS64" s="199"/>
      <c r="AT64" s="199"/>
      <c r="AU64" s="199"/>
      <c r="AW64" s="199"/>
      <c r="AX64" s="199"/>
      <c r="AY64" s="199"/>
      <c r="AZ64" s="199"/>
      <c r="BA64" s="199"/>
      <c r="BB64" s="199"/>
      <c r="BC64" s="199"/>
      <c r="BD64" s="199"/>
      <c r="BF64" s="199"/>
      <c r="BG64" s="199"/>
      <c r="BH64" s="199"/>
      <c r="BI64" s="199"/>
      <c r="BJ64" s="199"/>
      <c r="BK64" s="199"/>
      <c r="BL64" s="199"/>
      <c r="BM64" s="199"/>
    </row>
    <row r="65" spans="1:65" s="172" customFormat="1" ht="12.75">
      <c r="A65" s="173"/>
      <c r="B65" s="9"/>
      <c r="D65" s="747" t="s">
        <v>88</v>
      </c>
      <c r="E65" s="747"/>
      <c r="F65" s="226"/>
      <c r="G65" s="227"/>
      <c r="H65" s="747" t="s">
        <v>77</v>
      </c>
      <c r="I65" s="747"/>
      <c r="J65" s="228"/>
      <c r="K65" s="228"/>
      <c r="L65" s="747" t="s">
        <v>89</v>
      </c>
      <c r="M65" s="747"/>
      <c r="N65" s="199"/>
      <c r="O65" s="199"/>
      <c r="P65" s="747" t="s">
        <v>76</v>
      </c>
      <c r="Q65" s="747"/>
      <c r="R65" s="199"/>
      <c r="S65" s="199"/>
      <c r="T65" s="747" t="s">
        <v>79</v>
      </c>
      <c r="U65" s="747"/>
      <c r="V65" s="199"/>
      <c r="W65" s="200"/>
      <c r="X65" s="199"/>
      <c r="Y65" s="199"/>
      <c r="Z65" s="199"/>
      <c r="AA65" s="199"/>
      <c r="AB65" s="199"/>
      <c r="AC65" s="199"/>
      <c r="AE65" s="199"/>
      <c r="AF65" s="199"/>
      <c r="AG65" s="199"/>
      <c r="AH65" s="199"/>
      <c r="AI65" s="199"/>
      <c r="AJ65" s="199"/>
      <c r="AK65" s="199"/>
      <c r="AL65" s="199"/>
      <c r="AN65" s="199"/>
      <c r="AO65" s="199"/>
      <c r="AP65" s="199"/>
      <c r="AQ65" s="199"/>
      <c r="AR65" s="199"/>
      <c r="AS65" s="199"/>
      <c r="AT65" s="199"/>
      <c r="AU65" s="199"/>
      <c r="AW65" s="199"/>
      <c r="AX65" s="199"/>
      <c r="AY65" s="199"/>
      <c r="AZ65" s="199"/>
      <c r="BA65" s="199"/>
      <c r="BB65" s="199"/>
      <c r="BC65" s="199"/>
      <c r="BD65" s="199"/>
      <c r="BF65" s="199"/>
      <c r="BG65" s="199"/>
      <c r="BH65" s="199"/>
      <c r="BI65" s="199"/>
      <c r="BJ65" s="199"/>
      <c r="BK65" s="199"/>
      <c r="BL65" s="199"/>
      <c r="BM65" s="199"/>
    </row>
    <row r="66" spans="1:23" s="172" customFormat="1" ht="13.5" thickBot="1">
      <c r="A66" s="173"/>
      <c r="D66" s="165" t="s">
        <v>90</v>
      </c>
      <c r="E66" s="165" t="s">
        <v>91</v>
      </c>
      <c r="F66" s="229"/>
      <c r="G66" s="230"/>
      <c r="H66" s="165" t="s">
        <v>90</v>
      </c>
      <c r="I66" s="165" t="s">
        <v>91</v>
      </c>
      <c r="L66" s="165" t="s">
        <v>90</v>
      </c>
      <c r="M66" s="165" t="s">
        <v>91</v>
      </c>
      <c r="P66" s="165" t="s">
        <v>90</v>
      </c>
      <c r="Q66" s="165" t="s">
        <v>91</v>
      </c>
      <c r="T66" s="165" t="s">
        <v>90</v>
      </c>
      <c r="U66" s="165" t="s">
        <v>91</v>
      </c>
      <c r="W66" s="231"/>
    </row>
    <row r="67" spans="1:23" s="172" customFormat="1" ht="12.75">
      <c r="A67" s="170">
        <v>2003</v>
      </c>
      <c r="B67" s="34" t="s">
        <v>9</v>
      </c>
      <c r="C67" s="169"/>
      <c r="D67" s="214">
        <f>D3</f>
        <v>88846</v>
      </c>
      <c r="E67" s="169" t="e">
        <v>#N/A</v>
      </c>
      <c r="F67" s="232"/>
      <c r="G67" s="171"/>
      <c r="H67" s="214">
        <f aca="true" t="shared" si="47" ref="H67:H78">F3</f>
        <v>6469</v>
      </c>
      <c r="I67" s="169" t="e">
        <v>#N/A</v>
      </c>
      <c r="J67" s="169"/>
      <c r="K67" s="169"/>
      <c r="L67" s="214">
        <f aca="true" t="shared" si="48" ref="L67:L78">G3</f>
        <v>1319</v>
      </c>
      <c r="M67" s="169" t="e">
        <v>#N/A</v>
      </c>
      <c r="N67" s="169"/>
      <c r="O67" s="169"/>
      <c r="P67" s="214">
        <f>E3</f>
        <v>1105</v>
      </c>
      <c r="Q67" s="169" t="e">
        <v>#N/A</v>
      </c>
      <c r="R67" s="169"/>
      <c r="S67" s="169"/>
      <c r="T67" s="214">
        <f>H3</f>
        <v>122</v>
      </c>
      <c r="U67" s="169" t="e">
        <v>#N/A</v>
      </c>
      <c r="V67" s="169"/>
      <c r="W67" s="194"/>
    </row>
    <row r="68" spans="1:23" s="172" customFormat="1" ht="12.75">
      <c r="A68" s="173"/>
      <c r="B68" s="9" t="s">
        <v>10</v>
      </c>
      <c r="D68" s="216">
        <f aca="true" t="shared" si="49" ref="D68:D78">D4</f>
        <v>89106</v>
      </c>
      <c r="E68" s="216">
        <f>D67</f>
        <v>88846</v>
      </c>
      <c r="F68" s="233"/>
      <c r="G68" s="123"/>
      <c r="H68" s="216">
        <f t="shared" si="47"/>
        <v>6480</v>
      </c>
      <c r="I68" s="216">
        <f>H67</f>
        <v>6469</v>
      </c>
      <c r="L68" s="216">
        <f t="shared" si="48"/>
        <v>1321</v>
      </c>
      <c r="M68" s="216">
        <f>L67</f>
        <v>1319</v>
      </c>
      <c r="P68" s="216">
        <f aca="true" t="shared" si="50" ref="P68:P78">E4</f>
        <v>1105</v>
      </c>
      <c r="Q68" s="216">
        <f>P67</f>
        <v>1105</v>
      </c>
      <c r="T68" s="216">
        <f aca="true" t="shared" si="51" ref="T68:T78">H4</f>
        <v>123</v>
      </c>
      <c r="U68" s="216">
        <f>T67</f>
        <v>122</v>
      </c>
      <c r="W68" s="231"/>
    </row>
    <row r="69" spans="1:23" s="172" customFormat="1" ht="12.75">
      <c r="A69" s="173"/>
      <c r="B69" s="9" t="s">
        <v>11</v>
      </c>
      <c r="D69" s="216">
        <f t="shared" si="49"/>
        <v>89628</v>
      </c>
      <c r="E69" s="172">
        <f aca="true" t="shared" si="52" ref="E69:E132">0.7*D68+0.3*E68</f>
        <v>89028</v>
      </c>
      <c r="F69" s="233"/>
      <c r="G69" s="123"/>
      <c r="H69" s="216">
        <f t="shared" si="47"/>
        <v>6494</v>
      </c>
      <c r="I69" s="172">
        <f aca="true" t="shared" si="53" ref="I69:I132">0.7*H68+0.3*I68</f>
        <v>6476.7</v>
      </c>
      <c r="L69" s="216">
        <f t="shared" si="48"/>
        <v>1344</v>
      </c>
      <c r="M69" s="172">
        <f aca="true" t="shared" si="54" ref="M69:M132">0.7*L68+0.3*M68</f>
        <v>1320.3999999999999</v>
      </c>
      <c r="P69" s="216">
        <f t="shared" si="50"/>
        <v>1105</v>
      </c>
      <c r="Q69" s="172">
        <f aca="true" t="shared" si="55" ref="Q69:Q132">0.7*P68+0.3*Q68</f>
        <v>1105</v>
      </c>
      <c r="T69" s="216">
        <f t="shared" si="51"/>
        <v>124</v>
      </c>
      <c r="U69" s="172">
        <f aca="true" t="shared" si="56" ref="U69:U132">0.7*T68+0.3*U68</f>
        <v>122.69999999999999</v>
      </c>
      <c r="W69" s="231"/>
    </row>
    <row r="70" spans="1:23" s="172" customFormat="1" ht="12.75">
      <c r="A70" s="173"/>
      <c r="B70" s="9" t="s">
        <v>12</v>
      </c>
      <c r="D70" s="216">
        <f t="shared" si="49"/>
        <v>90127</v>
      </c>
      <c r="E70" s="172">
        <f t="shared" si="52"/>
        <v>89448</v>
      </c>
      <c r="F70" s="233"/>
      <c r="G70" s="123"/>
      <c r="H70" s="216">
        <f t="shared" si="47"/>
        <v>6472</v>
      </c>
      <c r="I70" s="172">
        <f t="shared" si="53"/>
        <v>6488.8099999999995</v>
      </c>
      <c r="L70" s="216">
        <f t="shared" si="48"/>
        <v>1345</v>
      </c>
      <c r="M70" s="172">
        <f t="shared" si="54"/>
        <v>1336.9199999999998</v>
      </c>
      <c r="P70" s="216">
        <f t="shared" si="50"/>
        <v>1105</v>
      </c>
      <c r="Q70" s="172">
        <f t="shared" si="55"/>
        <v>1105</v>
      </c>
      <c r="T70" s="216">
        <f t="shared" si="51"/>
        <v>124</v>
      </c>
      <c r="U70" s="172">
        <f t="shared" si="56"/>
        <v>123.60999999999999</v>
      </c>
      <c r="W70" s="231"/>
    </row>
    <row r="71" spans="1:23" s="172" customFormat="1" ht="12.75">
      <c r="A71" s="173"/>
      <c r="B71" s="9" t="s">
        <v>13</v>
      </c>
      <c r="D71" s="216">
        <f t="shared" si="49"/>
        <v>90572</v>
      </c>
      <c r="E71" s="172">
        <f t="shared" si="52"/>
        <v>89923.29999999999</v>
      </c>
      <c r="F71" s="233"/>
      <c r="G71" s="123"/>
      <c r="H71" s="216">
        <f t="shared" si="47"/>
        <v>6510</v>
      </c>
      <c r="I71" s="172">
        <f t="shared" si="53"/>
        <v>6477.043</v>
      </c>
      <c r="L71" s="216">
        <f t="shared" si="48"/>
        <v>1344</v>
      </c>
      <c r="M71" s="172">
        <f t="shared" si="54"/>
        <v>1342.5759999999998</v>
      </c>
      <c r="P71" s="216">
        <f t="shared" si="50"/>
        <v>1105</v>
      </c>
      <c r="Q71" s="172">
        <f t="shared" si="55"/>
        <v>1105</v>
      </c>
      <c r="T71" s="216">
        <f t="shared" si="51"/>
        <v>124</v>
      </c>
      <c r="U71" s="172">
        <f t="shared" si="56"/>
        <v>123.88299999999998</v>
      </c>
      <c r="W71" s="231"/>
    </row>
    <row r="72" spans="1:23" s="172" customFormat="1" ht="12.75">
      <c r="A72" s="173"/>
      <c r="B72" s="9" t="s">
        <v>14</v>
      </c>
      <c r="D72" s="216">
        <f t="shared" si="49"/>
        <v>91036</v>
      </c>
      <c r="E72" s="172">
        <f t="shared" si="52"/>
        <v>90377.38999999998</v>
      </c>
      <c r="F72" s="233"/>
      <c r="G72" s="123"/>
      <c r="H72" s="216">
        <f t="shared" si="47"/>
        <v>6530</v>
      </c>
      <c r="I72" s="172">
        <f t="shared" si="53"/>
        <v>6500.1129</v>
      </c>
      <c r="L72" s="216">
        <f t="shared" si="48"/>
        <v>1350</v>
      </c>
      <c r="M72" s="172">
        <f t="shared" si="54"/>
        <v>1343.5728</v>
      </c>
      <c r="P72" s="216">
        <f t="shared" si="50"/>
        <v>1105</v>
      </c>
      <c r="Q72" s="172">
        <f t="shared" si="55"/>
        <v>1105</v>
      </c>
      <c r="T72" s="216">
        <f t="shared" si="51"/>
        <v>124</v>
      </c>
      <c r="U72" s="172">
        <f t="shared" si="56"/>
        <v>123.9649</v>
      </c>
      <c r="W72" s="231"/>
    </row>
    <row r="73" spans="1:23" s="172" customFormat="1" ht="12.75">
      <c r="A73" s="173"/>
      <c r="B73" s="9" t="s">
        <v>15</v>
      </c>
      <c r="D73" s="216">
        <f t="shared" si="49"/>
        <v>91828</v>
      </c>
      <c r="E73" s="172">
        <f t="shared" si="52"/>
        <v>90838.41699999999</v>
      </c>
      <c r="F73" s="233"/>
      <c r="G73" s="123"/>
      <c r="H73" s="216">
        <f t="shared" si="47"/>
        <v>6504</v>
      </c>
      <c r="I73" s="172">
        <f t="shared" si="53"/>
        <v>6521.03387</v>
      </c>
      <c r="L73" s="216">
        <f t="shared" si="48"/>
        <v>1350</v>
      </c>
      <c r="M73" s="172">
        <f t="shared" si="54"/>
        <v>1348.0718399999998</v>
      </c>
      <c r="P73" s="216">
        <f t="shared" si="50"/>
        <v>1105</v>
      </c>
      <c r="Q73" s="172">
        <f t="shared" si="55"/>
        <v>1105</v>
      </c>
      <c r="T73" s="216">
        <f t="shared" si="51"/>
        <v>124</v>
      </c>
      <c r="U73" s="172">
        <f t="shared" si="56"/>
        <v>123.98947</v>
      </c>
      <c r="W73" s="231"/>
    </row>
    <row r="74" spans="1:23" s="172" customFormat="1" ht="12.75">
      <c r="A74" s="173"/>
      <c r="B74" s="9" t="s">
        <v>16</v>
      </c>
      <c r="D74" s="216">
        <f t="shared" si="49"/>
        <v>92229</v>
      </c>
      <c r="E74" s="172">
        <f t="shared" si="52"/>
        <v>91531.12509999999</v>
      </c>
      <c r="F74" s="233"/>
      <c r="G74" s="123"/>
      <c r="H74" s="216">
        <f t="shared" si="47"/>
        <v>6523</v>
      </c>
      <c r="I74" s="172">
        <f t="shared" si="53"/>
        <v>6509.110160999999</v>
      </c>
      <c r="L74" s="216">
        <f t="shared" si="48"/>
        <v>1349</v>
      </c>
      <c r="M74" s="172">
        <f t="shared" si="54"/>
        <v>1349.4215519999998</v>
      </c>
      <c r="P74" s="216">
        <f t="shared" si="50"/>
        <v>1105</v>
      </c>
      <c r="Q74" s="172">
        <f t="shared" si="55"/>
        <v>1105</v>
      </c>
      <c r="T74" s="216">
        <f t="shared" si="51"/>
        <v>124</v>
      </c>
      <c r="U74" s="172">
        <f t="shared" si="56"/>
        <v>123.99684099999999</v>
      </c>
      <c r="W74" s="231"/>
    </row>
    <row r="75" spans="1:23" s="172" customFormat="1" ht="12.75">
      <c r="A75" s="173"/>
      <c r="B75" s="9" t="s">
        <v>17</v>
      </c>
      <c r="D75" s="216">
        <f t="shared" si="49"/>
        <v>93180</v>
      </c>
      <c r="E75" s="172">
        <f t="shared" si="52"/>
        <v>92019.63752999999</v>
      </c>
      <c r="F75" s="233"/>
      <c r="G75" s="123"/>
      <c r="H75" s="216">
        <f t="shared" si="47"/>
        <v>6512</v>
      </c>
      <c r="I75" s="172">
        <f t="shared" si="53"/>
        <v>6518.833048299999</v>
      </c>
      <c r="L75" s="216">
        <f t="shared" si="48"/>
        <v>1393</v>
      </c>
      <c r="M75" s="172">
        <f t="shared" si="54"/>
        <v>1349.1264655999998</v>
      </c>
      <c r="P75" s="216">
        <f t="shared" si="50"/>
        <v>1105</v>
      </c>
      <c r="Q75" s="172">
        <f t="shared" si="55"/>
        <v>1105</v>
      </c>
      <c r="T75" s="216">
        <f t="shared" si="51"/>
        <v>127</v>
      </c>
      <c r="U75" s="172">
        <f t="shared" si="56"/>
        <v>123.99905229999999</v>
      </c>
      <c r="W75" s="231"/>
    </row>
    <row r="76" spans="1:23" s="172" customFormat="1" ht="12.75">
      <c r="A76" s="173"/>
      <c r="B76" s="9" t="s">
        <v>51</v>
      </c>
      <c r="D76" s="216">
        <f t="shared" si="49"/>
        <v>94084</v>
      </c>
      <c r="E76" s="172">
        <f t="shared" si="52"/>
        <v>92831.891259</v>
      </c>
      <c r="F76" s="233"/>
      <c r="G76" s="123"/>
      <c r="H76" s="216">
        <f t="shared" si="47"/>
        <v>6529</v>
      </c>
      <c r="I76" s="172">
        <f t="shared" si="53"/>
        <v>6514.0499144899995</v>
      </c>
      <c r="L76" s="216">
        <f t="shared" si="48"/>
        <v>1392</v>
      </c>
      <c r="M76" s="172">
        <f t="shared" si="54"/>
        <v>1379.8379396799999</v>
      </c>
      <c r="P76" s="216">
        <f t="shared" si="50"/>
        <v>1105</v>
      </c>
      <c r="Q76" s="172">
        <f t="shared" si="55"/>
        <v>1105</v>
      </c>
      <c r="T76" s="216">
        <f t="shared" si="51"/>
        <v>131</v>
      </c>
      <c r="U76" s="172">
        <f t="shared" si="56"/>
        <v>126.09971568999998</v>
      </c>
      <c r="W76" s="231"/>
    </row>
    <row r="77" spans="1:23" s="172" customFormat="1" ht="12.75">
      <c r="A77" s="173"/>
      <c r="B77" s="9" t="s">
        <v>19</v>
      </c>
      <c r="D77" s="216">
        <f t="shared" si="49"/>
        <v>94708</v>
      </c>
      <c r="E77" s="172">
        <f t="shared" si="52"/>
        <v>93708.3673777</v>
      </c>
      <c r="F77" s="233"/>
      <c r="G77" s="123"/>
      <c r="H77" s="216">
        <f t="shared" si="47"/>
        <v>6559</v>
      </c>
      <c r="I77" s="172">
        <f t="shared" si="53"/>
        <v>6524.514974346999</v>
      </c>
      <c r="L77" s="216">
        <f t="shared" si="48"/>
        <v>1391</v>
      </c>
      <c r="M77" s="172">
        <f t="shared" si="54"/>
        <v>1388.351381904</v>
      </c>
      <c r="P77" s="216">
        <f t="shared" si="50"/>
        <v>1105</v>
      </c>
      <c r="Q77" s="172">
        <f t="shared" si="55"/>
        <v>1105</v>
      </c>
      <c r="T77" s="216">
        <f t="shared" si="51"/>
        <v>132</v>
      </c>
      <c r="U77" s="172">
        <f t="shared" si="56"/>
        <v>129.529914707</v>
      </c>
      <c r="W77" s="231"/>
    </row>
    <row r="78" spans="1:23" s="172" customFormat="1" ht="13.5" thickBot="1">
      <c r="A78" s="180"/>
      <c r="B78" s="178" t="s">
        <v>20</v>
      </c>
      <c r="C78" s="179"/>
      <c r="D78" s="219">
        <f t="shared" si="49"/>
        <v>94708</v>
      </c>
      <c r="E78" s="179">
        <f t="shared" si="52"/>
        <v>94408.11021330999</v>
      </c>
      <c r="F78" s="234"/>
      <c r="G78" s="181"/>
      <c r="H78" s="219">
        <f t="shared" si="47"/>
        <v>6559</v>
      </c>
      <c r="I78" s="179">
        <f t="shared" si="53"/>
        <v>6548.654492304099</v>
      </c>
      <c r="J78" s="179"/>
      <c r="K78" s="179"/>
      <c r="L78" s="219">
        <f t="shared" si="48"/>
        <v>1391</v>
      </c>
      <c r="M78" s="179">
        <f t="shared" si="54"/>
        <v>1390.2054145712</v>
      </c>
      <c r="N78" s="179"/>
      <c r="O78" s="179"/>
      <c r="P78" s="219">
        <f t="shared" si="50"/>
        <v>1105</v>
      </c>
      <c r="Q78" s="179">
        <f t="shared" si="55"/>
        <v>1105</v>
      </c>
      <c r="R78" s="179"/>
      <c r="S78" s="179"/>
      <c r="T78" s="219">
        <f t="shared" si="51"/>
        <v>132</v>
      </c>
      <c r="U78" s="179">
        <f t="shared" si="56"/>
        <v>131.25897441209997</v>
      </c>
      <c r="V78" s="179"/>
      <c r="W78" s="235"/>
    </row>
    <row r="79" spans="1:23" s="172" customFormat="1" ht="12.75">
      <c r="A79" s="170">
        <v>2004</v>
      </c>
      <c r="B79" s="34" t="s">
        <v>9</v>
      </c>
      <c r="C79" s="169"/>
      <c r="D79" s="214">
        <f>M3</f>
        <v>95064</v>
      </c>
      <c r="E79" s="169">
        <f t="shared" si="52"/>
        <v>94618.03306399299</v>
      </c>
      <c r="F79" s="232"/>
      <c r="G79" s="171"/>
      <c r="H79" s="214">
        <f aca="true" t="shared" si="57" ref="H79:H90">O3</f>
        <v>6544</v>
      </c>
      <c r="I79" s="169">
        <f t="shared" si="53"/>
        <v>6555.896347691229</v>
      </c>
      <c r="J79" s="169"/>
      <c r="K79" s="169"/>
      <c r="L79" s="214">
        <f aca="true" t="shared" si="58" ref="L79:L90">P3</f>
        <v>1390</v>
      </c>
      <c r="M79" s="169">
        <f t="shared" si="54"/>
        <v>1390.7616243713599</v>
      </c>
      <c r="N79" s="169"/>
      <c r="O79" s="169"/>
      <c r="P79" s="214">
        <f>N3</f>
        <v>1130</v>
      </c>
      <c r="Q79" s="169">
        <f t="shared" si="55"/>
        <v>1105</v>
      </c>
      <c r="R79" s="169"/>
      <c r="S79" s="169"/>
      <c r="T79" s="214">
        <f>Q3</f>
        <v>132</v>
      </c>
      <c r="U79" s="169">
        <f t="shared" si="56"/>
        <v>131.77769232363</v>
      </c>
      <c r="V79" s="169"/>
      <c r="W79" s="194"/>
    </row>
    <row r="80" spans="1:23" s="172" customFormat="1" ht="12.75">
      <c r="A80" s="173"/>
      <c r="B80" s="9" t="s">
        <v>10</v>
      </c>
      <c r="D80" s="216">
        <f aca="true" t="shared" si="59" ref="D80:D90">M4</f>
        <v>95895</v>
      </c>
      <c r="E80" s="172">
        <f t="shared" si="52"/>
        <v>94930.20991919789</v>
      </c>
      <c r="F80" s="236">
        <f>((E80-E68)/E68)</f>
        <v>0.06848040338560984</v>
      </c>
      <c r="G80" s="237">
        <f>(1+F80)^(1/12)-1</f>
        <v>0.005535050039829459</v>
      </c>
      <c r="H80" s="216">
        <f t="shared" si="57"/>
        <v>6589</v>
      </c>
      <c r="I80" s="172">
        <f t="shared" si="53"/>
        <v>6547.568904307368</v>
      </c>
      <c r="J80" s="236">
        <f>((I80-I68)/I68)</f>
        <v>0.012145448184784052</v>
      </c>
      <c r="K80" s="237">
        <f>(1+J80)^(1/12)-1</f>
        <v>0.001006529881617757</v>
      </c>
      <c r="L80" s="216">
        <f t="shared" si="58"/>
        <v>1394</v>
      </c>
      <c r="M80" s="172">
        <f t="shared" si="54"/>
        <v>1390.228487311408</v>
      </c>
      <c r="N80" s="236">
        <f>((M80-M68)/M68)</f>
        <v>0.054001885755426755</v>
      </c>
      <c r="O80" s="237">
        <f>(1+N80)^(1/12)-1</f>
        <v>0.004392472020399607</v>
      </c>
      <c r="P80" s="216">
        <f aca="true" t="shared" si="60" ref="P80:P90">N4</f>
        <v>1130</v>
      </c>
      <c r="Q80" s="172">
        <f t="shared" si="55"/>
        <v>1122.5</v>
      </c>
      <c r="R80" s="236">
        <f>((Q80-Q68)/Q68)</f>
        <v>0.01583710407239819</v>
      </c>
      <c r="S80" s="237">
        <f>R80/12</f>
        <v>0.001319758672699849</v>
      </c>
      <c r="T80" s="216">
        <f aca="true" t="shared" si="61" ref="T80:T90">Q4</f>
        <v>135</v>
      </c>
      <c r="U80" s="172">
        <f t="shared" si="56"/>
        <v>131.933307697089</v>
      </c>
      <c r="V80" s="236">
        <f>((U80-U68)/U68)</f>
        <v>0.08142055489417206</v>
      </c>
      <c r="W80" s="238">
        <f>(1+V80)^(1/12)-1</f>
        <v>0.00654427961667392</v>
      </c>
    </row>
    <row r="81" spans="1:23" s="172" customFormat="1" ht="12.75">
      <c r="A81" s="173"/>
      <c r="B81" s="9" t="s">
        <v>11</v>
      </c>
      <c r="D81" s="216">
        <f t="shared" si="59"/>
        <v>96285</v>
      </c>
      <c r="E81" s="172">
        <f t="shared" si="52"/>
        <v>95605.56297575937</v>
      </c>
      <c r="F81" s="236">
        <f aca="true" t="shared" si="62" ref="F81:F144">((E81-E69)/E69)</f>
        <v>0.07388195821269006</v>
      </c>
      <c r="G81" s="237">
        <f aca="true" t="shared" si="63" ref="G81:G144">(1+F81)^(1/12)-1</f>
        <v>0.00595768361415594</v>
      </c>
      <c r="H81" s="216">
        <f t="shared" si="57"/>
        <v>6604</v>
      </c>
      <c r="I81" s="172">
        <f t="shared" si="53"/>
        <v>6576.570671292209</v>
      </c>
      <c r="J81" s="236">
        <f aca="true" t="shared" si="64" ref="J81:J144">((I81-I69)/I69)</f>
        <v>0.015419993405933486</v>
      </c>
      <c r="K81" s="237">
        <f aca="true" t="shared" si="65" ref="K81:K144">(1+J81)^(1/12)-1</f>
        <v>0.0012760061969177006</v>
      </c>
      <c r="L81" s="216">
        <f t="shared" si="58"/>
        <v>1394</v>
      </c>
      <c r="M81" s="172">
        <f t="shared" si="54"/>
        <v>1392.8685461934224</v>
      </c>
      <c r="N81" s="236">
        <f aca="true" t="shared" si="66" ref="N81:N144">((M81-M69)/M69)</f>
        <v>0.05488378233370383</v>
      </c>
      <c r="O81" s="237">
        <f aca="true" t="shared" si="67" ref="O81:O144">(1+N81)^(1/12)-1</f>
        <v>0.004462477491202987</v>
      </c>
      <c r="P81" s="216">
        <f t="shared" si="60"/>
        <v>1130</v>
      </c>
      <c r="Q81" s="172">
        <f t="shared" si="55"/>
        <v>1127.75</v>
      </c>
      <c r="R81" s="236">
        <f aca="true" t="shared" si="68" ref="R81:R144">((Q81-Q69)/Q69)</f>
        <v>0.020588235294117647</v>
      </c>
      <c r="S81" s="237">
        <f aca="true" t="shared" si="69" ref="S81:S144">R81/12</f>
        <v>0.001715686274509804</v>
      </c>
      <c r="T81" s="216">
        <f t="shared" si="61"/>
        <v>134</v>
      </c>
      <c r="U81" s="172">
        <f t="shared" si="56"/>
        <v>134.07999230912668</v>
      </c>
      <c r="V81" s="236">
        <f aca="true" t="shared" si="70" ref="V81:V144">((U81-U69)/U69)</f>
        <v>0.09274647358701461</v>
      </c>
      <c r="W81" s="238">
        <f>(1+V81)^(1/12)-1</f>
        <v>0.007418567871433135</v>
      </c>
    </row>
    <row r="82" spans="1:23" s="172" customFormat="1" ht="12.75">
      <c r="A82" s="173"/>
      <c r="B82" s="9" t="s">
        <v>12</v>
      </c>
      <c r="D82" s="216">
        <f t="shared" si="59"/>
        <v>96725</v>
      </c>
      <c r="E82" s="172">
        <f t="shared" si="52"/>
        <v>96081.16889272782</v>
      </c>
      <c r="F82" s="236">
        <f t="shared" si="62"/>
        <v>0.07415670437268375</v>
      </c>
      <c r="G82" s="237">
        <f t="shared" si="63"/>
        <v>0.005979128445274151</v>
      </c>
      <c r="H82" s="216">
        <f t="shared" si="57"/>
        <v>6606</v>
      </c>
      <c r="I82" s="172">
        <f t="shared" si="53"/>
        <v>6595.771201387662</v>
      </c>
      <c r="J82" s="236">
        <f t="shared" si="64"/>
        <v>0.01648394719334704</v>
      </c>
      <c r="K82" s="237">
        <f t="shared" si="65"/>
        <v>0.0013633920522642118</v>
      </c>
      <c r="L82" s="216">
        <f t="shared" si="58"/>
        <v>1395</v>
      </c>
      <c r="M82" s="172">
        <f t="shared" si="54"/>
        <v>1393.6605638580268</v>
      </c>
      <c r="N82" s="236">
        <f t="shared" si="66"/>
        <v>0.04244125591510855</v>
      </c>
      <c r="O82" s="237">
        <f t="shared" si="67"/>
        <v>0.003469782796190257</v>
      </c>
      <c r="P82" s="216">
        <f t="shared" si="60"/>
        <v>1130</v>
      </c>
      <c r="Q82" s="172">
        <f t="shared" si="55"/>
        <v>1129.325</v>
      </c>
      <c r="R82" s="236">
        <f t="shared" si="68"/>
        <v>0.022013574660633525</v>
      </c>
      <c r="S82" s="237">
        <f t="shared" si="69"/>
        <v>0.0018344645550527937</v>
      </c>
      <c r="T82" s="216">
        <f t="shared" si="61"/>
        <v>136</v>
      </c>
      <c r="U82" s="172">
        <f t="shared" si="56"/>
        <v>134.023997692738</v>
      </c>
      <c r="V82" s="236">
        <f t="shared" si="70"/>
        <v>0.08424882851499077</v>
      </c>
      <c r="W82" s="238">
        <f aca="true" t="shared" si="71" ref="W82:W145">(1+V82)^(1/12)-1</f>
        <v>0.006763387706472335</v>
      </c>
    </row>
    <row r="83" spans="1:23" s="172" customFormat="1" ht="12.75">
      <c r="A83" s="173"/>
      <c r="B83" s="9" t="s">
        <v>13</v>
      </c>
      <c r="D83" s="216">
        <f t="shared" si="59"/>
        <v>97077</v>
      </c>
      <c r="E83" s="172">
        <f t="shared" si="52"/>
        <v>96531.85066781835</v>
      </c>
      <c r="F83" s="236">
        <f t="shared" si="62"/>
        <v>0.07349097139249071</v>
      </c>
      <c r="G83" s="237">
        <f t="shared" si="63"/>
        <v>0.0059271571487600205</v>
      </c>
      <c r="H83" s="216">
        <f t="shared" si="57"/>
        <v>6609</v>
      </c>
      <c r="I83" s="172">
        <f t="shared" si="53"/>
        <v>6602.931360416298</v>
      </c>
      <c r="J83" s="236">
        <f t="shared" si="64"/>
        <v>0.019436085327254795</v>
      </c>
      <c r="K83" s="237">
        <f t="shared" si="65"/>
        <v>0.0016054220533665564</v>
      </c>
      <c r="L83" s="216">
        <f t="shared" si="58"/>
        <v>1404</v>
      </c>
      <c r="M83" s="172">
        <f t="shared" si="54"/>
        <v>1394.598169157408</v>
      </c>
      <c r="N83" s="236">
        <f t="shared" si="66"/>
        <v>0.03874802555490948</v>
      </c>
      <c r="O83" s="237">
        <f t="shared" si="67"/>
        <v>0.0031730373256755318</v>
      </c>
      <c r="P83" s="216">
        <f t="shared" si="60"/>
        <v>1130</v>
      </c>
      <c r="Q83" s="172">
        <f t="shared" si="55"/>
        <v>1129.7975000000001</v>
      </c>
      <c r="R83" s="236">
        <f t="shared" si="68"/>
        <v>0.02244117647058835</v>
      </c>
      <c r="S83" s="237">
        <f t="shared" si="69"/>
        <v>0.0018700980392156957</v>
      </c>
      <c r="T83" s="216">
        <f t="shared" si="61"/>
        <v>118</v>
      </c>
      <c r="U83" s="172">
        <f t="shared" si="56"/>
        <v>135.40719930782137</v>
      </c>
      <c r="V83" s="236">
        <f t="shared" si="70"/>
        <v>0.09302486465311134</v>
      </c>
      <c r="W83" s="238">
        <f t="shared" si="71"/>
        <v>0.007439953099189545</v>
      </c>
    </row>
    <row r="84" spans="1:23" s="172" customFormat="1" ht="12.75">
      <c r="A84" s="173"/>
      <c r="B84" s="9" t="s">
        <v>14</v>
      </c>
      <c r="D84" s="216">
        <f t="shared" si="59"/>
        <v>97807</v>
      </c>
      <c r="E84" s="172">
        <f t="shared" si="52"/>
        <v>96913.4552003455</v>
      </c>
      <c r="F84" s="236">
        <f t="shared" si="62"/>
        <v>0.07231969412200905</v>
      </c>
      <c r="G84" s="237">
        <f t="shared" si="63"/>
        <v>0.00583564813238957</v>
      </c>
      <c r="H84" s="216">
        <f t="shared" si="57"/>
        <v>6615</v>
      </c>
      <c r="I84" s="172">
        <f t="shared" si="53"/>
        <v>6607.179408124888</v>
      </c>
      <c r="J84" s="236">
        <f t="shared" si="64"/>
        <v>0.016471484383738636</v>
      </c>
      <c r="K84" s="237">
        <f t="shared" si="65"/>
        <v>0.0013623689281025975</v>
      </c>
      <c r="L84" s="216">
        <f t="shared" si="58"/>
        <v>1397</v>
      </c>
      <c r="M84" s="172">
        <f t="shared" si="54"/>
        <v>1401.1794507472223</v>
      </c>
      <c r="N84" s="236">
        <f t="shared" si="66"/>
        <v>0.04287571968353511</v>
      </c>
      <c r="O84" s="237">
        <f t="shared" si="67"/>
        <v>0.0035046279255859236</v>
      </c>
      <c r="P84" s="216">
        <f t="shared" si="60"/>
        <v>1130</v>
      </c>
      <c r="Q84" s="172">
        <f t="shared" si="55"/>
        <v>1129.93925</v>
      </c>
      <c r="R84" s="236">
        <f t="shared" si="68"/>
        <v>0.022569457013574573</v>
      </c>
      <c r="S84" s="237">
        <f t="shared" si="69"/>
        <v>0.0018807880844645478</v>
      </c>
      <c r="T84" s="216">
        <f t="shared" si="61"/>
        <v>118</v>
      </c>
      <c r="U84" s="172">
        <f t="shared" si="56"/>
        <v>123.2221597923464</v>
      </c>
      <c r="V84" s="236">
        <f t="shared" si="70"/>
        <v>-0.005991536375648244</v>
      </c>
      <c r="W84" s="238">
        <f t="shared" si="71"/>
        <v>-0.0005006710931433345</v>
      </c>
    </row>
    <row r="85" spans="1:23" s="172" customFormat="1" ht="12.75">
      <c r="A85" s="173"/>
      <c r="B85" s="9" t="s">
        <v>15</v>
      </c>
      <c r="D85" s="216">
        <f t="shared" si="59"/>
        <v>98313</v>
      </c>
      <c r="E85" s="172">
        <f t="shared" si="52"/>
        <v>97538.93656010364</v>
      </c>
      <c r="F85" s="236">
        <f t="shared" si="62"/>
        <v>0.0737630595225328</v>
      </c>
      <c r="G85" s="237">
        <f t="shared" si="63"/>
        <v>0.005948401625569755</v>
      </c>
      <c r="H85" s="216">
        <f t="shared" si="57"/>
        <v>6600</v>
      </c>
      <c r="I85" s="172">
        <f t="shared" si="53"/>
        <v>6612.653822437466</v>
      </c>
      <c r="J85" s="236">
        <f t="shared" si="64"/>
        <v>0.014049912063632028</v>
      </c>
      <c r="K85" s="237">
        <f t="shared" si="65"/>
        <v>0.0011633534128834278</v>
      </c>
      <c r="L85" s="216">
        <f t="shared" si="58"/>
        <v>1408</v>
      </c>
      <c r="M85" s="172">
        <f t="shared" si="54"/>
        <v>1398.2538352241668</v>
      </c>
      <c r="N85" s="236">
        <f t="shared" si="66"/>
        <v>0.03722501556309265</v>
      </c>
      <c r="O85" s="237">
        <f t="shared" si="67"/>
        <v>0.003050384044522625</v>
      </c>
      <c r="P85" s="216">
        <f t="shared" si="60"/>
        <v>1130</v>
      </c>
      <c r="Q85" s="172">
        <f t="shared" si="55"/>
        <v>1129.981775</v>
      </c>
      <c r="R85" s="236">
        <f t="shared" si="68"/>
        <v>0.02260794117647056</v>
      </c>
      <c r="S85" s="237">
        <f t="shared" si="69"/>
        <v>0.0018839950980392133</v>
      </c>
      <c r="T85" s="216">
        <f t="shared" si="61"/>
        <v>118</v>
      </c>
      <c r="U85" s="172">
        <f t="shared" si="56"/>
        <v>119.56664793770392</v>
      </c>
      <c r="V85" s="236">
        <f t="shared" si="70"/>
        <v>-0.03567094901120295</v>
      </c>
      <c r="W85" s="238">
        <f t="shared" si="71"/>
        <v>-0.0030223155323778617</v>
      </c>
    </row>
    <row r="86" spans="1:23" s="172" customFormat="1" ht="12.75">
      <c r="A86" s="173"/>
      <c r="B86" s="9" t="s">
        <v>16</v>
      </c>
      <c r="D86" s="216">
        <f t="shared" si="59"/>
        <v>99031</v>
      </c>
      <c r="E86" s="172">
        <f t="shared" si="52"/>
        <v>98080.78096803109</v>
      </c>
      <c r="F86" s="236">
        <f t="shared" si="62"/>
        <v>0.07155659739651883</v>
      </c>
      <c r="G86" s="237">
        <f t="shared" si="63"/>
        <v>0.005775979954208532</v>
      </c>
      <c r="H86" s="216">
        <f t="shared" si="57"/>
        <v>6651</v>
      </c>
      <c r="I86" s="172">
        <f t="shared" si="53"/>
        <v>6603.79614673124</v>
      </c>
      <c r="J86" s="236">
        <f t="shared" si="64"/>
        <v>0.014546686626777633</v>
      </c>
      <c r="K86" s="237">
        <f t="shared" si="65"/>
        <v>0.0012042160341554364</v>
      </c>
      <c r="L86" s="216">
        <f t="shared" si="58"/>
        <v>1420</v>
      </c>
      <c r="M86" s="172">
        <f t="shared" si="54"/>
        <v>1405.07615056725</v>
      </c>
      <c r="N86" s="236">
        <f t="shared" si="66"/>
        <v>0.04124330049773069</v>
      </c>
      <c r="O86" s="237">
        <f t="shared" si="67"/>
        <v>0.003373634637255929</v>
      </c>
      <c r="P86" s="216">
        <f t="shared" si="60"/>
        <v>1130</v>
      </c>
      <c r="Q86" s="172">
        <f t="shared" si="55"/>
        <v>1129.9945324999999</v>
      </c>
      <c r="R86" s="236">
        <f t="shared" si="68"/>
        <v>0.022619486425339255</v>
      </c>
      <c r="S86" s="237">
        <f t="shared" si="69"/>
        <v>0.0018849572021116046</v>
      </c>
      <c r="T86" s="216">
        <f t="shared" si="61"/>
        <v>119</v>
      </c>
      <c r="U86" s="172">
        <f t="shared" si="56"/>
        <v>118.46999438131117</v>
      </c>
      <c r="V86" s="236">
        <f t="shared" si="70"/>
        <v>-0.04457247921895706</v>
      </c>
      <c r="W86" s="238">
        <f t="shared" si="71"/>
        <v>-0.003792488027539842</v>
      </c>
    </row>
    <row r="87" spans="1:23" s="172" customFormat="1" ht="12.75">
      <c r="A87" s="173"/>
      <c r="B87" s="9" t="s">
        <v>17</v>
      </c>
      <c r="D87" s="216">
        <f t="shared" si="59"/>
        <v>99957</v>
      </c>
      <c r="E87" s="172">
        <f t="shared" si="52"/>
        <v>98745.93429040932</v>
      </c>
      <c r="F87" s="236">
        <f t="shared" si="62"/>
        <v>0.07309631879626172</v>
      </c>
      <c r="G87" s="237">
        <f t="shared" si="63"/>
        <v>0.005896334138964399</v>
      </c>
      <c r="H87" s="216">
        <f t="shared" si="57"/>
        <v>6691</v>
      </c>
      <c r="I87" s="172">
        <f t="shared" si="53"/>
        <v>6636.838844019372</v>
      </c>
      <c r="J87" s="236">
        <f t="shared" si="64"/>
        <v>0.018102288376620868</v>
      </c>
      <c r="K87" s="237">
        <f t="shared" si="65"/>
        <v>0.0014961508537330026</v>
      </c>
      <c r="L87" s="216">
        <f t="shared" si="58"/>
        <v>1388</v>
      </c>
      <c r="M87" s="172">
        <f t="shared" si="54"/>
        <v>1415.5228451701748</v>
      </c>
      <c r="N87" s="236">
        <f t="shared" si="66"/>
        <v>0.049214348145373</v>
      </c>
      <c r="O87" s="237">
        <f t="shared" si="67"/>
        <v>0.004011494945659999</v>
      </c>
      <c r="P87" s="216">
        <f t="shared" si="60"/>
        <v>1130</v>
      </c>
      <c r="Q87" s="172">
        <f t="shared" si="55"/>
        <v>1129.99835975</v>
      </c>
      <c r="R87" s="236">
        <f t="shared" si="68"/>
        <v>0.022622949999999968</v>
      </c>
      <c r="S87" s="237">
        <f t="shared" si="69"/>
        <v>0.0018852458333333307</v>
      </c>
      <c r="T87" s="216">
        <f t="shared" si="61"/>
        <v>118</v>
      </c>
      <c r="U87" s="172">
        <f t="shared" si="56"/>
        <v>118.84099831439335</v>
      </c>
      <c r="V87" s="236">
        <f t="shared" si="70"/>
        <v>-0.041597527480511584</v>
      </c>
      <c r="W87" s="238">
        <f t="shared" si="71"/>
        <v>-0.0035343620352503713</v>
      </c>
    </row>
    <row r="88" spans="1:23" s="172" customFormat="1" ht="12.75">
      <c r="A88" s="173"/>
      <c r="B88" s="9" t="s">
        <v>51</v>
      </c>
      <c r="D88" s="216">
        <f t="shared" si="59"/>
        <v>100574</v>
      </c>
      <c r="E88" s="172">
        <f t="shared" si="52"/>
        <v>99593.68028712278</v>
      </c>
      <c r="F88" s="236">
        <f t="shared" si="62"/>
        <v>0.072839074335537</v>
      </c>
      <c r="G88" s="237">
        <f t="shared" si="63"/>
        <v>0.005876237333535261</v>
      </c>
      <c r="H88" s="216">
        <f t="shared" si="57"/>
        <v>6703</v>
      </c>
      <c r="I88" s="172">
        <f t="shared" si="53"/>
        <v>6674.751653205812</v>
      </c>
      <c r="J88" s="236">
        <f t="shared" si="64"/>
        <v>0.024670019546264688</v>
      </c>
      <c r="K88" s="237">
        <f t="shared" si="65"/>
        <v>0.002032949362596792</v>
      </c>
      <c r="L88" s="216">
        <f t="shared" si="58"/>
        <v>1376</v>
      </c>
      <c r="M88" s="172">
        <f t="shared" si="54"/>
        <v>1396.2568535510522</v>
      </c>
      <c r="N88" s="236">
        <f t="shared" si="66"/>
        <v>0.01189916105282633</v>
      </c>
      <c r="O88" s="237">
        <f t="shared" si="67"/>
        <v>0.000986229560868468</v>
      </c>
      <c r="P88" s="216">
        <f t="shared" si="60"/>
        <v>1130</v>
      </c>
      <c r="Q88" s="172">
        <f t="shared" si="55"/>
        <v>1129.999507925</v>
      </c>
      <c r="R88" s="236">
        <f t="shared" si="68"/>
        <v>0.022623989072398182</v>
      </c>
      <c r="S88" s="237">
        <f t="shared" si="69"/>
        <v>0.0018853324226998484</v>
      </c>
      <c r="T88" s="216">
        <f t="shared" si="61"/>
        <v>122</v>
      </c>
      <c r="U88" s="172">
        <f t="shared" si="56"/>
        <v>118.252299494318</v>
      </c>
      <c r="V88" s="236">
        <f t="shared" si="70"/>
        <v>-0.062231830997730844</v>
      </c>
      <c r="W88" s="238">
        <f t="shared" si="71"/>
        <v>-0.0053400671364262076</v>
      </c>
    </row>
    <row r="89" spans="1:23" s="172" customFormat="1" ht="12.75">
      <c r="A89" s="173"/>
      <c r="B89" s="9" t="s">
        <v>19</v>
      </c>
      <c r="D89" s="216">
        <f t="shared" si="59"/>
        <v>101456</v>
      </c>
      <c r="E89" s="172">
        <f t="shared" si="52"/>
        <v>100279.90408613683</v>
      </c>
      <c r="F89" s="236">
        <f t="shared" si="62"/>
        <v>0.0701275338833902</v>
      </c>
      <c r="G89" s="237">
        <f t="shared" si="63"/>
        <v>0.005664133547265138</v>
      </c>
      <c r="H89" s="216">
        <f t="shared" si="57"/>
        <v>6770</v>
      </c>
      <c r="I89" s="172">
        <f t="shared" si="53"/>
        <v>6694.525495961743</v>
      </c>
      <c r="J89" s="236">
        <f t="shared" si="64"/>
        <v>0.026057189275093873</v>
      </c>
      <c r="K89" s="237">
        <f t="shared" si="65"/>
        <v>0.0021459229731279894</v>
      </c>
      <c r="L89" s="216">
        <f t="shared" si="58"/>
        <v>1378</v>
      </c>
      <c r="M89" s="172">
        <f t="shared" si="54"/>
        <v>1382.0770560653157</v>
      </c>
      <c r="N89" s="236">
        <f t="shared" si="66"/>
        <v>-0.0045192635815866624</v>
      </c>
      <c r="O89" s="237">
        <f t="shared" si="67"/>
        <v>-0.0003773876317555436</v>
      </c>
      <c r="P89" s="216">
        <f t="shared" si="60"/>
        <v>1130</v>
      </c>
      <c r="Q89" s="172">
        <f t="shared" si="55"/>
        <v>1129.9998523775</v>
      </c>
      <c r="R89" s="236">
        <f t="shared" si="68"/>
        <v>0.022624300794117664</v>
      </c>
      <c r="S89" s="237">
        <f t="shared" si="69"/>
        <v>0.0018853583995098054</v>
      </c>
      <c r="T89" s="216">
        <f t="shared" si="61"/>
        <v>121</v>
      </c>
      <c r="U89" s="172">
        <f t="shared" si="56"/>
        <v>120.8756898482954</v>
      </c>
      <c r="V89" s="236">
        <f t="shared" si="70"/>
        <v>-0.06681255737935654</v>
      </c>
      <c r="W89" s="238">
        <f t="shared" si="71"/>
        <v>-0.005745861960231302</v>
      </c>
    </row>
    <row r="90" spans="1:23" s="172" customFormat="1" ht="13.5" thickBot="1">
      <c r="A90" s="180"/>
      <c r="B90" s="178" t="s">
        <v>20</v>
      </c>
      <c r="C90" s="179"/>
      <c r="D90" s="219">
        <f t="shared" si="59"/>
        <v>102070</v>
      </c>
      <c r="E90" s="179">
        <f t="shared" si="52"/>
        <v>101103.17122584104</v>
      </c>
      <c r="F90" s="239">
        <f t="shared" si="62"/>
        <v>0.07091616384867701</v>
      </c>
      <c r="G90" s="240">
        <f t="shared" si="63"/>
        <v>0.005725873004208681</v>
      </c>
      <c r="H90" s="219">
        <f t="shared" si="57"/>
        <v>6797</v>
      </c>
      <c r="I90" s="179">
        <f t="shared" si="53"/>
        <v>6747.357648788523</v>
      </c>
      <c r="J90" s="239">
        <f t="shared" si="64"/>
        <v>0.030342592775040634</v>
      </c>
      <c r="K90" s="240">
        <f t="shared" si="65"/>
        <v>0.0024940517590266165</v>
      </c>
      <c r="L90" s="219">
        <f t="shared" si="58"/>
        <v>1376</v>
      </c>
      <c r="M90" s="179">
        <f t="shared" si="54"/>
        <v>1379.2231168195947</v>
      </c>
      <c r="N90" s="239">
        <f t="shared" si="66"/>
        <v>-0.007899766204689055</v>
      </c>
      <c r="O90" s="240">
        <f t="shared" si="67"/>
        <v>-0.0006607095243820194</v>
      </c>
      <c r="P90" s="219">
        <f t="shared" si="60"/>
        <v>1130</v>
      </c>
      <c r="Q90" s="179">
        <f t="shared" si="55"/>
        <v>1129.99995571325</v>
      </c>
      <c r="R90" s="239">
        <f t="shared" si="68"/>
        <v>0.022624394310633553</v>
      </c>
      <c r="S90" s="240">
        <f t="shared" si="69"/>
        <v>0.001885366192552796</v>
      </c>
      <c r="T90" s="219">
        <f t="shared" si="61"/>
        <v>121</v>
      </c>
      <c r="U90" s="179">
        <f t="shared" si="56"/>
        <v>120.9627069544886</v>
      </c>
      <c r="V90" s="239">
        <f t="shared" si="70"/>
        <v>-0.07844238844412475</v>
      </c>
      <c r="W90" s="241">
        <f t="shared" si="71"/>
        <v>-0.006784380178849858</v>
      </c>
    </row>
    <row r="91" spans="1:23" s="172" customFormat="1" ht="12.75">
      <c r="A91" s="170">
        <v>2005</v>
      </c>
      <c r="B91" s="34" t="s">
        <v>9</v>
      </c>
      <c r="C91" s="169"/>
      <c r="D91" s="214">
        <f>V3</f>
        <v>102392</v>
      </c>
      <c r="E91" s="169">
        <f t="shared" si="52"/>
        <v>101779.9513677523</v>
      </c>
      <c r="F91" s="242">
        <f t="shared" si="62"/>
        <v>0.07569295272620494</v>
      </c>
      <c r="G91" s="243">
        <f t="shared" si="63"/>
        <v>0.006098945046550952</v>
      </c>
      <c r="H91" s="214">
        <f aca="true" t="shared" si="72" ref="H91:H102">X3</f>
        <v>6823</v>
      </c>
      <c r="I91" s="169">
        <f t="shared" si="53"/>
        <v>6782.107294636557</v>
      </c>
      <c r="J91" s="242">
        <f t="shared" si="64"/>
        <v>0.03450496087007112</v>
      </c>
      <c r="K91" s="243">
        <f t="shared" si="65"/>
        <v>0.0028309173016409783</v>
      </c>
      <c r="L91" s="214">
        <f aca="true" t="shared" si="73" ref="L91:L102">Y3</f>
        <v>1379</v>
      </c>
      <c r="M91" s="169">
        <f t="shared" si="54"/>
        <v>1376.9669350458782</v>
      </c>
      <c r="N91" s="242">
        <f t="shared" si="66"/>
        <v>-0.009918802103643728</v>
      </c>
      <c r="O91" s="243">
        <f t="shared" si="67"/>
        <v>-0.0008303484980372033</v>
      </c>
      <c r="P91" s="214">
        <f>W3</f>
        <v>1159</v>
      </c>
      <c r="Q91" s="169">
        <f t="shared" si="55"/>
        <v>1129.999986713975</v>
      </c>
      <c r="R91" s="242">
        <f t="shared" si="68"/>
        <v>0.022624422365588214</v>
      </c>
      <c r="S91" s="243">
        <f t="shared" si="69"/>
        <v>0.0018853685304656845</v>
      </c>
      <c r="T91" s="214">
        <f>Z3</f>
        <v>125</v>
      </c>
      <c r="U91" s="169">
        <f t="shared" si="56"/>
        <v>120.98881208634657</v>
      </c>
      <c r="V91" s="242">
        <f t="shared" si="70"/>
        <v>-0.08187182554986047</v>
      </c>
      <c r="W91" s="244">
        <f t="shared" si="71"/>
        <v>-0.00709291523714084</v>
      </c>
    </row>
    <row r="92" spans="1:23" s="172" customFormat="1" ht="12.75">
      <c r="A92" s="173"/>
      <c r="B92" s="9" t="s">
        <v>10</v>
      </c>
      <c r="D92" s="216">
        <f aca="true" t="shared" si="74" ref="D92:D101">V4</f>
        <v>102796</v>
      </c>
      <c r="E92" s="172">
        <f t="shared" si="52"/>
        <v>102208.38541032569</v>
      </c>
      <c r="F92" s="236">
        <f t="shared" si="62"/>
        <v>0.07666869690189024</v>
      </c>
      <c r="G92" s="237">
        <f t="shared" si="63"/>
        <v>0.0061749648254665335</v>
      </c>
      <c r="H92" s="216">
        <f t="shared" si="72"/>
        <v>6832</v>
      </c>
      <c r="I92" s="172">
        <f t="shared" si="53"/>
        <v>6810.732188390966</v>
      </c>
      <c r="J92" s="236">
        <f t="shared" si="64"/>
        <v>0.04019251846444476</v>
      </c>
      <c r="K92" s="237">
        <f t="shared" si="65"/>
        <v>0.0032892151294947602</v>
      </c>
      <c r="L92" s="216">
        <f t="shared" si="73"/>
        <v>1378</v>
      </c>
      <c r="M92" s="172">
        <f t="shared" si="54"/>
        <v>1378.3900805137635</v>
      </c>
      <c r="N92" s="236">
        <f t="shared" si="66"/>
        <v>-0.00851543966023814</v>
      </c>
      <c r="O92" s="237">
        <f t="shared" si="67"/>
        <v>-0.0007124047163390435</v>
      </c>
      <c r="P92" s="216">
        <f aca="true" t="shared" si="75" ref="P92:P102">W4</f>
        <v>1159</v>
      </c>
      <c r="Q92" s="172">
        <f t="shared" si="55"/>
        <v>1150.2999960141924</v>
      </c>
      <c r="R92" s="236">
        <f t="shared" si="68"/>
        <v>0.024766143442487662</v>
      </c>
      <c r="S92" s="237">
        <f t="shared" si="69"/>
        <v>0.002063845286873972</v>
      </c>
      <c r="T92" s="216">
        <f aca="true" t="shared" si="76" ref="T92:T102">Z4</f>
        <v>126</v>
      </c>
      <c r="U92" s="172">
        <f t="shared" si="56"/>
        <v>123.79664362590397</v>
      </c>
      <c r="V92" s="236">
        <f t="shared" si="70"/>
        <v>-0.061672554210998175</v>
      </c>
      <c r="W92" s="238">
        <f t="shared" si="71"/>
        <v>-0.005290646765474638</v>
      </c>
    </row>
    <row r="93" spans="1:23" s="172" customFormat="1" ht="12.75">
      <c r="A93" s="173"/>
      <c r="B93" s="9" t="s">
        <v>11</v>
      </c>
      <c r="D93" s="216">
        <f t="shared" si="74"/>
        <v>103098</v>
      </c>
      <c r="E93" s="172">
        <f t="shared" si="52"/>
        <v>102619.7156230977</v>
      </c>
      <c r="F93" s="236">
        <f t="shared" si="62"/>
        <v>0.0733655284171775</v>
      </c>
      <c r="G93" s="237">
        <f t="shared" si="63"/>
        <v>0.005917360974581287</v>
      </c>
      <c r="H93" s="216">
        <f t="shared" si="72"/>
        <v>6860</v>
      </c>
      <c r="I93" s="172">
        <f t="shared" si="53"/>
        <v>6825.6196565172895</v>
      </c>
      <c r="J93" s="236">
        <f t="shared" si="64"/>
        <v>0.03786912627765398</v>
      </c>
      <c r="K93" s="237">
        <f t="shared" si="65"/>
        <v>0.003102276648612179</v>
      </c>
      <c r="L93" s="216">
        <f t="shared" si="73"/>
        <v>1362</v>
      </c>
      <c r="M93" s="172">
        <f t="shared" si="54"/>
        <v>1378.117024154129</v>
      </c>
      <c r="N93" s="236">
        <f t="shared" si="66"/>
        <v>-0.0105907496293228</v>
      </c>
      <c r="O93" s="237">
        <f t="shared" si="67"/>
        <v>-0.0008868757228078783</v>
      </c>
      <c r="P93" s="216">
        <f t="shared" si="75"/>
        <v>1159</v>
      </c>
      <c r="Q93" s="172">
        <f t="shared" si="55"/>
        <v>1156.3899988042576</v>
      </c>
      <c r="R93" s="236">
        <f t="shared" si="68"/>
        <v>0.025395698341172803</v>
      </c>
      <c r="S93" s="237">
        <f t="shared" si="69"/>
        <v>0.0021163081950977334</v>
      </c>
      <c r="T93" s="216">
        <f t="shared" si="76"/>
        <v>120</v>
      </c>
      <c r="U93" s="172">
        <f t="shared" si="56"/>
        <v>125.33899308777117</v>
      </c>
      <c r="V93" s="236">
        <f t="shared" si="70"/>
        <v>-0.06519242036651368</v>
      </c>
      <c r="W93" s="238">
        <f t="shared" si="71"/>
        <v>-0.005602129888859553</v>
      </c>
    </row>
    <row r="94" spans="1:23" s="172" customFormat="1" ht="12.75">
      <c r="A94" s="173"/>
      <c r="B94" s="9" t="s">
        <v>12</v>
      </c>
      <c r="D94" s="216">
        <f t="shared" si="74"/>
        <v>103554</v>
      </c>
      <c r="E94" s="172">
        <f t="shared" si="52"/>
        <v>102954.5146869293</v>
      </c>
      <c r="F94" s="236">
        <f t="shared" si="62"/>
        <v>0.07153686693669803</v>
      </c>
      <c r="G94" s="237">
        <f t="shared" si="63"/>
        <v>0.005774436670503036</v>
      </c>
      <c r="H94" s="216">
        <f t="shared" si="72"/>
        <v>6838</v>
      </c>
      <c r="I94" s="172">
        <f t="shared" si="53"/>
        <v>6849.685896955187</v>
      </c>
      <c r="J94" s="236">
        <f t="shared" si="64"/>
        <v>0.03849658937746428</v>
      </c>
      <c r="K94" s="237">
        <f t="shared" si="65"/>
        <v>0.0031527996633262667</v>
      </c>
      <c r="L94" s="216">
        <f t="shared" si="73"/>
        <v>1370</v>
      </c>
      <c r="M94" s="172">
        <f t="shared" si="54"/>
        <v>1366.8351072462387</v>
      </c>
      <c r="N94" s="236">
        <f t="shared" si="66"/>
        <v>-0.019248199531116776</v>
      </c>
      <c r="O94" s="237">
        <f t="shared" si="67"/>
        <v>-0.0016183439074447525</v>
      </c>
      <c r="P94" s="216">
        <f t="shared" si="75"/>
        <v>1159</v>
      </c>
      <c r="Q94" s="172">
        <f t="shared" si="55"/>
        <v>1158.2169996412772</v>
      </c>
      <c r="R94" s="236">
        <f t="shared" si="68"/>
        <v>0.025583423408918737</v>
      </c>
      <c r="S94" s="237">
        <f t="shared" si="69"/>
        <v>0.002131951950743228</v>
      </c>
      <c r="T94" s="216">
        <f t="shared" si="76"/>
        <v>120</v>
      </c>
      <c r="U94" s="172">
        <f t="shared" si="56"/>
        <v>121.60169792633135</v>
      </c>
      <c r="V94" s="236">
        <f t="shared" si="70"/>
        <v>-0.09268713051587875</v>
      </c>
      <c r="W94" s="238">
        <f t="shared" si="71"/>
        <v>-0.008072899249532584</v>
      </c>
    </row>
    <row r="95" spans="1:23" s="172" customFormat="1" ht="12.75">
      <c r="A95" s="173"/>
      <c r="B95" s="9" t="s">
        <v>13</v>
      </c>
      <c r="D95" s="216">
        <f t="shared" si="74"/>
        <v>103932</v>
      </c>
      <c r="E95" s="172">
        <f t="shared" si="52"/>
        <v>103374.15440607877</v>
      </c>
      <c r="F95" s="236">
        <f t="shared" si="62"/>
        <v>0.0708813069564562</v>
      </c>
      <c r="G95" s="237">
        <f t="shared" si="63"/>
        <v>0.00572314504390925</v>
      </c>
      <c r="H95" s="216">
        <f t="shared" si="72"/>
        <v>6864</v>
      </c>
      <c r="I95" s="172">
        <f t="shared" si="53"/>
        <v>6841.505769086556</v>
      </c>
      <c r="J95" s="236">
        <f t="shared" si="64"/>
        <v>0.036131589993571654</v>
      </c>
      <c r="K95" s="237">
        <f t="shared" si="65"/>
        <v>0.0029622248378773364</v>
      </c>
      <c r="L95" s="216">
        <f t="shared" si="73"/>
        <v>1353</v>
      </c>
      <c r="M95" s="172">
        <f t="shared" si="54"/>
        <v>1369.0505321738715</v>
      </c>
      <c r="N95" s="236">
        <f t="shared" si="66"/>
        <v>-0.018318995068645393</v>
      </c>
      <c r="O95" s="237">
        <f t="shared" si="67"/>
        <v>-0.0015395524737488175</v>
      </c>
      <c r="P95" s="216">
        <f t="shared" si="75"/>
        <v>1159</v>
      </c>
      <c r="Q95" s="172">
        <f t="shared" si="55"/>
        <v>1158.7650998923832</v>
      </c>
      <c r="R95" s="236">
        <f t="shared" si="68"/>
        <v>0.025639638866596072</v>
      </c>
      <c r="S95" s="237">
        <f t="shared" si="69"/>
        <v>0.0021366365722163393</v>
      </c>
      <c r="T95" s="216">
        <f t="shared" si="76"/>
        <v>120</v>
      </c>
      <c r="U95" s="172">
        <f t="shared" si="56"/>
        <v>120.48050937789941</v>
      </c>
      <c r="V95" s="236">
        <f t="shared" si="70"/>
        <v>-0.11023557097572854</v>
      </c>
      <c r="W95" s="238">
        <f t="shared" si="71"/>
        <v>-0.009685997085624454</v>
      </c>
    </row>
    <row r="96" spans="1:23" s="172" customFormat="1" ht="12.75">
      <c r="A96" s="173"/>
      <c r="B96" s="9" t="s">
        <v>14</v>
      </c>
      <c r="D96" s="216">
        <f t="shared" si="74"/>
        <v>104397</v>
      </c>
      <c r="E96" s="172">
        <f t="shared" si="52"/>
        <v>103764.64632182362</v>
      </c>
      <c r="F96" s="236">
        <f t="shared" si="62"/>
        <v>0.07069391043085717</v>
      </c>
      <c r="G96" s="237">
        <f t="shared" si="63"/>
        <v>0.005708477674478241</v>
      </c>
      <c r="H96" s="216">
        <f t="shared" si="72"/>
        <v>6870</v>
      </c>
      <c r="I96" s="172">
        <f t="shared" si="53"/>
        <v>6857.251730725966</v>
      </c>
      <c r="J96" s="236">
        <f t="shared" si="64"/>
        <v>0.03784857458139586</v>
      </c>
      <c r="K96" s="237">
        <f t="shared" si="65"/>
        <v>0.0031006213628053114</v>
      </c>
      <c r="L96" s="216">
        <f t="shared" si="73"/>
        <v>1351</v>
      </c>
      <c r="M96" s="172">
        <f t="shared" si="54"/>
        <v>1357.8151596521614</v>
      </c>
      <c r="N96" s="236">
        <f t="shared" si="66"/>
        <v>-0.030948420683685866</v>
      </c>
      <c r="O96" s="237">
        <f t="shared" si="67"/>
        <v>-0.0026163579438226447</v>
      </c>
      <c r="P96" s="216">
        <f t="shared" si="75"/>
        <v>1159</v>
      </c>
      <c r="Q96" s="172">
        <f t="shared" si="55"/>
        <v>1158.9295299677149</v>
      </c>
      <c r="R96" s="236">
        <f t="shared" si="68"/>
        <v>0.025656494336058308</v>
      </c>
      <c r="S96" s="237">
        <f t="shared" si="69"/>
        <v>0.0021380411946715257</v>
      </c>
      <c r="T96" s="216">
        <f t="shared" si="76"/>
        <v>120</v>
      </c>
      <c r="U96" s="172">
        <f t="shared" si="56"/>
        <v>120.14415281336983</v>
      </c>
      <c r="V96" s="236">
        <f t="shared" si="70"/>
        <v>-0.024979329888094984</v>
      </c>
      <c r="W96" s="238">
        <f t="shared" si="71"/>
        <v>-0.0021058302961938224</v>
      </c>
    </row>
    <row r="97" spans="1:23" s="172" customFormat="1" ht="12.75">
      <c r="A97" s="173"/>
      <c r="B97" s="9" t="s">
        <v>15</v>
      </c>
      <c r="D97" s="216">
        <f t="shared" si="74"/>
        <v>104872</v>
      </c>
      <c r="E97" s="172">
        <f t="shared" si="52"/>
        <v>104207.29389654708</v>
      </c>
      <c r="F97" s="236">
        <f t="shared" si="62"/>
        <v>0.06836610661973323</v>
      </c>
      <c r="G97" s="237">
        <f t="shared" si="63"/>
        <v>0.005526085982164419</v>
      </c>
      <c r="H97" s="216">
        <f t="shared" si="72"/>
        <v>6891</v>
      </c>
      <c r="I97" s="172">
        <f t="shared" si="53"/>
        <v>6866.17551921779</v>
      </c>
      <c r="J97" s="236">
        <f t="shared" si="64"/>
        <v>0.03833887325540864</v>
      </c>
      <c r="K97" s="237">
        <f t="shared" si="65"/>
        <v>0.003140103073465239</v>
      </c>
      <c r="L97" s="216">
        <f t="shared" si="73"/>
        <v>1354</v>
      </c>
      <c r="M97" s="172">
        <f t="shared" si="54"/>
        <v>1353.0445478956483</v>
      </c>
      <c r="N97" s="236">
        <f t="shared" si="66"/>
        <v>-0.0323326753623891</v>
      </c>
      <c r="O97" s="237">
        <f t="shared" si="67"/>
        <v>-0.0027351629130111244</v>
      </c>
      <c r="P97" s="216">
        <f t="shared" si="75"/>
        <v>1159</v>
      </c>
      <c r="Q97" s="172">
        <f t="shared" si="55"/>
        <v>1158.9788589903144</v>
      </c>
      <c r="R97" s="236">
        <f t="shared" si="68"/>
        <v>0.02566155015227075</v>
      </c>
      <c r="S97" s="237">
        <f t="shared" si="69"/>
        <v>0.002138462512689229</v>
      </c>
      <c r="T97" s="216">
        <f t="shared" si="76"/>
        <v>120</v>
      </c>
      <c r="U97" s="172">
        <f t="shared" si="56"/>
        <v>120.04324584401095</v>
      </c>
      <c r="V97" s="236">
        <f t="shared" si="70"/>
        <v>0.003986043888721791</v>
      </c>
      <c r="W97" s="238">
        <f t="shared" si="71"/>
        <v>0.0003315650108379753</v>
      </c>
    </row>
    <row r="98" spans="1:23" s="172" customFormat="1" ht="12.75">
      <c r="A98" s="173"/>
      <c r="B98" s="9" t="s">
        <v>16</v>
      </c>
      <c r="D98" s="216">
        <f t="shared" si="74"/>
        <v>105326</v>
      </c>
      <c r="E98" s="172">
        <f t="shared" si="52"/>
        <v>104672.58816896411</v>
      </c>
      <c r="F98" s="236">
        <f t="shared" si="62"/>
        <v>0.06720793957668002</v>
      </c>
      <c r="G98" s="237">
        <f t="shared" si="63"/>
        <v>0.0054352037311877766</v>
      </c>
      <c r="H98" s="216">
        <f t="shared" si="72"/>
        <v>6895</v>
      </c>
      <c r="I98" s="172">
        <f t="shared" si="53"/>
        <v>6883.552655765337</v>
      </c>
      <c r="J98" s="236">
        <f t="shared" si="64"/>
        <v>0.04236298377753093</v>
      </c>
      <c r="K98" s="237">
        <f t="shared" si="65"/>
        <v>0.003463503751080621</v>
      </c>
      <c r="L98" s="216">
        <f t="shared" si="73"/>
        <v>1359</v>
      </c>
      <c r="M98" s="172">
        <f t="shared" si="54"/>
        <v>1353.7133643686943</v>
      </c>
      <c r="N98" s="236">
        <f t="shared" si="66"/>
        <v>-0.03655516192330192</v>
      </c>
      <c r="O98" s="237">
        <f t="shared" si="67"/>
        <v>-0.003098526658125711</v>
      </c>
      <c r="P98" s="216">
        <f t="shared" si="75"/>
        <v>1159</v>
      </c>
      <c r="Q98" s="172">
        <f t="shared" si="55"/>
        <v>1158.9936576970942</v>
      </c>
      <c r="R98" s="236">
        <f t="shared" si="68"/>
        <v>0.025663066822931176</v>
      </c>
      <c r="S98" s="237">
        <f t="shared" si="69"/>
        <v>0.002138588901910931</v>
      </c>
      <c r="T98" s="216">
        <f t="shared" si="76"/>
        <v>120</v>
      </c>
      <c r="U98" s="172">
        <f t="shared" si="56"/>
        <v>120.01297375320328</v>
      </c>
      <c r="V98" s="236">
        <f t="shared" si="70"/>
        <v>0.013024220858201742</v>
      </c>
      <c r="W98" s="238">
        <f t="shared" si="71"/>
        <v>0.0010789262066108751</v>
      </c>
    </row>
    <row r="99" spans="1:23" s="172" customFormat="1" ht="12.75">
      <c r="A99" s="173"/>
      <c r="B99" s="9" t="s">
        <v>17</v>
      </c>
      <c r="D99" s="216">
        <f t="shared" si="74"/>
        <v>106046</v>
      </c>
      <c r="E99" s="172">
        <f t="shared" si="52"/>
        <v>105129.97645068922</v>
      </c>
      <c r="F99" s="236">
        <f t="shared" si="62"/>
        <v>0.06465119000752573</v>
      </c>
      <c r="G99" s="237">
        <f t="shared" si="63"/>
        <v>0.005234253120998789</v>
      </c>
      <c r="H99" s="216">
        <f t="shared" si="72"/>
        <v>6931</v>
      </c>
      <c r="I99" s="172">
        <f t="shared" si="53"/>
        <v>6891.565796729601</v>
      </c>
      <c r="J99" s="236">
        <f t="shared" si="64"/>
        <v>0.03838076510472603</v>
      </c>
      <c r="K99" s="237">
        <f t="shared" si="65"/>
        <v>0.003143475657155559</v>
      </c>
      <c r="L99" s="216">
        <f t="shared" si="73"/>
        <v>1366</v>
      </c>
      <c r="M99" s="172">
        <f t="shared" si="54"/>
        <v>1357.4140093106082</v>
      </c>
      <c r="N99" s="236">
        <f t="shared" si="66"/>
        <v>-0.041051146618958846</v>
      </c>
      <c r="O99" s="237">
        <f t="shared" si="67"/>
        <v>-0.0034870343589114006</v>
      </c>
      <c r="P99" s="216">
        <f t="shared" si="75"/>
        <v>1159</v>
      </c>
      <c r="Q99" s="172">
        <f t="shared" si="55"/>
        <v>1158.9980973091283</v>
      </c>
      <c r="R99" s="236">
        <f t="shared" si="68"/>
        <v>0.025663521817451324</v>
      </c>
      <c r="S99" s="237">
        <f t="shared" si="69"/>
        <v>0.0021386268181209436</v>
      </c>
      <c r="T99" s="216">
        <f t="shared" si="76"/>
        <v>120</v>
      </c>
      <c r="U99" s="172">
        <f t="shared" si="56"/>
        <v>120.00389212596099</v>
      </c>
      <c r="V99" s="236">
        <f t="shared" si="70"/>
        <v>0.009785291507659768</v>
      </c>
      <c r="W99" s="238">
        <f t="shared" si="71"/>
        <v>0.000811806469027454</v>
      </c>
    </row>
    <row r="100" spans="1:23" s="172" customFormat="1" ht="12.75">
      <c r="A100" s="173"/>
      <c r="B100" s="9" t="s">
        <v>51</v>
      </c>
      <c r="D100" s="216">
        <f t="shared" si="74"/>
        <v>106556</v>
      </c>
      <c r="E100" s="172">
        <f t="shared" si="52"/>
        <v>105771.19293520677</v>
      </c>
      <c r="F100" s="236">
        <f t="shared" si="62"/>
        <v>0.062027155039100605</v>
      </c>
      <c r="G100" s="237">
        <f t="shared" si="63"/>
        <v>0.00502755363165841</v>
      </c>
      <c r="H100" s="216">
        <f t="shared" si="72"/>
        <v>6940</v>
      </c>
      <c r="I100" s="172">
        <f t="shared" si="53"/>
        <v>6919.16973901888</v>
      </c>
      <c r="J100" s="236">
        <f t="shared" si="64"/>
        <v>0.03661830409760296</v>
      </c>
      <c r="K100" s="237">
        <f t="shared" si="65"/>
        <v>0.003001477477036163</v>
      </c>
      <c r="L100" s="216">
        <f t="shared" si="73"/>
        <v>1364</v>
      </c>
      <c r="M100" s="172">
        <f t="shared" si="54"/>
        <v>1363.4242027931823</v>
      </c>
      <c r="N100" s="236">
        <f t="shared" si="66"/>
        <v>-0.023514764260148688</v>
      </c>
      <c r="O100" s="237">
        <f t="shared" si="67"/>
        <v>-0.0019810059083421594</v>
      </c>
      <c r="P100" s="216">
        <f t="shared" si="75"/>
        <v>1159</v>
      </c>
      <c r="Q100" s="172">
        <f t="shared" si="55"/>
        <v>1158.9994291927385</v>
      </c>
      <c r="R100" s="236">
        <f t="shared" si="68"/>
        <v>0.025663658315206343</v>
      </c>
      <c r="S100" s="237">
        <f t="shared" si="69"/>
        <v>0.002138638192933862</v>
      </c>
      <c r="T100" s="216">
        <f t="shared" si="76"/>
        <v>120</v>
      </c>
      <c r="U100" s="172">
        <f t="shared" si="56"/>
        <v>120.00116763778828</v>
      </c>
      <c r="V100" s="236">
        <f t="shared" si="70"/>
        <v>0.014789295015394796</v>
      </c>
      <c r="W100" s="238">
        <f t="shared" si="71"/>
        <v>0.001224165331594751</v>
      </c>
    </row>
    <row r="101" spans="1:23" s="172" customFormat="1" ht="12.75">
      <c r="A101" s="173"/>
      <c r="B101" s="9" t="s">
        <v>19</v>
      </c>
      <c r="D101" s="216">
        <f t="shared" si="74"/>
        <v>107280</v>
      </c>
      <c r="E101" s="172">
        <f t="shared" si="52"/>
        <v>106320.55788056203</v>
      </c>
      <c r="F101" s="236">
        <f t="shared" si="62"/>
        <v>0.06023792951812659</v>
      </c>
      <c r="G101" s="237">
        <f t="shared" si="63"/>
        <v>0.004886344830962175</v>
      </c>
      <c r="H101" s="216">
        <f t="shared" si="72"/>
        <v>6965</v>
      </c>
      <c r="I101" s="172">
        <f t="shared" si="53"/>
        <v>6933.750921705664</v>
      </c>
      <c r="J101" s="236">
        <f t="shared" si="64"/>
        <v>0.03573448572094107</v>
      </c>
      <c r="K101" s="237">
        <f t="shared" si="65"/>
        <v>0.002930186551795444</v>
      </c>
      <c r="L101" s="216">
        <f t="shared" si="73"/>
        <v>1360</v>
      </c>
      <c r="M101" s="172">
        <f t="shared" si="54"/>
        <v>1363.8272608379546</v>
      </c>
      <c r="N101" s="236">
        <f t="shared" si="66"/>
        <v>-0.013204614856509601</v>
      </c>
      <c r="O101" s="237">
        <f t="shared" si="67"/>
        <v>-0.0011071009548254684</v>
      </c>
      <c r="P101" s="216">
        <f t="shared" si="75"/>
        <v>1159</v>
      </c>
      <c r="Q101" s="172">
        <f t="shared" si="55"/>
        <v>1158.9998287578214</v>
      </c>
      <c r="R101" s="236">
        <f t="shared" si="68"/>
        <v>0.025663699264478635</v>
      </c>
      <c r="S101" s="237">
        <f t="shared" si="69"/>
        <v>0.0021386416053732196</v>
      </c>
      <c r="T101" s="216">
        <f t="shared" si="76"/>
        <v>117</v>
      </c>
      <c r="U101" s="172">
        <f t="shared" si="56"/>
        <v>120.00035029133647</v>
      </c>
      <c r="V101" s="236">
        <f t="shared" si="70"/>
        <v>-0.007241650972643978</v>
      </c>
      <c r="W101" s="238">
        <f t="shared" si="71"/>
        <v>-0.0006054832048757453</v>
      </c>
    </row>
    <row r="102" spans="1:23" s="172" customFormat="1" ht="13.5" thickBot="1">
      <c r="A102" s="180"/>
      <c r="B102" s="178" t="s">
        <v>20</v>
      </c>
      <c r="C102" s="179"/>
      <c r="D102" s="219">
        <f>V14</f>
        <v>107609</v>
      </c>
      <c r="E102" s="179">
        <f t="shared" si="52"/>
        <v>106992.1673641686</v>
      </c>
      <c r="F102" s="239">
        <f t="shared" si="62"/>
        <v>0.058247392904945725</v>
      </c>
      <c r="G102" s="240">
        <f t="shared" si="63"/>
        <v>0.004728991287228146</v>
      </c>
      <c r="H102" s="219">
        <f t="shared" si="72"/>
        <v>6991</v>
      </c>
      <c r="I102" s="179">
        <f t="shared" si="53"/>
        <v>6955.625276511699</v>
      </c>
      <c r="J102" s="239">
        <f t="shared" si="64"/>
        <v>0.030866546367313123</v>
      </c>
      <c r="K102" s="240">
        <f t="shared" si="65"/>
        <v>0.0025365245231749878</v>
      </c>
      <c r="L102" s="219">
        <f t="shared" si="73"/>
        <v>1369</v>
      </c>
      <c r="M102" s="179">
        <f t="shared" si="54"/>
        <v>1361.1481782513863</v>
      </c>
      <c r="N102" s="239">
        <f t="shared" si="66"/>
        <v>-0.013105159236228653</v>
      </c>
      <c r="O102" s="240">
        <f t="shared" si="67"/>
        <v>-0.0010987117685165027</v>
      </c>
      <c r="P102" s="219">
        <f t="shared" si="75"/>
        <v>1159</v>
      </c>
      <c r="Q102" s="179">
        <f t="shared" si="55"/>
        <v>1158.9999486273464</v>
      </c>
      <c r="R102" s="239">
        <f t="shared" si="68"/>
        <v>0.025663711549255473</v>
      </c>
      <c r="S102" s="240">
        <f t="shared" si="69"/>
        <v>0.0021386426291046226</v>
      </c>
      <c r="T102" s="219">
        <f t="shared" si="76"/>
        <v>118</v>
      </c>
      <c r="U102" s="179">
        <f t="shared" si="56"/>
        <v>117.90010508740093</v>
      </c>
      <c r="V102" s="239">
        <f t="shared" si="70"/>
        <v>-0.025318562590038167</v>
      </c>
      <c r="W102" s="241">
        <f t="shared" si="71"/>
        <v>-0.002134767488642053</v>
      </c>
    </row>
    <row r="103" spans="1:23" s="172" customFormat="1" ht="12.75">
      <c r="A103" s="170">
        <v>2006</v>
      </c>
      <c r="B103" s="34" t="s">
        <v>9</v>
      </c>
      <c r="C103" s="169"/>
      <c r="D103" s="214">
        <f>AE3</f>
        <v>108069</v>
      </c>
      <c r="E103" s="169">
        <f t="shared" si="52"/>
        <v>107423.95020925057</v>
      </c>
      <c r="F103" s="242">
        <f t="shared" si="62"/>
        <v>0.05545295282275498</v>
      </c>
      <c r="G103" s="243">
        <f t="shared" si="63"/>
        <v>0.004507630100701654</v>
      </c>
      <c r="H103" s="214">
        <f aca="true" t="shared" si="77" ref="H103:H114">AG3</f>
        <v>7029</v>
      </c>
      <c r="I103" s="169">
        <f t="shared" si="53"/>
        <v>6980.38758295351</v>
      </c>
      <c r="J103" s="242">
        <f t="shared" si="64"/>
        <v>0.02923579349352935</v>
      </c>
      <c r="K103" s="243">
        <f t="shared" si="65"/>
        <v>0.002404267192525067</v>
      </c>
      <c r="L103" s="214">
        <f aca="true" t="shared" si="78" ref="L103:L114">AH3</f>
        <v>1381</v>
      </c>
      <c r="M103" s="169">
        <f t="shared" si="54"/>
        <v>1366.644453475416</v>
      </c>
      <c r="N103" s="242">
        <f t="shared" si="66"/>
        <v>-0.007496535543257877</v>
      </c>
      <c r="O103" s="243">
        <f t="shared" si="67"/>
        <v>-0.0006268680852484776</v>
      </c>
      <c r="P103" s="214">
        <f>AF3</f>
        <v>1207</v>
      </c>
      <c r="Q103" s="169">
        <f t="shared" si="55"/>
        <v>1158.999984588204</v>
      </c>
      <c r="R103" s="242">
        <f t="shared" si="68"/>
        <v>0.02566371523468823</v>
      </c>
      <c r="S103" s="243">
        <f t="shared" si="69"/>
        <v>0.0021386429362240194</v>
      </c>
      <c r="T103" s="214">
        <f>AI3</f>
        <v>119</v>
      </c>
      <c r="U103" s="169">
        <f t="shared" si="56"/>
        <v>117.97003152622028</v>
      </c>
      <c r="V103" s="242">
        <f t="shared" si="70"/>
        <v>-0.024950906683601975</v>
      </c>
      <c r="W103" s="244">
        <f t="shared" si="71"/>
        <v>-0.0021034061620224254</v>
      </c>
    </row>
    <row r="104" spans="1:23" s="172" customFormat="1" ht="12.75">
      <c r="A104" s="173"/>
      <c r="B104" s="9" t="s">
        <v>10</v>
      </c>
      <c r="D104" s="216">
        <f aca="true" t="shared" si="79" ref="D104:D114">AE4</f>
        <v>108299</v>
      </c>
      <c r="E104" s="172">
        <f t="shared" si="52"/>
        <v>107875.48506277516</v>
      </c>
      <c r="F104" s="236">
        <f t="shared" si="62"/>
        <v>0.05544652358706516</v>
      </c>
      <c r="G104" s="237">
        <f t="shared" si="63"/>
        <v>0.004507120190531566</v>
      </c>
      <c r="H104" s="216">
        <f t="shared" si="77"/>
        <v>7051</v>
      </c>
      <c r="I104" s="172">
        <f t="shared" si="53"/>
        <v>7014.416274886053</v>
      </c>
      <c r="J104" s="236">
        <f t="shared" si="64"/>
        <v>0.029906342058533753</v>
      </c>
      <c r="K104" s="237">
        <f t="shared" si="65"/>
        <v>0.002458673264182032</v>
      </c>
      <c r="L104" s="216">
        <f t="shared" si="78"/>
        <v>1378</v>
      </c>
      <c r="M104" s="172">
        <f t="shared" si="54"/>
        <v>1376.6933360426247</v>
      </c>
      <c r="N104" s="236">
        <f t="shared" si="66"/>
        <v>-0.0012309610284676287</v>
      </c>
      <c r="O104" s="237">
        <f t="shared" si="67"/>
        <v>-0.00010263800596888029</v>
      </c>
      <c r="P104" s="216">
        <f aca="true" t="shared" si="80" ref="P104:P114">AF4</f>
        <v>1207</v>
      </c>
      <c r="Q104" s="172">
        <f t="shared" si="55"/>
        <v>1192.5999953764613</v>
      </c>
      <c r="R104" s="236">
        <f t="shared" si="68"/>
        <v>0.03677301530804054</v>
      </c>
      <c r="S104" s="237">
        <f t="shared" si="69"/>
        <v>0.0030644179423367115</v>
      </c>
      <c r="T104" s="216">
        <f aca="true" t="shared" si="81" ref="T104:T114">AI4</f>
        <v>118</v>
      </c>
      <c r="U104" s="172">
        <f t="shared" si="56"/>
        <v>118.69100945786607</v>
      </c>
      <c r="V104" s="236">
        <f t="shared" si="70"/>
        <v>-0.04124210494321964</v>
      </c>
      <c r="W104" s="238">
        <f t="shared" si="71"/>
        <v>-0.003503572416477807</v>
      </c>
    </row>
    <row r="105" spans="1:23" s="172" customFormat="1" ht="12.75">
      <c r="A105" s="173"/>
      <c r="B105" s="9" t="s">
        <v>11</v>
      </c>
      <c r="D105" s="216">
        <f t="shared" si="79"/>
        <v>108662</v>
      </c>
      <c r="E105" s="172">
        <f t="shared" si="52"/>
        <v>108171.94551883254</v>
      </c>
      <c r="F105" s="236">
        <f t="shared" si="62"/>
        <v>0.05410490432586173</v>
      </c>
      <c r="G105" s="237">
        <f t="shared" si="63"/>
        <v>0.004400652464464416</v>
      </c>
      <c r="H105" s="216">
        <f t="shared" si="77"/>
        <v>7047</v>
      </c>
      <c r="I105" s="172">
        <f t="shared" si="53"/>
        <v>7040.024882465816</v>
      </c>
      <c r="J105" s="236">
        <f t="shared" si="64"/>
        <v>0.03141183317236349</v>
      </c>
      <c r="K105" s="237">
        <f t="shared" si="65"/>
        <v>0.0025807055935027634</v>
      </c>
      <c r="L105" s="216">
        <f t="shared" si="78"/>
        <v>1396</v>
      </c>
      <c r="M105" s="172">
        <f t="shared" si="54"/>
        <v>1377.6080008127874</v>
      </c>
      <c r="N105" s="236">
        <f t="shared" si="66"/>
        <v>-0.0003693614783215158</v>
      </c>
      <c r="O105" s="237">
        <f t="shared" si="67"/>
        <v>-3.078533521139182E-05</v>
      </c>
      <c r="P105" s="216">
        <f t="shared" si="80"/>
        <v>1207</v>
      </c>
      <c r="Q105" s="172">
        <f t="shared" si="55"/>
        <v>1202.6799986129383</v>
      </c>
      <c r="R105" s="236">
        <f t="shared" si="68"/>
        <v>0.040029747625408355</v>
      </c>
      <c r="S105" s="237">
        <f t="shared" si="69"/>
        <v>0.003335812302117363</v>
      </c>
      <c r="T105" s="216">
        <f t="shared" si="81"/>
        <v>118</v>
      </c>
      <c r="U105" s="172">
        <f t="shared" si="56"/>
        <v>118.2073028373598</v>
      </c>
      <c r="V105" s="236">
        <f t="shared" si="70"/>
        <v>-0.05689921448002424</v>
      </c>
      <c r="W105" s="238">
        <f t="shared" si="71"/>
        <v>-0.004869946878354403</v>
      </c>
    </row>
    <row r="106" spans="1:23" s="172" customFormat="1" ht="12.75">
      <c r="A106" s="173"/>
      <c r="B106" s="9" t="s">
        <v>12</v>
      </c>
      <c r="D106" s="216">
        <f t="shared" si="79"/>
        <v>108948</v>
      </c>
      <c r="E106" s="172">
        <f t="shared" si="52"/>
        <v>108514.98365564976</v>
      </c>
      <c r="F106" s="236">
        <f t="shared" si="62"/>
        <v>0.05400898625600924</v>
      </c>
      <c r="G106" s="237">
        <f t="shared" si="63"/>
        <v>0.0043930358767050315</v>
      </c>
      <c r="H106" s="216">
        <f t="shared" si="77"/>
        <v>7042</v>
      </c>
      <c r="I106" s="172">
        <f t="shared" si="53"/>
        <v>7044.907464739745</v>
      </c>
      <c r="J106" s="236">
        <f t="shared" si="64"/>
        <v>0.028500805835686212</v>
      </c>
      <c r="K106" s="237">
        <f t="shared" si="65"/>
        <v>0.002344595409873307</v>
      </c>
      <c r="L106" s="216">
        <f t="shared" si="78"/>
        <v>1398</v>
      </c>
      <c r="M106" s="172">
        <f t="shared" si="54"/>
        <v>1390.482400243836</v>
      </c>
      <c r="N106" s="236">
        <f t="shared" si="66"/>
        <v>0.0173007650097893</v>
      </c>
      <c r="O106" s="237">
        <f t="shared" si="67"/>
        <v>0.0014304229818538072</v>
      </c>
      <c r="P106" s="216">
        <f t="shared" si="80"/>
        <v>1207</v>
      </c>
      <c r="Q106" s="172">
        <f t="shared" si="55"/>
        <v>1205.7039995838813</v>
      </c>
      <c r="R106" s="236">
        <f t="shared" si="68"/>
        <v>0.04100008889293786</v>
      </c>
      <c r="S106" s="237">
        <f t="shared" si="69"/>
        <v>0.0034166740744114884</v>
      </c>
      <c r="T106" s="216">
        <f t="shared" si="81"/>
        <v>118</v>
      </c>
      <c r="U106" s="172">
        <f t="shared" si="56"/>
        <v>118.06219085120793</v>
      </c>
      <c r="V106" s="236">
        <f t="shared" si="70"/>
        <v>-0.029107382014252184</v>
      </c>
      <c r="W106" s="238">
        <f t="shared" si="71"/>
        <v>-0.002458589863699734</v>
      </c>
    </row>
    <row r="107" spans="1:23" s="172" customFormat="1" ht="12.75">
      <c r="A107" s="173"/>
      <c r="B107" s="9" t="s">
        <v>13</v>
      </c>
      <c r="D107" s="216">
        <f t="shared" si="79"/>
        <v>109247</v>
      </c>
      <c r="E107" s="172">
        <f t="shared" si="52"/>
        <v>108818.09509669492</v>
      </c>
      <c r="F107" s="236">
        <f t="shared" si="62"/>
        <v>0.052662493075696905</v>
      </c>
      <c r="G107" s="237">
        <f t="shared" si="63"/>
        <v>0.0042860474718744435</v>
      </c>
      <c r="H107" s="216">
        <f t="shared" si="77"/>
        <v>7046</v>
      </c>
      <c r="I107" s="172">
        <f t="shared" si="53"/>
        <v>7042.872239421923</v>
      </c>
      <c r="J107" s="236">
        <f t="shared" si="64"/>
        <v>0.02943306300277409</v>
      </c>
      <c r="K107" s="237">
        <f t="shared" si="65"/>
        <v>0.0024202763543750283</v>
      </c>
      <c r="L107" s="216">
        <f t="shared" si="78"/>
        <v>1412</v>
      </c>
      <c r="M107" s="172">
        <f t="shared" si="54"/>
        <v>1395.7447200731508</v>
      </c>
      <c r="N107" s="236">
        <f t="shared" si="66"/>
        <v>0.01949832184564617</v>
      </c>
      <c r="O107" s="237">
        <f t="shared" si="67"/>
        <v>0.0016105175739020705</v>
      </c>
      <c r="P107" s="216">
        <f t="shared" si="80"/>
        <v>1207</v>
      </c>
      <c r="Q107" s="172">
        <f t="shared" si="55"/>
        <v>1206.6111998751644</v>
      </c>
      <c r="R107" s="236">
        <f t="shared" si="68"/>
        <v>0.041290594605606225</v>
      </c>
      <c r="S107" s="237">
        <f t="shared" si="69"/>
        <v>0.0034408828838005186</v>
      </c>
      <c r="T107" s="216">
        <f t="shared" si="81"/>
        <v>118</v>
      </c>
      <c r="U107" s="172">
        <f t="shared" si="56"/>
        <v>118.01865725536237</v>
      </c>
      <c r="V107" s="236">
        <f t="shared" si="70"/>
        <v>-0.020433613164891163</v>
      </c>
      <c r="W107" s="238">
        <f t="shared" si="71"/>
        <v>-0.0017189598637378234</v>
      </c>
    </row>
    <row r="108" spans="1:23" s="172" customFormat="1" ht="12.75">
      <c r="A108" s="173"/>
      <c r="B108" s="9" t="s">
        <v>14</v>
      </c>
      <c r="D108" s="216">
        <f t="shared" si="79"/>
        <v>109426</v>
      </c>
      <c r="E108" s="172">
        <f t="shared" si="52"/>
        <v>109118.32852900846</v>
      </c>
      <c r="F108" s="236">
        <f t="shared" si="62"/>
        <v>0.051594472654785756</v>
      </c>
      <c r="G108" s="237">
        <f t="shared" si="63"/>
        <v>0.004201096445506591</v>
      </c>
      <c r="H108" s="216">
        <f t="shared" si="77"/>
        <v>7046</v>
      </c>
      <c r="I108" s="172">
        <f t="shared" si="53"/>
        <v>7045.0616718265765</v>
      </c>
      <c r="J108" s="236">
        <f t="shared" si="64"/>
        <v>0.027388514885500263</v>
      </c>
      <c r="K108" s="237">
        <f t="shared" si="65"/>
        <v>0.0022542169496733155</v>
      </c>
      <c r="L108" s="216">
        <f t="shared" si="78"/>
        <v>1420</v>
      </c>
      <c r="M108" s="172">
        <f t="shared" si="54"/>
        <v>1407.123416021945</v>
      </c>
      <c r="N108" s="236">
        <f t="shared" si="66"/>
        <v>0.03631440996903828</v>
      </c>
      <c r="O108" s="237">
        <f t="shared" si="67"/>
        <v>0.0029769709299953817</v>
      </c>
      <c r="P108" s="216">
        <f t="shared" si="80"/>
        <v>1207</v>
      </c>
      <c r="Q108" s="172">
        <f t="shared" si="55"/>
        <v>1206.8833599625493</v>
      </c>
      <c r="R108" s="236">
        <f t="shared" si="68"/>
        <v>0.041377692736995264</v>
      </c>
      <c r="S108" s="237">
        <f t="shared" si="69"/>
        <v>0.003448141061416272</v>
      </c>
      <c r="T108" s="216">
        <f t="shared" si="81"/>
        <v>118</v>
      </c>
      <c r="U108" s="172">
        <f t="shared" si="56"/>
        <v>118.0055971766087</v>
      </c>
      <c r="V108" s="236">
        <f t="shared" si="70"/>
        <v>-0.017799914408511638</v>
      </c>
      <c r="W108" s="238">
        <f t="shared" si="71"/>
        <v>-0.00149556704283349</v>
      </c>
    </row>
    <row r="109" spans="1:23" s="172" customFormat="1" ht="12.75">
      <c r="A109" s="173"/>
      <c r="B109" s="9" t="s">
        <v>15</v>
      </c>
      <c r="D109" s="216">
        <f t="shared" si="79"/>
        <v>109726</v>
      </c>
      <c r="E109" s="172">
        <f t="shared" si="52"/>
        <v>109333.69855870254</v>
      </c>
      <c r="F109" s="236">
        <f t="shared" si="62"/>
        <v>0.049194297927405664</v>
      </c>
      <c r="G109" s="237">
        <f t="shared" si="63"/>
        <v>0.004009896064739227</v>
      </c>
      <c r="H109" s="216">
        <f t="shared" si="77"/>
        <v>7054</v>
      </c>
      <c r="I109" s="172">
        <f t="shared" si="53"/>
        <v>7045.718501547973</v>
      </c>
      <c r="J109" s="236">
        <f t="shared" si="64"/>
        <v>0.026148906596934307</v>
      </c>
      <c r="K109" s="237">
        <f t="shared" si="65"/>
        <v>0.0021533876622021886</v>
      </c>
      <c r="L109" s="216">
        <f t="shared" si="78"/>
        <v>1399</v>
      </c>
      <c r="M109" s="172">
        <f t="shared" si="54"/>
        <v>1416.1370248065834</v>
      </c>
      <c r="N109" s="236">
        <f t="shared" si="66"/>
        <v>0.04663000712656585</v>
      </c>
      <c r="O109" s="237">
        <f t="shared" si="67"/>
        <v>0.0038051785118236037</v>
      </c>
      <c r="P109" s="216">
        <f t="shared" si="80"/>
        <v>1207</v>
      </c>
      <c r="Q109" s="172">
        <f t="shared" si="55"/>
        <v>1206.9650079887647</v>
      </c>
      <c r="R109" s="236">
        <f t="shared" si="68"/>
        <v>0.04140381735716485</v>
      </c>
      <c r="S109" s="237">
        <f t="shared" si="69"/>
        <v>0.0034503181130970707</v>
      </c>
      <c r="T109" s="216">
        <f t="shared" si="81"/>
        <v>119</v>
      </c>
      <c r="U109" s="172">
        <f t="shared" si="56"/>
        <v>118.0016791529826</v>
      </c>
      <c r="V109" s="236">
        <f t="shared" si="70"/>
        <v>-0.017006926767718734</v>
      </c>
      <c r="W109" s="238">
        <f t="shared" si="71"/>
        <v>-0.0014284126310610823</v>
      </c>
    </row>
    <row r="110" spans="1:23" s="172" customFormat="1" ht="12.75">
      <c r="A110" s="173"/>
      <c r="B110" s="9" t="s">
        <v>16</v>
      </c>
      <c r="D110" s="216">
        <f t="shared" si="79"/>
        <v>110151</v>
      </c>
      <c r="E110" s="172">
        <f t="shared" si="52"/>
        <v>109608.30956761076</v>
      </c>
      <c r="F110" s="236">
        <f t="shared" si="62"/>
        <v>0.047153906146653546</v>
      </c>
      <c r="G110" s="237">
        <f t="shared" si="63"/>
        <v>0.003847040801014723</v>
      </c>
      <c r="H110" s="216">
        <f t="shared" si="77"/>
        <v>7065</v>
      </c>
      <c r="I110" s="172">
        <f t="shared" si="53"/>
        <v>7051.515550464391</v>
      </c>
      <c r="J110" s="236">
        <f t="shared" si="64"/>
        <v>0.024400611588025915</v>
      </c>
      <c r="K110" s="237">
        <f t="shared" si="65"/>
        <v>0.0020109920346682575</v>
      </c>
      <c r="L110" s="216">
        <f t="shared" si="78"/>
        <v>1406</v>
      </c>
      <c r="M110" s="172">
        <f t="shared" si="54"/>
        <v>1404.141107441975</v>
      </c>
      <c r="N110" s="236">
        <f t="shared" si="66"/>
        <v>0.03725141850601269</v>
      </c>
      <c r="O110" s="237">
        <f t="shared" si="67"/>
        <v>0.0030525117709609972</v>
      </c>
      <c r="P110" s="216">
        <f t="shared" si="80"/>
        <v>1207</v>
      </c>
      <c r="Q110" s="172">
        <f t="shared" si="55"/>
        <v>1206.9895023966294</v>
      </c>
      <c r="R110" s="236">
        <f t="shared" si="68"/>
        <v>0.041411654309569126</v>
      </c>
      <c r="S110" s="237">
        <f t="shared" si="69"/>
        <v>0.003450971192464094</v>
      </c>
      <c r="T110" s="216">
        <f t="shared" si="81"/>
        <v>119</v>
      </c>
      <c r="U110" s="172">
        <f t="shared" si="56"/>
        <v>118.70050374589478</v>
      </c>
      <c r="V110" s="236">
        <f t="shared" si="70"/>
        <v>-0.010936067712208272</v>
      </c>
      <c r="W110" s="238">
        <f t="shared" si="71"/>
        <v>-0.0009159391117810056</v>
      </c>
    </row>
    <row r="111" spans="1:23" s="172" customFormat="1" ht="12.75">
      <c r="A111" s="173"/>
      <c r="B111" s="9" t="s">
        <v>17</v>
      </c>
      <c r="D111" s="216">
        <f t="shared" si="79"/>
        <v>110556</v>
      </c>
      <c r="E111" s="172">
        <f t="shared" si="52"/>
        <v>109988.19287028322</v>
      </c>
      <c r="F111" s="236">
        <f t="shared" si="62"/>
        <v>0.04621152390224994</v>
      </c>
      <c r="G111" s="237">
        <f t="shared" si="63"/>
        <v>0.003771725697607531</v>
      </c>
      <c r="H111" s="216">
        <f t="shared" si="77"/>
        <v>7074</v>
      </c>
      <c r="I111" s="172">
        <f t="shared" si="53"/>
        <v>7060.9546651393175</v>
      </c>
      <c r="J111" s="236">
        <f t="shared" si="64"/>
        <v>0.024579155652856146</v>
      </c>
      <c r="K111" s="237">
        <f t="shared" si="65"/>
        <v>0.002025544351382802</v>
      </c>
      <c r="L111" s="216">
        <f t="shared" si="78"/>
        <v>1410</v>
      </c>
      <c r="M111" s="172">
        <f t="shared" si="54"/>
        <v>1405.4423322325924</v>
      </c>
      <c r="N111" s="236">
        <f t="shared" si="66"/>
        <v>0.03538222133597725</v>
      </c>
      <c r="O111" s="237">
        <f t="shared" si="67"/>
        <v>0.002901756512092568</v>
      </c>
      <c r="P111" s="216">
        <f t="shared" si="80"/>
        <v>1207</v>
      </c>
      <c r="Q111" s="172">
        <f t="shared" si="55"/>
        <v>1206.9968507189888</v>
      </c>
      <c r="R111" s="236">
        <f t="shared" si="68"/>
        <v>0.04141400535626437</v>
      </c>
      <c r="S111" s="237">
        <f t="shared" si="69"/>
        <v>0.0034511671130220307</v>
      </c>
      <c r="T111" s="216">
        <f t="shared" si="81"/>
        <v>120</v>
      </c>
      <c r="U111" s="172">
        <f t="shared" si="56"/>
        <v>118.91015112376843</v>
      </c>
      <c r="V111" s="236">
        <f t="shared" si="70"/>
        <v>-0.0091142127377379</v>
      </c>
      <c r="W111" s="238">
        <f t="shared" si="71"/>
        <v>-0.0007627090962341043</v>
      </c>
    </row>
    <row r="112" spans="1:23" s="172" customFormat="1" ht="12.75">
      <c r="A112" s="173"/>
      <c r="B112" s="9" t="s">
        <v>51</v>
      </c>
      <c r="D112" s="216">
        <f t="shared" si="79"/>
        <v>111244</v>
      </c>
      <c r="E112" s="172">
        <f t="shared" si="52"/>
        <v>110385.65786108497</v>
      </c>
      <c r="F112" s="236">
        <f t="shared" si="62"/>
        <v>0.04362685905135746</v>
      </c>
      <c r="G112" s="237">
        <f t="shared" si="63"/>
        <v>0.003564839887110649</v>
      </c>
      <c r="H112" s="216">
        <f t="shared" si="77"/>
        <v>7141</v>
      </c>
      <c r="I112" s="172">
        <f t="shared" si="53"/>
        <v>7070.086399541795</v>
      </c>
      <c r="J112" s="236">
        <f t="shared" si="64"/>
        <v>0.02181138289928906</v>
      </c>
      <c r="K112" s="237">
        <f t="shared" si="65"/>
        <v>0.0017996940004236794</v>
      </c>
      <c r="L112" s="216">
        <f t="shared" si="78"/>
        <v>1403</v>
      </c>
      <c r="M112" s="172">
        <f t="shared" si="54"/>
        <v>1408.6326996697776</v>
      </c>
      <c r="N112" s="236">
        <f t="shared" si="66"/>
        <v>0.033158056593082914</v>
      </c>
      <c r="O112" s="237">
        <f t="shared" si="67"/>
        <v>0.002722046875553108</v>
      </c>
      <c r="P112" s="216">
        <f t="shared" si="80"/>
        <v>1207</v>
      </c>
      <c r="Q112" s="172">
        <f t="shared" si="55"/>
        <v>1206.9990552156967</v>
      </c>
      <c r="R112" s="236">
        <f t="shared" si="68"/>
        <v>0.0414147106667608</v>
      </c>
      <c r="S112" s="237">
        <f t="shared" si="69"/>
        <v>0.003451225888896733</v>
      </c>
      <c r="T112" s="216">
        <f t="shared" si="81"/>
        <v>119</v>
      </c>
      <c r="U112" s="172">
        <f t="shared" si="56"/>
        <v>119.67304533713053</v>
      </c>
      <c r="V112" s="236">
        <f t="shared" si="70"/>
        <v>-0.0027343258996292293</v>
      </c>
      <c r="W112" s="238">
        <f t="shared" si="71"/>
        <v>-0.0002281465537099514</v>
      </c>
    </row>
    <row r="113" spans="1:23" s="172" customFormat="1" ht="12.75">
      <c r="A113" s="173"/>
      <c r="B113" s="9" t="s">
        <v>19</v>
      </c>
      <c r="D113" s="216">
        <f t="shared" si="79"/>
        <v>111412</v>
      </c>
      <c r="E113" s="172">
        <f t="shared" si="52"/>
        <v>110986.49735832548</v>
      </c>
      <c r="F113" s="236">
        <f t="shared" si="62"/>
        <v>0.043885581215676546</v>
      </c>
      <c r="G113" s="237">
        <f t="shared" si="63"/>
        <v>0.0035855700749809483</v>
      </c>
      <c r="H113" s="216">
        <f t="shared" si="77"/>
        <v>7148</v>
      </c>
      <c r="I113" s="172">
        <f t="shared" si="53"/>
        <v>7119.725919862538</v>
      </c>
      <c r="J113" s="236">
        <f t="shared" si="64"/>
        <v>0.026821701595119467</v>
      </c>
      <c r="K113" s="237">
        <f t="shared" si="65"/>
        <v>0.0022081264085738184</v>
      </c>
      <c r="L113" s="216">
        <f t="shared" si="78"/>
        <v>1411</v>
      </c>
      <c r="M113" s="172">
        <f t="shared" si="54"/>
        <v>1404.6898099009331</v>
      </c>
      <c r="N113" s="236">
        <f t="shared" si="66"/>
        <v>0.02996167493959027</v>
      </c>
      <c r="O113" s="237">
        <f t="shared" si="67"/>
        <v>0.0024631613390049267</v>
      </c>
      <c r="P113" s="216">
        <f t="shared" si="80"/>
        <v>1207</v>
      </c>
      <c r="Q113" s="172">
        <f t="shared" si="55"/>
        <v>1206.999716564709</v>
      </c>
      <c r="R113" s="236">
        <f t="shared" si="68"/>
        <v>0.041414922259593624</v>
      </c>
      <c r="S113" s="237">
        <f t="shared" si="69"/>
        <v>0.003451243521632802</v>
      </c>
      <c r="T113" s="216">
        <f t="shared" si="81"/>
        <v>119</v>
      </c>
      <c r="U113" s="172">
        <f t="shared" si="56"/>
        <v>119.20191360113915</v>
      </c>
      <c r="V113" s="236">
        <f t="shared" si="70"/>
        <v>-0.006653619662433303</v>
      </c>
      <c r="W113" s="238">
        <f t="shared" si="71"/>
        <v>-0.0005561664211735096</v>
      </c>
    </row>
    <row r="114" spans="1:23" s="172" customFormat="1" ht="13.5" thickBot="1">
      <c r="A114" s="180"/>
      <c r="B114" s="178" t="s">
        <v>20</v>
      </c>
      <c r="C114" s="179"/>
      <c r="D114" s="219">
        <f t="shared" si="79"/>
        <v>111598</v>
      </c>
      <c r="E114" s="179">
        <f t="shared" si="52"/>
        <v>111284.34920749764</v>
      </c>
      <c r="F114" s="239">
        <f t="shared" si="62"/>
        <v>0.040116785640202594</v>
      </c>
      <c r="G114" s="240">
        <f t="shared" si="63"/>
        <v>0.003283127757842008</v>
      </c>
      <c r="H114" s="219">
        <f t="shared" si="77"/>
        <v>7161</v>
      </c>
      <c r="I114" s="179">
        <f t="shared" si="53"/>
        <v>7139.5177759587605</v>
      </c>
      <c r="J114" s="239">
        <f t="shared" si="64"/>
        <v>0.026437953762121765</v>
      </c>
      <c r="K114" s="240">
        <f t="shared" si="65"/>
        <v>0.002176908631652763</v>
      </c>
      <c r="L114" s="219">
        <f t="shared" si="78"/>
        <v>1411</v>
      </c>
      <c r="M114" s="179">
        <f t="shared" si="54"/>
        <v>1409.1069429702798</v>
      </c>
      <c r="N114" s="239">
        <f t="shared" si="66"/>
        <v>0.03523405128492638</v>
      </c>
      <c r="O114" s="240">
        <f t="shared" si="67"/>
        <v>0.002889795570757414</v>
      </c>
      <c r="P114" s="219">
        <f t="shared" si="80"/>
        <v>1207</v>
      </c>
      <c r="Q114" s="179">
        <f t="shared" si="55"/>
        <v>1206.9999149694127</v>
      </c>
      <c r="R114" s="239">
        <f t="shared" si="68"/>
        <v>0.041414985737415005</v>
      </c>
      <c r="S114" s="240">
        <f t="shared" si="69"/>
        <v>0.0034512488114512505</v>
      </c>
      <c r="T114" s="219">
        <f t="shared" si="81"/>
        <v>119</v>
      </c>
      <c r="U114" s="179">
        <f t="shared" si="56"/>
        <v>119.06057408034175</v>
      </c>
      <c r="V114" s="239">
        <f t="shared" si="70"/>
        <v>0.0098428155944437</v>
      </c>
      <c r="W114" s="241">
        <f t="shared" si="71"/>
        <v>0.0008165574197651626</v>
      </c>
    </row>
    <row r="115" spans="1:23" s="172" customFormat="1" ht="12.75">
      <c r="A115" s="170">
        <v>2007</v>
      </c>
      <c r="B115" s="34" t="s">
        <v>9</v>
      </c>
      <c r="C115" s="169"/>
      <c r="D115" s="214">
        <f>AN3</f>
        <v>111983</v>
      </c>
      <c r="E115" s="169">
        <f t="shared" si="52"/>
        <v>111503.90476224928</v>
      </c>
      <c r="F115" s="242">
        <f t="shared" si="62"/>
        <v>0.037979934130623436</v>
      </c>
      <c r="G115" s="243">
        <f t="shared" si="63"/>
        <v>0.0031112008767948396</v>
      </c>
      <c r="H115" s="214">
        <f aca="true" t="shared" si="82" ref="H115:H126">AP3</f>
        <v>7199</v>
      </c>
      <c r="I115" s="169">
        <f t="shared" si="53"/>
        <v>7154.555332787628</v>
      </c>
      <c r="J115" s="242">
        <f t="shared" si="64"/>
        <v>0.02495101421867247</v>
      </c>
      <c r="K115" s="243">
        <f t="shared" si="65"/>
        <v>0.0020558453951067257</v>
      </c>
      <c r="L115" s="214">
        <f aca="true" t="shared" si="83" ref="L115:L126">AQ3</f>
        <v>1421</v>
      </c>
      <c r="M115" s="169">
        <f t="shared" si="54"/>
        <v>1410.4320828910838</v>
      </c>
      <c r="N115" s="242">
        <f t="shared" si="66"/>
        <v>0.03204024960867816</v>
      </c>
      <c r="O115" s="243">
        <f t="shared" si="67"/>
        <v>0.0026315955728710705</v>
      </c>
      <c r="P115" s="214">
        <f>AO3</f>
        <v>1250</v>
      </c>
      <c r="Q115" s="169">
        <f t="shared" si="55"/>
        <v>1206.9999744908237</v>
      </c>
      <c r="R115" s="242">
        <f t="shared" si="68"/>
        <v>0.04141500478075872</v>
      </c>
      <c r="S115" s="243">
        <f t="shared" si="69"/>
        <v>0.00345125039839656</v>
      </c>
      <c r="T115" s="214">
        <f>AR3</f>
        <v>119</v>
      </c>
      <c r="U115" s="169">
        <f t="shared" si="56"/>
        <v>119.01817222410253</v>
      </c>
      <c r="V115" s="242">
        <f t="shared" si="70"/>
        <v>0.008884804762040639</v>
      </c>
      <c r="W115" s="244">
        <f t="shared" si="71"/>
        <v>0.0007374023413095898</v>
      </c>
    </row>
    <row r="116" spans="1:23" s="172" customFormat="1" ht="12.75">
      <c r="A116" s="173"/>
      <c r="B116" s="9" t="s">
        <v>10</v>
      </c>
      <c r="D116" s="216">
        <f aca="true" t="shared" si="84" ref="D116:D126">AN4</f>
        <v>112259</v>
      </c>
      <c r="E116" s="172">
        <f t="shared" si="52"/>
        <v>111839.27142867478</v>
      </c>
      <c r="F116" s="236">
        <f t="shared" si="62"/>
        <v>0.03674408846081206</v>
      </c>
      <c r="G116" s="237">
        <f t="shared" si="63"/>
        <v>0.003011619018184808</v>
      </c>
      <c r="H116" s="216">
        <f t="shared" si="82"/>
        <v>7208</v>
      </c>
      <c r="I116" s="172">
        <f t="shared" si="53"/>
        <v>7185.666599836288</v>
      </c>
      <c r="J116" s="236">
        <f t="shared" si="64"/>
        <v>0.024414052180417117</v>
      </c>
      <c r="K116" s="237">
        <f t="shared" si="65"/>
        <v>0.0020120875972973185</v>
      </c>
      <c r="L116" s="216">
        <f t="shared" si="83"/>
        <v>1422</v>
      </c>
      <c r="M116" s="172">
        <f t="shared" si="54"/>
        <v>1417.829624867325</v>
      </c>
      <c r="N116" s="236">
        <f t="shared" si="66"/>
        <v>0.029880502612839508</v>
      </c>
      <c r="O116" s="237">
        <f t="shared" si="67"/>
        <v>0.0024565773394313872</v>
      </c>
      <c r="P116" s="216">
        <f aca="true" t="shared" si="85" ref="P116:P126">AO4</f>
        <v>1250</v>
      </c>
      <c r="Q116" s="172">
        <f t="shared" si="55"/>
        <v>1237.099992347247</v>
      </c>
      <c r="R116" s="236">
        <f t="shared" si="68"/>
        <v>0.03731343044047114</v>
      </c>
      <c r="S116" s="237">
        <f t="shared" si="69"/>
        <v>0.0031094525367059284</v>
      </c>
      <c r="T116" s="216">
        <f aca="true" t="shared" si="86" ref="T116:T126">AR4</f>
        <v>120</v>
      </c>
      <c r="U116" s="172">
        <f t="shared" si="56"/>
        <v>119.00545166723074</v>
      </c>
      <c r="V116" s="236">
        <f t="shared" si="70"/>
        <v>0.0026492504428171906</v>
      </c>
      <c r="W116" s="238">
        <f t="shared" si="71"/>
        <v>0.00022050325431277606</v>
      </c>
    </row>
    <row r="117" spans="1:23" s="172" customFormat="1" ht="12.75">
      <c r="A117" s="173"/>
      <c r="B117" s="9" t="s">
        <v>11</v>
      </c>
      <c r="D117" s="216">
        <f t="shared" si="84"/>
        <v>112520</v>
      </c>
      <c r="E117" s="172">
        <f t="shared" si="52"/>
        <v>112133.08142860243</v>
      </c>
      <c r="F117" s="236">
        <f t="shared" si="62"/>
        <v>0.0366188838591265</v>
      </c>
      <c r="G117" s="237">
        <f t="shared" si="63"/>
        <v>0.0030015242237118045</v>
      </c>
      <c r="H117" s="216">
        <f t="shared" si="82"/>
        <v>7234</v>
      </c>
      <c r="I117" s="172">
        <f t="shared" si="53"/>
        <v>7201.299979950885</v>
      </c>
      <c r="J117" s="236">
        <f t="shared" si="64"/>
        <v>0.022908313561042695</v>
      </c>
      <c r="K117" s="237">
        <f t="shared" si="65"/>
        <v>0.0018892705845663382</v>
      </c>
      <c r="L117" s="216">
        <f t="shared" si="83"/>
        <v>1401</v>
      </c>
      <c r="M117" s="172">
        <f t="shared" si="54"/>
        <v>1420.7488874601975</v>
      </c>
      <c r="N117" s="236">
        <f t="shared" si="66"/>
        <v>0.031315792752333746</v>
      </c>
      <c r="O117" s="237">
        <f t="shared" si="67"/>
        <v>0.0025729256118465216</v>
      </c>
      <c r="P117" s="216">
        <f t="shared" si="85"/>
        <v>1250</v>
      </c>
      <c r="Q117" s="172">
        <f t="shared" si="55"/>
        <v>1246.129997704174</v>
      </c>
      <c r="R117" s="236">
        <f t="shared" si="68"/>
        <v>0.03612764753828694</v>
      </c>
      <c r="S117" s="237">
        <f t="shared" si="69"/>
        <v>0.003010637294857245</v>
      </c>
      <c r="T117" s="216">
        <f t="shared" si="86"/>
        <v>119</v>
      </c>
      <c r="U117" s="172">
        <f t="shared" si="56"/>
        <v>119.70163550016923</v>
      </c>
      <c r="V117" s="236">
        <f t="shared" si="70"/>
        <v>0.012641627267864013</v>
      </c>
      <c r="W117" s="238">
        <f t="shared" si="71"/>
        <v>0.0010474139051732667</v>
      </c>
    </row>
    <row r="118" spans="1:23" s="172" customFormat="1" ht="12.75">
      <c r="A118" s="173"/>
      <c r="B118" s="9" t="s">
        <v>12</v>
      </c>
      <c r="D118" s="216">
        <f t="shared" si="84"/>
        <v>112804</v>
      </c>
      <c r="E118" s="172">
        <f t="shared" si="52"/>
        <v>112403.92442858074</v>
      </c>
      <c r="F118" s="236">
        <f t="shared" si="62"/>
        <v>0.03583782296158969</v>
      </c>
      <c r="G118" s="237">
        <f t="shared" si="63"/>
        <v>0.0029385248615034776</v>
      </c>
      <c r="H118" s="216">
        <f t="shared" si="82"/>
        <v>7245</v>
      </c>
      <c r="I118" s="172">
        <f t="shared" si="53"/>
        <v>7224.189993985265</v>
      </c>
      <c r="J118" s="236">
        <f t="shared" si="64"/>
        <v>0.025448528620544926</v>
      </c>
      <c r="K118" s="237">
        <f t="shared" si="65"/>
        <v>0.0020963697981641882</v>
      </c>
      <c r="L118" s="216">
        <f t="shared" si="83"/>
        <v>1402</v>
      </c>
      <c r="M118" s="172">
        <f t="shared" si="54"/>
        <v>1406.9246662380592</v>
      </c>
      <c r="N118" s="236">
        <f t="shared" si="66"/>
        <v>0.011824864515609695</v>
      </c>
      <c r="O118" s="237">
        <f t="shared" si="67"/>
        <v>0.0009801047482107528</v>
      </c>
      <c r="P118" s="216">
        <f t="shared" si="85"/>
        <v>1250</v>
      </c>
      <c r="Q118" s="172">
        <f t="shared" si="55"/>
        <v>1248.838999311252</v>
      </c>
      <c r="R118" s="236">
        <f t="shared" si="68"/>
        <v>0.03577577891610025</v>
      </c>
      <c r="S118" s="237">
        <f t="shared" si="69"/>
        <v>0.002981314909675021</v>
      </c>
      <c r="T118" s="216">
        <f t="shared" si="86"/>
        <v>118</v>
      </c>
      <c r="U118" s="172">
        <f t="shared" si="56"/>
        <v>119.21049065005076</v>
      </c>
      <c r="V118" s="236">
        <f t="shared" si="70"/>
        <v>0.00972622810540602</v>
      </c>
      <c r="W118" s="238">
        <f t="shared" si="71"/>
        <v>0.0008069281271048112</v>
      </c>
    </row>
    <row r="119" spans="1:23" s="172" customFormat="1" ht="12.75">
      <c r="A119" s="173"/>
      <c r="B119" s="9" t="s">
        <v>13</v>
      </c>
      <c r="D119" s="216">
        <f t="shared" si="84"/>
        <v>113200</v>
      </c>
      <c r="E119" s="172">
        <f t="shared" si="52"/>
        <v>112683.9773285742</v>
      </c>
      <c r="F119" s="236">
        <f t="shared" si="62"/>
        <v>0.03552609727678184</v>
      </c>
      <c r="G119" s="237">
        <f t="shared" si="63"/>
        <v>0.0029133693124667737</v>
      </c>
      <c r="H119" s="216">
        <f t="shared" si="82"/>
        <v>7258</v>
      </c>
      <c r="I119" s="172">
        <f t="shared" si="53"/>
        <v>7238.756998195579</v>
      </c>
      <c r="J119" s="236">
        <f t="shared" si="64"/>
        <v>0.027813192134482696</v>
      </c>
      <c r="K119" s="237">
        <f t="shared" si="65"/>
        <v>0.0022887343969215657</v>
      </c>
      <c r="L119" s="216">
        <f t="shared" si="83"/>
        <v>1411</v>
      </c>
      <c r="M119" s="172">
        <f t="shared" si="54"/>
        <v>1403.4773998714177</v>
      </c>
      <c r="N119" s="236">
        <f t="shared" si="66"/>
        <v>0.005540182016853056</v>
      </c>
      <c r="O119" s="237">
        <f t="shared" si="67"/>
        <v>0.0004605136419242317</v>
      </c>
      <c r="P119" s="216">
        <f t="shared" si="85"/>
        <v>1250</v>
      </c>
      <c r="Q119" s="172">
        <f t="shared" si="55"/>
        <v>1249.6516997933757</v>
      </c>
      <c r="R119" s="236">
        <f t="shared" si="68"/>
        <v>0.03567056225125725</v>
      </c>
      <c r="S119" s="237">
        <f t="shared" si="69"/>
        <v>0.0029725468542714374</v>
      </c>
      <c r="T119" s="216">
        <f t="shared" si="86"/>
        <v>117</v>
      </c>
      <c r="U119" s="172">
        <f t="shared" si="56"/>
        <v>118.36314719501522</v>
      </c>
      <c r="V119" s="236">
        <f t="shared" si="70"/>
        <v>0.002918944747078904</v>
      </c>
      <c r="W119" s="238">
        <f t="shared" si="71"/>
        <v>0.00024292057540797884</v>
      </c>
    </row>
    <row r="120" spans="1:23" s="172" customFormat="1" ht="12.75">
      <c r="A120" s="173"/>
      <c r="B120" s="9" t="s">
        <v>14</v>
      </c>
      <c r="D120" s="216">
        <f t="shared" si="84"/>
        <v>113547</v>
      </c>
      <c r="E120" s="172">
        <f t="shared" si="52"/>
        <v>113045.19319857226</v>
      </c>
      <c r="F120" s="236">
        <f t="shared" si="62"/>
        <v>0.03598721427005609</v>
      </c>
      <c r="G120" s="237">
        <f t="shared" si="63"/>
        <v>0.002950577938413801</v>
      </c>
      <c r="H120" s="216">
        <f t="shared" si="82"/>
        <v>7271</v>
      </c>
      <c r="I120" s="172">
        <f t="shared" si="53"/>
        <v>7252.227099458673</v>
      </c>
      <c r="J120" s="236">
        <f t="shared" si="64"/>
        <v>0.02940576495739675</v>
      </c>
      <c r="K120" s="237">
        <f t="shared" si="65"/>
        <v>0.0024180611830864063</v>
      </c>
      <c r="L120" s="216">
        <f t="shared" si="83"/>
        <v>1410</v>
      </c>
      <c r="M120" s="172">
        <f t="shared" si="54"/>
        <v>1408.7432199614252</v>
      </c>
      <c r="N120" s="236">
        <f t="shared" si="66"/>
        <v>0.0011511456074403393</v>
      </c>
      <c r="O120" s="237">
        <f t="shared" si="67"/>
        <v>9.587822497092446E-05</v>
      </c>
      <c r="P120" s="216">
        <f t="shared" si="85"/>
        <v>1250</v>
      </c>
      <c r="Q120" s="172">
        <f t="shared" si="55"/>
        <v>1249.8955099380128</v>
      </c>
      <c r="R120" s="236">
        <f t="shared" si="68"/>
        <v>0.035639028096963864</v>
      </c>
      <c r="S120" s="237">
        <f t="shared" si="69"/>
        <v>0.002969919008080322</v>
      </c>
      <c r="T120" s="216">
        <f t="shared" si="86"/>
        <v>117</v>
      </c>
      <c r="U120" s="172">
        <f t="shared" si="56"/>
        <v>117.40894415850455</v>
      </c>
      <c r="V120" s="236">
        <f t="shared" si="70"/>
        <v>-0.0050561416778493184</v>
      </c>
      <c r="W120" s="238">
        <f t="shared" si="71"/>
        <v>-0.00042232473014980343</v>
      </c>
    </row>
    <row r="121" spans="1:23" s="172" customFormat="1" ht="12.75">
      <c r="A121" s="173"/>
      <c r="B121" s="9" t="s">
        <v>15</v>
      </c>
      <c r="D121" s="216">
        <f t="shared" si="84"/>
        <v>114103</v>
      </c>
      <c r="E121" s="172">
        <f t="shared" si="52"/>
        <v>113396.45795957168</v>
      </c>
      <c r="F121" s="236">
        <f t="shared" si="62"/>
        <v>0.03715926063443097</v>
      </c>
      <c r="G121" s="237">
        <f t="shared" si="63"/>
        <v>0.0030450848550231946</v>
      </c>
      <c r="H121" s="216">
        <f t="shared" si="82"/>
        <v>7283</v>
      </c>
      <c r="I121" s="172">
        <f t="shared" si="53"/>
        <v>7265.368129837601</v>
      </c>
      <c r="J121" s="236">
        <f t="shared" si="64"/>
        <v>0.03117490831366181</v>
      </c>
      <c r="K121" s="237">
        <f t="shared" si="65"/>
        <v>0.0025615117325030745</v>
      </c>
      <c r="L121" s="216">
        <f t="shared" si="83"/>
        <v>1402</v>
      </c>
      <c r="M121" s="172">
        <f t="shared" si="54"/>
        <v>1409.6229659884275</v>
      </c>
      <c r="N121" s="236">
        <f t="shared" si="66"/>
        <v>-0.004599878898756734</v>
      </c>
      <c r="O121" s="237">
        <f t="shared" si="67"/>
        <v>-0.00038413377645529767</v>
      </c>
      <c r="P121" s="216">
        <f t="shared" si="85"/>
        <v>1250</v>
      </c>
      <c r="Q121" s="172">
        <f t="shared" si="55"/>
        <v>1249.968652981404</v>
      </c>
      <c r="R121" s="236">
        <f t="shared" si="68"/>
        <v>0.035629570623839944</v>
      </c>
      <c r="S121" s="237">
        <f t="shared" si="69"/>
        <v>0.002969130885319995</v>
      </c>
      <c r="T121" s="216">
        <f t="shared" si="86"/>
        <v>117</v>
      </c>
      <c r="U121" s="172">
        <f t="shared" si="56"/>
        <v>117.12268324755135</v>
      </c>
      <c r="V121" s="236">
        <f t="shared" si="70"/>
        <v>-0.007449011842379667</v>
      </c>
      <c r="W121" s="238">
        <f t="shared" si="71"/>
        <v>-0.0006228804528616294</v>
      </c>
    </row>
    <row r="122" spans="1:23" s="172" customFormat="1" ht="12.75">
      <c r="A122" s="173"/>
      <c r="B122" s="9" t="s">
        <v>16</v>
      </c>
      <c r="D122" s="216">
        <f t="shared" si="84"/>
        <v>114683</v>
      </c>
      <c r="E122" s="172">
        <f t="shared" si="52"/>
        <v>113891.0373878715</v>
      </c>
      <c r="F122" s="236">
        <f t="shared" si="62"/>
        <v>0.03907302135354058</v>
      </c>
      <c r="G122" s="237">
        <f t="shared" si="63"/>
        <v>0.003199189022357496</v>
      </c>
      <c r="H122" s="216">
        <f t="shared" si="82"/>
        <v>7318</v>
      </c>
      <c r="I122" s="172">
        <f t="shared" si="53"/>
        <v>7277.71043895128</v>
      </c>
      <c r="J122" s="236">
        <f t="shared" si="64"/>
        <v>0.03207748559414187</v>
      </c>
      <c r="K122" s="237">
        <f t="shared" si="65"/>
        <v>0.0026346100998535515</v>
      </c>
      <c r="L122" s="216">
        <f t="shared" si="83"/>
        <v>1414</v>
      </c>
      <c r="M122" s="172">
        <f t="shared" si="54"/>
        <v>1404.2868897965282</v>
      </c>
      <c r="N122" s="236">
        <f t="shared" si="66"/>
        <v>0.00010382315123494281</v>
      </c>
      <c r="O122" s="237">
        <f t="shared" si="67"/>
        <v>8.651517589441937E-06</v>
      </c>
      <c r="P122" s="216">
        <f t="shared" si="85"/>
        <v>1250</v>
      </c>
      <c r="Q122" s="172">
        <f t="shared" si="55"/>
        <v>1249.9905958944212</v>
      </c>
      <c r="R122" s="236">
        <f t="shared" si="68"/>
        <v>0.035626733631409134</v>
      </c>
      <c r="S122" s="237">
        <f t="shared" si="69"/>
        <v>0.0029688944692840944</v>
      </c>
      <c r="T122" s="216">
        <f t="shared" si="86"/>
        <v>117</v>
      </c>
      <c r="U122" s="172">
        <f t="shared" si="56"/>
        <v>117.0368049742654</v>
      </c>
      <c r="V122" s="236">
        <f t="shared" si="70"/>
        <v>-0.014015936909508886</v>
      </c>
      <c r="W122" s="238">
        <f t="shared" si="71"/>
        <v>-0.0011755657892297267</v>
      </c>
    </row>
    <row r="123" spans="1:23" s="172" customFormat="1" ht="12.75">
      <c r="A123" s="173"/>
      <c r="B123" s="9" t="s">
        <v>17</v>
      </c>
      <c r="D123" s="216">
        <f t="shared" si="84"/>
        <v>115068</v>
      </c>
      <c r="E123" s="172">
        <f t="shared" si="52"/>
        <v>114445.41121636145</v>
      </c>
      <c r="F123" s="236">
        <f t="shared" si="62"/>
        <v>0.0405245165845659</v>
      </c>
      <c r="G123" s="237">
        <f t="shared" si="63"/>
        <v>0.003315896201419255</v>
      </c>
      <c r="H123" s="216">
        <f t="shared" si="82"/>
        <v>7322</v>
      </c>
      <c r="I123" s="172">
        <f t="shared" si="53"/>
        <v>7305.913131685384</v>
      </c>
      <c r="J123" s="236">
        <f t="shared" si="64"/>
        <v>0.034691975541983305</v>
      </c>
      <c r="K123" s="237">
        <f t="shared" si="65"/>
        <v>0.0028460234445706334</v>
      </c>
      <c r="L123" s="216">
        <f t="shared" si="83"/>
        <v>1420</v>
      </c>
      <c r="M123" s="172">
        <f t="shared" si="54"/>
        <v>1411.0860669389583</v>
      </c>
      <c r="N123" s="236">
        <f t="shared" si="66"/>
        <v>0.004015628800223069</v>
      </c>
      <c r="O123" s="237">
        <f t="shared" si="67"/>
        <v>0.0003340214129385899</v>
      </c>
      <c r="P123" s="216">
        <f t="shared" si="85"/>
        <v>1250</v>
      </c>
      <c r="Q123" s="172">
        <f t="shared" si="55"/>
        <v>1249.9971787683264</v>
      </c>
      <c r="R123" s="236">
        <f t="shared" si="68"/>
        <v>0.03562588255613348</v>
      </c>
      <c r="S123" s="237">
        <f t="shared" si="69"/>
        <v>0.0029688235463444564</v>
      </c>
      <c r="T123" s="216">
        <f t="shared" si="86"/>
        <v>115</v>
      </c>
      <c r="U123" s="172">
        <f t="shared" si="56"/>
        <v>117.01104149227962</v>
      </c>
      <c r="V123" s="236">
        <f t="shared" si="70"/>
        <v>-0.01597096306363375</v>
      </c>
      <c r="W123" s="238">
        <f t="shared" si="71"/>
        <v>-0.001340756488782624</v>
      </c>
    </row>
    <row r="124" spans="1:23" s="172" customFormat="1" ht="12.75">
      <c r="A124" s="173"/>
      <c r="B124" s="9" t="s">
        <v>51</v>
      </c>
      <c r="D124" s="216">
        <f t="shared" si="84"/>
        <v>115774</v>
      </c>
      <c r="E124" s="172">
        <f t="shared" si="52"/>
        <v>114881.22336490842</v>
      </c>
      <c r="F124" s="236">
        <f t="shared" si="62"/>
        <v>0.04072599276874272</v>
      </c>
      <c r="G124" s="237">
        <f t="shared" si="63"/>
        <v>0.003332084056488771</v>
      </c>
      <c r="H124" s="216">
        <f t="shared" si="82"/>
        <v>7358</v>
      </c>
      <c r="I124" s="172">
        <f t="shared" si="53"/>
        <v>7317.173939505615</v>
      </c>
      <c r="J124" s="236">
        <f t="shared" si="64"/>
        <v>0.034948305579382076</v>
      </c>
      <c r="K124" s="237">
        <f t="shared" si="65"/>
        <v>0.0028667244826119376</v>
      </c>
      <c r="L124" s="216">
        <f t="shared" si="83"/>
        <v>1419</v>
      </c>
      <c r="M124" s="172">
        <f t="shared" si="54"/>
        <v>1417.3258200816874</v>
      </c>
      <c r="N124" s="236">
        <f t="shared" si="66"/>
        <v>0.00617131805469782</v>
      </c>
      <c r="O124" s="237">
        <f t="shared" si="67"/>
        <v>0.0005128275724384235</v>
      </c>
      <c r="P124" s="216">
        <f t="shared" si="85"/>
        <v>1250</v>
      </c>
      <c r="Q124" s="172">
        <f t="shared" si="55"/>
        <v>1249.9991536304979</v>
      </c>
      <c r="R124" s="236">
        <f t="shared" si="68"/>
        <v>0.03562562723557133</v>
      </c>
      <c r="S124" s="237">
        <f t="shared" si="69"/>
        <v>0.0029688022696309443</v>
      </c>
      <c r="T124" s="216">
        <f t="shared" si="86"/>
        <v>115</v>
      </c>
      <c r="U124" s="172">
        <f t="shared" si="56"/>
        <v>115.60331244768389</v>
      </c>
      <c r="V124" s="236">
        <f t="shared" si="70"/>
        <v>-0.03400709723715821</v>
      </c>
      <c r="W124" s="238">
        <f t="shared" si="71"/>
        <v>-0.0028790801293411272</v>
      </c>
    </row>
    <row r="125" spans="1:23" s="172" customFormat="1" ht="12.75">
      <c r="A125" s="173"/>
      <c r="B125" s="9" t="s">
        <v>19</v>
      </c>
      <c r="D125" s="216">
        <f t="shared" si="84"/>
        <v>116461</v>
      </c>
      <c r="E125" s="172">
        <f t="shared" si="52"/>
        <v>115506.16700947251</v>
      </c>
      <c r="F125" s="236">
        <f t="shared" si="62"/>
        <v>0.040722698334690714</v>
      </c>
      <c r="G125" s="237">
        <f t="shared" si="63"/>
        <v>0.0033318193841829213</v>
      </c>
      <c r="H125" s="216">
        <f t="shared" si="82"/>
        <v>7396</v>
      </c>
      <c r="I125" s="172">
        <f t="shared" si="53"/>
        <v>7345.752181851683</v>
      </c>
      <c r="J125" s="236">
        <f t="shared" si="64"/>
        <v>0.03174648357720903</v>
      </c>
      <c r="K125" s="237">
        <f t="shared" si="65"/>
        <v>0.0026078095546475666</v>
      </c>
      <c r="L125" s="216">
        <f t="shared" si="83"/>
        <v>1437</v>
      </c>
      <c r="M125" s="172">
        <f t="shared" si="54"/>
        <v>1418.4977460245061</v>
      </c>
      <c r="N125" s="236">
        <f t="shared" si="66"/>
        <v>0.00982988274439521</v>
      </c>
      <c r="O125" s="237">
        <f t="shared" si="67"/>
        <v>0.0008154893091114612</v>
      </c>
      <c r="P125" s="216">
        <f t="shared" si="85"/>
        <v>1250</v>
      </c>
      <c r="Q125" s="172">
        <f t="shared" si="55"/>
        <v>1249.9997460891493</v>
      </c>
      <c r="R125" s="236">
        <f t="shared" si="68"/>
        <v>0.03562555063958467</v>
      </c>
      <c r="S125" s="237">
        <f t="shared" si="69"/>
        <v>0.0029687958866320557</v>
      </c>
      <c r="T125" s="216">
        <f t="shared" si="86"/>
        <v>115</v>
      </c>
      <c r="U125" s="172">
        <f t="shared" si="56"/>
        <v>115.18099373430516</v>
      </c>
      <c r="V125" s="236">
        <f t="shared" si="70"/>
        <v>-0.03373200769484599</v>
      </c>
      <c r="W125" s="238">
        <f t="shared" si="71"/>
        <v>-0.0028554203849201487</v>
      </c>
    </row>
    <row r="126" spans="1:23" s="172" customFormat="1" ht="13.5" thickBot="1">
      <c r="A126" s="180"/>
      <c r="B126" s="178" t="s">
        <v>20</v>
      </c>
      <c r="C126" s="179"/>
      <c r="D126" s="219">
        <f t="shared" si="84"/>
        <v>117024</v>
      </c>
      <c r="E126" s="179">
        <f t="shared" si="52"/>
        <v>116174.55010284175</v>
      </c>
      <c r="F126" s="239">
        <f t="shared" si="62"/>
        <v>0.043943294184395874</v>
      </c>
      <c r="G126" s="240">
        <f t="shared" si="63"/>
        <v>0.0035901937007267737</v>
      </c>
      <c r="H126" s="219">
        <f t="shared" si="82"/>
        <v>7440</v>
      </c>
      <c r="I126" s="179">
        <f t="shared" si="53"/>
        <v>7380.925654555505</v>
      </c>
      <c r="J126" s="239">
        <f t="shared" si="64"/>
        <v>0.03381291092371101</v>
      </c>
      <c r="K126" s="240">
        <f t="shared" si="65"/>
        <v>0.0027749950658941813</v>
      </c>
      <c r="L126" s="219">
        <f t="shared" si="83"/>
        <v>1443</v>
      </c>
      <c r="M126" s="179">
        <f t="shared" si="54"/>
        <v>1431.449323807352</v>
      </c>
      <c r="N126" s="239">
        <f t="shared" si="66"/>
        <v>0.015855702754523564</v>
      </c>
      <c r="O126" s="240">
        <f t="shared" si="67"/>
        <v>0.0013118025130196553</v>
      </c>
      <c r="P126" s="219">
        <f t="shared" si="85"/>
        <v>1250</v>
      </c>
      <c r="Q126" s="179">
        <f t="shared" si="55"/>
        <v>1249.9999238267449</v>
      </c>
      <c r="R126" s="239">
        <f t="shared" si="68"/>
        <v>0.035625527660805095</v>
      </c>
      <c r="S126" s="240">
        <f t="shared" si="69"/>
        <v>0.002968793971733758</v>
      </c>
      <c r="T126" s="219">
        <f t="shared" si="86"/>
        <v>113</v>
      </c>
      <c r="U126" s="179">
        <f t="shared" si="56"/>
        <v>115.05429812029155</v>
      </c>
      <c r="V126" s="239">
        <f t="shared" si="70"/>
        <v>-0.033649056297568154</v>
      </c>
      <c r="W126" s="241">
        <f t="shared" si="71"/>
        <v>-0.0028482871601086535</v>
      </c>
    </row>
    <row r="127" spans="1:23" s="172" customFormat="1" ht="12.75">
      <c r="A127" s="170">
        <v>2008</v>
      </c>
      <c r="B127" s="34" t="s">
        <v>9</v>
      </c>
      <c r="C127" s="169"/>
      <c r="D127" s="214">
        <f>AW3</f>
        <v>117488</v>
      </c>
      <c r="E127" s="169">
        <f t="shared" si="52"/>
        <v>116769.16503085251</v>
      </c>
      <c r="F127" s="242">
        <f t="shared" si="62"/>
        <v>0.04722041151679773</v>
      </c>
      <c r="G127" s="243">
        <f t="shared" si="63"/>
        <v>0.0038523535568051326</v>
      </c>
      <c r="H127" s="214">
        <f aca="true" t="shared" si="87" ref="H127:H138">AY3</f>
        <v>7434</v>
      </c>
      <c r="I127" s="169">
        <f t="shared" si="53"/>
        <v>7422.277696366651</v>
      </c>
      <c r="J127" s="242">
        <f t="shared" si="64"/>
        <v>0.03741984667476332</v>
      </c>
      <c r="K127" s="243">
        <f t="shared" si="65"/>
        <v>0.0030660836754090592</v>
      </c>
      <c r="L127" s="214">
        <f aca="true" t="shared" si="88" ref="L127:L138">AZ3</f>
        <v>1461</v>
      </c>
      <c r="M127" s="169">
        <f t="shared" si="54"/>
        <v>1439.5347971422054</v>
      </c>
      <c r="N127" s="242">
        <f t="shared" si="66"/>
        <v>0.020633899784431493</v>
      </c>
      <c r="O127" s="243">
        <f t="shared" si="67"/>
        <v>0.0017034412639007623</v>
      </c>
      <c r="P127" s="214">
        <f>AX3</f>
        <v>1267</v>
      </c>
      <c r="Q127" s="169">
        <f t="shared" si="55"/>
        <v>1249.9999771480234</v>
      </c>
      <c r="R127" s="242">
        <f t="shared" si="68"/>
        <v>0.03562552076717268</v>
      </c>
      <c r="S127" s="243">
        <f t="shared" si="69"/>
        <v>0.00296879339726439</v>
      </c>
      <c r="T127" s="214">
        <f>BA3</f>
        <v>113</v>
      </c>
      <c r="U127" s="169">
        <f t="shared" si="56"/>
        <v>113.61628943608746</v>
      </c>
      <c r="V127" s="242">
        <f t="shared" si="70"/>
        <v>-0.04538704205475212</v>
      </c>
      <c r="W127" s="244">
        <f t="shared" si="71"/>
        <v>-0.003863293230905729</v>
      </c>
    </row>
    <row r="128" spans="1:23" s="172" customFormat="1" ht="12.75">
      <c r="A128" s="173"/>
      <c r="B128" s="9" t="s">
        <v>10</v>
      </c>
      <c r="D128" s="216">
        <f aca="true" t="shared" si="89" ref="D128:D138">AW4</f>
        <v>117900</v>
      </c>
      <c r="E128" s="172">
        <f t="shared" si="52"/>
        <v>117272.34950925574</v>
      </c>
      <c r="F128" s="236">
        <f t="shared" si="62"/>
        <v>0.04857934079127022</v>
      </c>
      <c r="G128" s="237">
        <f t="shared" si="63"/>
        <v>0.003960843426753069</v>
      </c>
      <c r="H128" s="216">
        <f t="shared" si="87"/>
        <v>7428</v>
      </c>
      <c r="I128" s="172">
        <f t="shared" si="53"/>
        <v>7430.483308909994</v>
      </c>
      <c r="J128" s="236">
        <f t="shared" si="64"/>
        <v>0.03407014584830359</v>
      </c>
      <c r="K128" s="237">
        <f t="shared" si="65"/>
        <v>0.002795785363545855</v>
      </c>
      <c r="L128" s="216">
        <f t="shared" si="88"/>
        <v>1479</v>
      </c>
      <c r="M128" s="172">
        <f t="shared" si="54"/>
        <v>1454.5604391426616</v>
      </c>
      <c r="N128" s="236">
        <f t="shared" si="66"/>
        <v>0.02590636676728609</v>
      </c>
      <c r="O128" s="237">
        <f t="shared" si="67"/>
        <v>0.00213364650137704</v>
      </c>
      <c r="P128" s="216">
        <f aca="true" t="shared" si="90" ref="P128:P138">AX4</f>
        <v>1267</v>
      </c>
      <c r="Q128" s="172">
        <f t="shared" si="55"/>
        <v>1261.899993144407</v>
      </c>
      <c r="R128" s="236">
        <f t="shared" si="68"/>
        <v>0.02004688460963048</v>
      </c>
      <c r="S128" s="237">
        <f t="shared" si="69"/>
        <v>0.0016705737174692065</v>
      </c>
      <c r="T128" s="216">
        <f aca="true" t="shared" si="91" ref="T128:T138">BA4</f>
        <v>113</v>
      </c>
      <c r="U128" s="172">
        <f t="shared" si="56"/>
        <v>113.18488683082623</v>
      </c>
      <c r="V128" s="236">
        <f t="shared" si="70"/>
        <v>-0.04891006886541872</v>
      </c>
      <c r="W128" s="238">
        <f t="shared" si="71"/>
        <v>-0.004170168605657665</v>
      </c>
    </row>
    <row r="129" spans="1:23" s="172" customFormat="1" ht="12.75">
      <c r="A129" s="173"/>
      <c r="B129" s="9" t="s">
        <v>11</v>
      </c>
      <c r="D129" s="216">
        <f t="shared" si="89"/>
        <v>118156</v>
      </c>
      <c r="E129" s="172">
        <f t="shared" si="52"/>
        <v>117711.70485277672</v>
      </c>
      <c r="F129" s="236">
        <f t="shared" si="62"/>
        <v>0.04975002339275162</v>
      </c>
      <c r="G129" s="237">
        <f t="shared" si="63"/>
        <v>0.004054201368185906</v>
      </c>
      <c r="H129" s="216">
        <f t="shared" si="87"/>
        <v>7437</v>
      </c>
      <c r="I129" s="172">
        <f t="shared" si="53"/>
        <v>7428.744992672997</v>
      </c>
      <c r="J129" s="236">
        <f t="shared" si="64"/>
        <v>0.031583882542782625</v>
      </c>
      <c r="K129" s="237">
        <f t="shared" si="65"/>
        <v>0.002594641199951342</v>
      </c>
      <c r="L129" s="216">
        <f t="shared" si="88"/>
        <v>1488</v>
      </c>
      <c r="M129" s="172">
        <f t="shared" si="54"/>
        <v>1471.6681317427983</v>
      </c>
      <c r="N129" s="236">
        <f t="shared" si="66"/>
        <v>0.03583972138357727</v>
      </c>
      <c r="O129" s="237">
        <f t="shared" si="67"/>
        <v>0.002938678038550746</v>
      </c>
      <c r="P129" s="216">
        <f t="shared" si="90"/>
        <v>1267</v>
      </c>
      <c r="Q129" s="172">
        <f t="shared" si="55"/>
        <v>1265.4699979433221</v>
      </c>
      <c r="R129" s="236">
        <f t="shared" si="68"/>
        <v>0.015520050295538566</v>
      </c>
      <c r="S129" s="237">
        <f t="shared" si="69"/>
        <v>0.0012933375246282138</v>
      </c>
      <c r="T129" s="216">
        <f t="shared" si="91"/>
        <v>113</v>
      </c>
      <c r="U129" s="172">
        <f t="shared" si="56"/>
        <v>113.05546604924785</v>
      </c>
      <c r="V129" s="236">
        <f t="shared" si="70"/>
        <v>-0.05552279568404043</v>
      </c>
      <c r="W129" s="238">
        <f t="shared" si="71"/>
        <v>-0.004748998305104446</v>
      </c>
    </row>
    <row r="130" spans="1:23" s="172" customFormat="1" ht="12.75">
      <c r="A130" s="173"/>
      <c r="B130" s="9" t="s">
        <v>12</v>
      </c>
      <c r="D130" s="216">
        <f t="shared" si="89"/>
        <v>118500</v>
      </c>
      <c r="E130" s="172">
        <f t="shared" si="52"/>
        <v>118022.71145583302</v>
      </c>
      <c r="F130" s="236">
        <f t="shared" si="62"/>
        <v>0.049987463122983335</v>
      </c>
      <c r="G130" s="237">
        <f t="shared" si="63"/>
        <v>0.004073124734228273</v>
      </c>
      <c r="H130" s="216">
        <f t="shared" si="87"/>
        <v>7424</v>
      </c>
      <c r="I130" s="172">
        <f t="shared" si="53"/>
        <v>7434.523497801898</v>
      </c>
      <c r="J130" s="236">
        <f t="shared" si="64"/>
        <v>0.029115167789295873</v>
      </c>
      <c r="K130" s="237">
        <f t="shared" si="65"/>
        <v>0.0023944765775643084</v>
      </c>
      <c r="L130" s="216">
        <f t="shared" si="88"/>
        <v>1482</v>
      </c>
      <c r="M130" s="172">
        <f t="shared" si="54"/>
        <v>1483.1004395228395</v>
      </c>
      <c r="N130" s="236">
        <f t="shared" si="66"/>
        <v>0.054143462768667446</v>
      </c>
      <c r="O130" s="237">
        <f t="shared" si="67"/>
        <v>0.004403714104382006</v>
      </c>
      <c r="P130" s="216">
        <f t="shared" si="90"/>
        <v>1267</v>
      </c>
      <c r="Q130" s="172">
        <f t="shared" si="55"/>
        <v>1266.5409993829967</v>
      </c>
      <c r="R130" s="236">
        <f t="shared" si="68"/>
        <v>0.014174765587483588</v>
      </c>
      <c r="S130" s="237">
        <f t="shared" si="69"/>
        <v>0.0011812304656236324</v>
      </c>
      <c r="T130" s="216">
        <f t="shared" si="91"/>
        <v>114</v>
      </c>
      <c r="U130" s="172">
        <f t="shared" si="56"/>
        <v>113.01663981477435</v>
      </c>
      <c r="V130" s="236">
        <f t="shared" si="70"/>
        <v>-0.051957263169554534</v>
      </c>
      <c r="W130" s="238">
        <f t="shared" si="71"/>
        <v>-0.004436437864590026</v>
      </c>
    </row>
    <row r="131" spans="1:23" s="172" customFormat="1" ht="12.75">
      <c r="A131" s="173"/>
      <c r="B131" s="9" t="s">
        <v>13</v>
      </c>
      <c r="D131" s="216">
        <f t="shared" si="89"/>
        <v>118823</v>
      </c>
      <c r="E131" s="172">
        <f t="shared" si="52"/>
        <v>118356.81343674992</v>
      </c>
      <c r="F131" s="236">
        <f t="shared" si="62"/>
        <v>0.050342881416355637</v>
      </c>
      <c r="G131" s="237">
        <f t="shared" si="63"/>
        <v>0.004101443374135316</v>
      </c>
      <c r="H131" s="216">
        <f t="shared" si="87"/>
        <v>7426</v>
      </c>
      <c r="I131" s="172">
        <f t="shared" si="53"/>
        <v>7427.157049340569</v>
      </c>
      <c r="J131" s="236">
        <f t="shared" si="64"/>
        <v>0.026026574892892847</v>
      </c>
      <c r="K131" s="237">
        <f t="shared" si="65"/>
        <v>0.002143431193739165</v>
      </c>
      <c r="L131" s="216">
        <f t="shared" si="88"/>
        <v>1479</v>
      </c>
      <c r="M131" s="172">
        <f t="shared" si="54"/>
        <v>1482.3301318568517</v>
      </c>
      <c r="N131" s="236">
        <f t="shared" si="66"/>
        <v>0.056183827393770855</v>
      </c>
      <c r="O131" s="237">
        <f t="shared" si="67"/>
        <v>0.004565578062804665</v>
      </c>
      <c r="P131" s="216">
        <f t="shared" si="90"/>
        <v>1267</v>
      </c>
      <c r="Q131" s="172">
        <f t="shared" si="55"/>
        <v>1266.862299814899</v>
      </c>
      <c r="R131" s="236">
        <f t="shared" si="68"/>
        <v>0.013772317538054005</v>
      </c>
      <c r="S131" s="237">
        <f t="shared" si="69"/>
        <v>0.001147693128171167</v>
      </c>
      <c r="T131" s="216">
        <f t="shared" si="91"/>
        <v>116</v>
      </c>
      <c r="U131" s="172">
        <f t="shared" si="56"/>
        <v>113.7049919444323</v>
      </c>
      <c r="V131" s="236">
        <f t="shared" si="70"/>
        <v>-0.03935477689612411</v>
      </c>
      <c r="W131" s="238">
        <f t="shared" si="71"/>
        <v>-0.0033402516458419518</v>
      </c>
    </row>
    <row r="132" spans="1:23" s="172" customFormat="1" ht="12.75">
      <c r="A132" s="173"/>
      <c r="B132" s="9" t="s">
        <v>14</v>
      </c>
      <c r="D132" s="216">
        <f t="shared" si="89"/>
        <v>118969</v>
      </c>
      <c r="E132" s="172">
        <f t="shared" si="52"/>
        <v>118683.14403102497</v>
      </c>
      <c r="F132" s="236">
        <f t="shared" si="62"/>
        <v>0.049873423831026886</v>
      </c>
      <c r="G132" s="237">
        <f t="shared" si="63"/>
        <v>0.004064036571068019</v>
      </c>
      <c r="H132" s="216">
        <f t="shared" si="87"/>
        <v>7413</v>
      </c>
      <c r="I132" s="172">
        <f t="shared" si="53"/>
        <v>7426.347114802171</v>
      </c>
      <c r="J132" s="236">
        <f t="shared" si="64"/>
        <v>0.024009178553784434</v>
      </c>
      <c r="K132" s="237">
        <f t="shared" si="65"/>
        <v>0.0019790799661076885</v>
      </c>
      <c r="L132" s="216">
        <f t="shared" si="88"/>
        <v>1479</v>
      </c>
      <c r="M132" s="172">
        <f t="shared" si="54"/>
        <v>1479.9990395570555</v>
      </c>
      <c r="N132" s="236">
        <f t="shared" si="66"/>
        <v>0.05058112691224273</v>
      </c>
      <c r="O132" s="237">
        <f t="shared" si="67"/>
        <v>0.0041204211276579805</v>
      </c>
      <c r="P132" s="216">
        <f t="shared" si="90"/>
        <v>1267</v>
      </c>
      <c r="Q132" s="172">
        <f t="shared" si="55"/>
        <v>1266.9586899444696</v>
      </c>
      <c r="R132" s="236">
        <f t="shared" si="68"/>
        <v>0.01365168517750981</v>
      </c>
      <c r="S132" s="237">
        <f t="shared" si="69"/>
        <v>0.0011376404314591508</v>
      </c>
      <c r="T132" s="216">
        <f t="shared" si="91"/>
        <v>117</v>
      </c>
      <c r="U132" s="172">
        <f t="shared" si="56"/>
        <v>115.31149758332967</v>
      </c>
      <c r="V132" s="236">
        <f t="shared" si="70"/>
        <v>-0.017864453089223662</v>
      </c>
      <c r="W132" s="238">
        <f t="shared" si="71"/>
        <v>-0.0015010347084492004</v>
      </c>
    </row>
    <row r="133" spans="1:23" s="172" customFormat="1" ht="12.75">
      <c r="A133" s="173"/>
      <c r="B133" s="9" t="s">
        <v>15</v>
      </c>
      <c r="D133" s="216">
        <f t="shared" si="89"/>
        <v>119282</v>
      </c>
      <c r="E133" s="172">
        <f aca="true" t="shared" si="92" ref="E133:E148">0.7*D132+0.3*E132</f>
        <v>118883.24320930749</v>
      </c>
      <c r="F133" s="236">
        <f t="shared" si="62"/>
        <v>0.04838586097364672</v>
      </c>
      <c r="G133" s="237">
        <f t="shared" si="63"/>
        <v>0.003945404872364389</v>
      </c>
      <c r="H133" s="216">
        <f t="shared" si="87"/>
        <v>7413</v>
      </c>
      <c r="I133" s="172">
        <f aca="true" t="shared" si="93" ref="I133:I148">0.7*H132+0.3*I132</f>
        <v>7417.004134440651</v>
      </c>
      <c r="J133" s="236">
        <f t="shared" si="64"/>
        <v>0.020871069695740103</v>
      </c>
      <c r="K133" s="237">
        <f t="shared" si="65"/>
        <v>0.001722836776929304</v>
      </c>
      <c r="L133" s="216">
        <f t="shared" si="88"/>
        <v>1485</v>
      </c>
      <c r="M133" s="172">
        <f aca="true" t="shared" si="94" ref="M133:M148">0.7*L132+0.3*M132</f>
        <v>1479.2997118671167</v>
      </c>
      <c r="N133" s="236">
        <f t="shared" si="66"/>
        <v>0.04942934923724931</v>
      </c>
      <c r="O133" s="237">
        <f t="shared" si="67"/>
        <v>0.004028638193272371</v>
      </c>
      <c r="P133" s="216">
        <f t="shared" si="90"/>
        <v>1267</v>
      </c>
      <c r="Q133" s="172">
        <f aca="true" t="shared" si="95" ref="Q133:Q148">0.7*P132+0.3*Q132</f>
        <v>1266.9876069833408</v>
      </c>
      <c r="R133" s="236">
        <f t="shared" si="68"/>
        <v>0.013615504645931377</v>
      </c>
      <c r="S133" s="237">
        <f t="shared" si="69"/>
        <v>0.001134625387160948</v>
      </c>
      <c r="T133" s="216">
        <f t="shared" si="91"/>
        <v>117</v>
      </c>
      <c r="U133" s="172">
        <f aca="true" t="shared" si="96" ref="U133:U148">0.7*T132+0.3*U132</f>
        <v>116.49344927499888</v>
      </c>
      <c r="V133" s="236">
        <f t="shared" si="70"/>
        <v>-0.005372434741974928</v>
      </c>
      <c r="W133" s="238">
        <f t="shared" si="71"/>
        <v>-0.0004488091022972762</v>
      </c>
    </row>
    <row r="134" spans="1:23" s="172" customFormat="1" ht="12.75">
      <c r="A134" s="173"/>
      <c r="B134" s="9" t="s">
        <v>16</v>
      </c>
      <c r="D134" s="216">
        <f t="shared" si="89"/>
        <v>119438</v>
      </c>
      <c r="E134" s="172">
        <f t="shared" si="92"/>
        <v>119162.37296279223</v>
      </c>
      <c r="F134" s="236">
        <f t="shared" si="62"/>
        <v>0.04628402458894523</v>
      </c>
      <c r="G134" s="237">
        <f t="shared" si="63"/>
        <v>0.003777522153550761</v>
      </c>
      <c r="H134" s="216">
        <f t="shared" si="87"/>
        <v>7419</v>
      </c>
      <c r="I134" s="172">
        <f t="shared" si="93"/>
        <v>7414.201240332195</v>
      </c>
      <c r="J134" s="236">
        <f t="shared" si="64"/>
        <v>0.018754634788765212</v>
      </c>
      <c r="K134" s="237">
        <f t="shared" si="65"/>
        <v>0.0015496106617256533</v>
      </c>
      <c r="L134" s="216">
        <f t="shared" si="88"/>
        <v>1491</v>
      </c>
      <c r="M134" s="172">
        <f t="shared" si="94"/>
        <v>1483.2899135601351</v>
      </c>
      <c r="N134" s="236">
        <f t="shared" si="66"/>
        <v>0.056258464233796254</v>
      </c>
      <c r="O134" s="237">
        <f t="shared" si="67"/>
        <v>0.0045714936343552726</v>
      </c>
      <c r="P134" s="216">
        <f t="shared" si="90"/>
        <v>1267</v>
      </c>
      <c r="Q134" s="172">
        <f t="shared" si="95"/>
        <v>1266.9962820950022</v>
      </c>
      <c r="R134" s="236">
        <f t="shared" si="68"/>
        <v>0.013604651312126695</v>
      </c>
      <c r="S134" s="237">
        <f t="shared" si="69"/>
        <v>0.0011337209426772246</v>
      </c>
      <c r="T134" s="216">
        <f t="shared" si="91"/>
        <v>117</v>
      </c>
      <c r="U134" s="172">
        <f t="shared" si="96"/>
        <v>116.84803478249965</v>
      </c>
      <c r="V134" s="236">
        <f t="shared" si="70"/>
        <v>-0.001612913064460779</v>
      </c>
      <c r="W134" s="238">
        <f t="shared" si="71"/>
        <v>-0.00013450888695920593</v>
      </c>
    </row>
    <row r="135" spans="1:23" s="172" customFormat="1" ht="12.75">
      <c r="A135" s="173"/>
      <c r="B135" s="9" t="s">
        <v>17</v>
      </c>
      <c r="D135" s="216">
        <f t="shared" si="89"/>
        <v>119587</v>
      </c>
      <c r="E135" s="172">
        <f t="shared" si="92"/>
        <v>119355.31188883766</v>
      </c>
      <c r="F135" s="236">
        <f t="shared" si="62"/>
        <v>0.042901682298069115</v>
      </c>
      <c r="G135" s="237">
        <f t="shared" si="63"/>
        <v>0.003506709773728689</v>
      </c>
      <c r="H135" s="216">
        <f t="shared" si="87"/>
        <v>7441</v>
      </c>
      <c r="I135" s="172">
        <f t="shared" si="93"/>
        <v>7417.560372099658</v>
      </c>
      <c r="J135" s="236">
        <f t="shared" si="64"/>
        <v>0.015281764017979574</v>
      </c>
      <c r="K135" s="237">
        <f t="shared" si="65"/>
        <v>0.0012646468245467446</v>
      </c>
      <c r="L135" s="216">
        <f t="shared" si="88"/>
        <v>1496</v>
      </c>
      <c r="M135" s="172">
        <f t="shared" si="94"/>
        <v>1488.6869740680406</v>
      </c>
      <c r="N135" s="236">
        <f t="shared" si="66"/>
        <v>0.054993744851737116</v>
      </c>
      <c r="O135" s="237">
        <f t="shared" si="67"/>
        <v>0.004471202618743009</v>
      </c>
      <c r="P135" s="216">
        <f t="shared" si="90"/>
        <v>1267</v>
      </c>
      <c r="Q135" s="172">
        <f t="shared" si="95"/>
        <v>1266.9988846285007</v>
      </c>
      <c r="R135" s="236">
        <f t="shared" si="68"/>
        <v>0.013601395386289412</v>
      </c>
      <c r="S135" s="237">
        <f t="shared" si="69"/>
        <v>0.0011334496155241177</v>
      </c>
      <c r="T135" s="216">
        <f t="shared" si="91"/>
        <v>117</v>
      </c>
      <c r="U135" s="172">
        <f t="shared" si="96"/>
        <v>116.95441043474989</v>
      </c>
      <c r="V135" s="236">
        <f t="shared" si="70"/>
        <v>-0.0004839804586600871</v>
      </c>
      <c r="W135" s="238">
        <f t="shared" si="71"/>
        <v>-4.0340654210990756E-05</v>
      </c>
    </row>
    <row r="136" spans="1:23" s="172" customFormat="1" ht="12.75">
      <c r="A136" s="173"/>
      <c r="B136" s="9" t="s">
        <v>51</v>
      </c>
      <c r="D136" s="216">
        <f t="shared" si="89"/>
        <v>119951</v>
      </c>
      <c r="E136" s="172">
        <f t="shared" si="92"/>
        <v>119517.49356665129</v>
      </c>
      <c r="F136" s="236">
        <f t="shared" si="62"/>
        <v>0.04035707547277966</v>
      </c>
      <c r="G136" s="237">
        <f t="shared" si="63"/>
        <v>0.0033024407503230435</v>
      </c>
      <c r="H136" s="216">
        <f t="shared" si="87"/>
        <v>7445</v>
      </c>
      <c r="I136" s="172">
        <f t="shared" si="93"/>
        <v>7433.968111629897</v>
      </c>
      <c r="J136" s="236">
        <f t="shared" si="64"/>
        <v>0.015961650370740474</v>
      </c>
      <c r="K136" s="237">
        <f t="shared" si="65"/>
        <v>0.0013205046616555638</v>
      </c>
      <c r="L136" s="216">
        <f t="shared" si="88"/>
        <v>1517</v>
      </c>
      <c r="M136" s="172">
        <f t="shared" si="94"/>
        <v>1493.8060922204122</v>
      </c>
      <c r="N136" s="236">
        <f t="shared" si="66"/>
        <v>0.05396096723498402</v>
      </c>
      <c r="O136" s="237">
        <f t="shared" si="67"/>
        <v>0.004389222580830854</v>
      </c>
      <c r="P136" s="216">
        <f t="shared" si="90"/>
        <v>1267</v>
      </c>
      <c r="Q136" s="172">
        <f t="shared" si="95"/>
        <v>1266.99966538855</v>
      </c>
      <c r="R136" s="236">
        <f t="shared" si="68"/>
        <v>0.013600418615225384</v>
      </c>
      <c r="S136" s="237">
        <f t="shared" si="69"/>
        <v>0.0011333682179354486</v>
      </c>
      <c r="T136" s="216">
        <f t="shared" si="91"/>
        <v>117</v>
      </c>
      <c r="U136" s="172">
        <f t="shared" si="96"/>
        <v>116.98632313042495</v>
      </c>
      <c r="V136" s="236">
        <f t="shared" si="70"/>
        <v>0.01196341742687467</v>
      </c>
      <c r="W136" s="238">
        <f t="shared" si="71"/>
        <v>0.0009915263562525478</v>
      </c>
    </row>
    <row r="137" spans="1:23" s="172" customFormat="1" ht="12.75">
      <c r="A137" s="173"/>
      <c r="B137" s="9" t="s">
        <v>19</v>
      </c>
      <c r="D137" s="216">
        <f t="shared" si="89"/>
        <v>120231</v>
      </c>
      <c r="E137" s="172">
        <f t="shared" si="92"/>
        <v>119820.94806999539</v>
      </c>
      <c r="F137" s="236">
        <f t="shared" si="62"/>
        <v>0.037355417223471916</v>
      </c>
      <c r="G137" s="237">
        <f t="shared" si="63"/>
        <v>0.0030608922030856967</v>
      </c>
      <c r="H137" s="216">
        <f t="shared" si="87"/>
        <v>7476</v>
      </c>
      <c r="I137" s="172">
        <f t="shared" si="93"/>
        <v>7441.69043348897</v>
      </c>
      <c r="J137" s="236">
        <f t="shared" si="64"/>
        <v>0.013060371390462901</v>
      </c>
      <c r="K137" s="237">
        <f t="shared" si="65"/>
        <v>0.0010819031792053124</v>
      </c>
      <c r="L137" s="216">
        <f t="shared" si="88"/>
        <v>1518</v>
      </c>
      <c r="M137" s="172">
        <f t="shared" si="94"/>
        <v>1510.0418276661235</v>
      </c>
      <c r="N137" s="236">
        <f t="shared" si="66"/>
        <v>0.06453593733101064</v>
      </c>
      <c r="O137" s="237">
        <f t="shared" si="67"/>
        <v>0.005225184291066887</v>
      </c>
      <c r="P137" s="216">
        <f t="shared" si="90"/>
        <v>1267</v>
      </c>
      <c r="Q137" s="172">
        <f t="shared" si="95"/>
        <v>1266.999899616565</v>
      </c>
      <c r="R137" s="236">
        <f t="shared" si="68"/>
        <v>0.013600125584508129</v>
      </c>
      <c r="S137" s="237">
        <f t="shared" si="69"/>
        <v>0.0011333437987090108</v>
      </c>
      <c r="T137" s="216">
        <f t="shared" si="91"/>
        <v>117</v>
      </c>
      <c r="U137" s="172">
        <f t="shared" si="96"/>
        <v>116.99589693912748</v>
      </c>
      <c r="V137" s="236">
        <f t="shared" si="70"/>
        <v>0.015756967759879375</v>
      </c>
      <c r="W137" s="238">
        <f t="shared" si="71"/>
        <v>0.0013036920337128333</v>
      </c>
    </row>
    <row r="138" spans="1:23" s="172" customFormat="1" ht="13.5" thickBot="1">
      <c r="A138" s="180"/>
      <c r="B138" s="178" t="s">
        <v>20</v>
      </c>
      <c r="C138" s="179"/>
      <c r="D138" s="219">
        <f t="shared" si="89"/>
        <v>120395</v>
      </c>
      <c r="E138" s="179">
        <f t="shared" si="92"/>
        <v>120107.9844209986</v>
      </c>
      <c r="F138" s="239">
        <f t="shared" si="62"/>
        <v>0.03385796901881558</v>
      </c>
      <c r="G138" s="240">
        <f t="shared" si="63"/>
        <v>0.002778637103705295</v>
      </c>
      <c r="H138" s="219">
        <f t="shared" si="87"/>
        <v>7485</v>
      </c>
      <c r="I138" s="179">
        <f t="shared" si="93"/>
        <v>7465.7071300466905</v>
      </c>
      <c r="J138" s="239">
        <f t="shared" si="64"/>
        <v>0.011486564078701703</v>
      </c>
      <c r="K138" s="240">
        <f t="shared" si="65"/>
        <v>0.0009522109296191683</v>
      </c>
      <c r="L138" s="219">
        <f t="shared" si="88"/>
        <v>1519</v>
      </c>
      <c r="M138" s="179">
        <f t="shared" si="94"/>
        <v>1515.6125482998368</v>
      </c>
      <c r="N138" s="239">
        <f t="shared" si="66"/>
        <v>0.05879581141484532</v>
      </c>
      <c r="O138" s="240">
        <f t="shared" si="67"/>
        <v>0.004772371277660614</v>
      </c>
      <c r="P138" s="219">
        <f t="shared" si="90"/>
        <v>1267</v>
      </c>
      <c r="Q138" s="179">
        <f t="shared" si="95"/>
        <v>1266.9999698849695</v>
      </c>
      <c r="R138" s="239">
        <f t="shared" si="68"/>
        <v>0.01360003767534699</v>
      </c>
      <c r="S138" s="240">
        <f t="shared" si="69"/>
        <v>0.0011333364729455826</v>
      </c>
      <c r="T138" s="219">
        <f t="shared" si="91"/>
        <v>117</v>
      </c>
      <c r="U138" s="179">
        <f t="shared" si="96"/>
        <v>116.99876908173823</v>
      </c>
      <c r="V138" s="239">
        <f t="shared" si="70"/>
        <v>0.01690046346129286</v>
      </c>
      <c r="W138" s="241">
        <f t="shared" si="71"/>
        <v>0.0013975790023750267</v>
      </c>
    </row>
    <row r="139" spans="1:23" s="172" customFormat="1" ht="12.75">
      <c r="A139" s="170">
        <v>2009</v>
      </c>
      <c r="B139" s="34" t="s">
        <v>9</v>
      </c>
      <c r="C139" s="169"/>
      <c r="D139" s="214">
        <f>BF3</f>
        <v>120546</v>
      </c>
      <c r="E139" s="169">
        <f t="shared" si="92"/>
        <v>120308.89532629958</v>
      </c>
      <c r="F139" s="242">
        <f t="shared" si="62"/>
        <v>0.030313912876843856</v>
      </c>
      <c r="G139" s="243">
        <f t="shared" si="63"/>
        <v>0.002491726335557276</v>
      </c>
      <c r="H139" s="214">
        <f aca="true" t="shared" si="97" ref="H139:H148">BH3</f>
        <v>7496</v>
      </c>
      <c r="I139" s="169">
        <f t="shared" si="93"/>
        <v>7479.212139014007</v>
      </c>
      <c r="J139" s="242">
        <f t="shared" si="64"/>
        <v>0.00767075080944853</v>
      </c>
      <c r="K139" s="243">
        <f t="shared" si="65"/>
        <v>0.0006369928096596755</v>
      </c>
      <c r="L139" s="214">
        <f aca="true" t="shared" si="98" ref="L139:L148">BI3</f>
        <v>1532</v>
      </c>
      <c r="M139" s="169">
        <f t="shared" si="94"/>
        <v>1517.983764489951</v>
      </c>
      <c r="N139" s="242">
        <f t="shared" si="66"/>
        <v>0.05449605490849134</v>
      </c>
      <c r="O139" s="243">
        <f t="shared" si="67"/>
        <v>0.004431706070290753</v>
      </c>
      <c r="P139" s="214">
        <f>BG3</f>
        <v>1280</v>
      </c>
      <c r="Q139" s="169">
        <f t="shared" si="95"/>
        <v>1266.9999909654907</v>
      </c>
      <c r="R139" s="242">
        <f t="shared" si="68"/>
        <v>0.01360001130260358</v>
      </c>
      <c r="S139" s="243">
        <f t="shared" si="69"/>
        <v>0.001133334275216965</v>
      </c>
      <c r="T139" s="214">
        <f>BJ3</f>
        <v>116</v>
      </c>
      <c r="U139" s="169">
        <f t="shared" si="96"/>
        <v>116.99963072452147</v>
      </c>
      <c r="V139" s="242">
        <f t="shared" si="70"/>
        <v>0.029778663827401623</v>
      </c>
      <c r="W139" s="244">
        <f t="shared" si="71"/>
        <v>0.002448316382036575</v>
      </c>
    </row>
    <row r="140" spans="1:23" s="172" customFormat="1" ht="12.75">
      <c r="A140" s="173"/>
      <c r="B140" s="9" t="s">
        <v>10</v>
      </c>
      <c r="D140" s="216">
        <f aca="true" t="shared" si="99" ref="D140:D148">BF4</f>
        <v>120596</v>
      </c>
      <c r="E140" s="172">
        <f t="shared" si="92"/>
        <v>120474.86859788987</v>
      </c>
      <c r="F140" s="236">
        <f t="shared" si="62"/>
        <v>0.02730839027303167</v>
      </c>
      <c r="G140" s="237">
        <f t="shared" si="63"/>
        <v>0.0022477030148926325</v>
      </c>
      <c r="H140" s="216">
        <f t="shared" si="97"/>
        <v>7497</v>
      </c>
      <c r="I140" s="172">
        <f t="shared" si="93"/>
        <v>7490.963641704202</v>
      </c>
      <c r="J140" s="236">
        <f t="shared" si="64"/>
        <v>0.008139488412777318</v>
      </c>
      <c r="K140" s="237">
        <f t="shared" si="65"/>
        <v>0.0006757733517652742</v>
      </c>
      <c r="L140" s="216">
        <f t="shared" si="98"/>
        <v>1535</v>
      </c>
      <c r="M140" s="172">
        <f t="shared" si="94"/>
        <v>1527.795129346985</v>
      </c>
      <c r="N140" s="236">
        <f t="shared" si="66"/>
        <v>0.0503483308314703</v>
      </c>
      <c r="O140" s="237">
        <f t="shared" si="67"/>
        <v>0.0041018774984473705</v>
      </c>
      <c r="P140" s="216">
        <f aca="true" t="shared" si="100" ref="P140:P148">BG4</f>
        <v>1280</v>
      </c>
      <c r="Q140" s="172">
        <f t="shared" si="95"/>
        <v>1276.0999972896473</v>
      </c>
      <c r="R140" s="236">
        <f t="shared" si="68"/>
        <v>0.011252875998403468</v>
      </c>
      <c r="S140" s="237">
        <f t="shared" si="69"/>
        <v>0.0009377396665336224</v>
      </c>
      <c r="T140" s="216">
        <f aca="true" t="shared" si="101" ref="T140:T148">BJ4</f>
        <v>116</v>
      </c>
      <c r="U140" s="172">
        <f t="shared" si="96"/>
        <v>116.29988921735642</v>
      </c>
      <c r="V140" s="236">
        <f t="shared" si="70"/>
        <v>0.02752136326456805</v>
      </c>
      <c r="W140" s="238">
        <f t="shared" si="71"/>
        <v>0.0022650161715001005</v>
      </c>
    </row>
    <row r="141" spans="1:23" s="172" customFormat="1" ht="12.75">
      <c r="A141" s="173"/>
      <c r="B141" s="9" t="s">
        <v>11</v>
      </c>
      <c r="D141" s="216">
        <f t="shared" si="99"/>
        <v>120697</v>
      </c>
      <c r="E141" s="172">
        <f t="shared" si="92"/>
        <v>120559.66057936696</v>
      </c>
      <c r="F141" s="236">
        <f t="shared" si="62"/>
        <v>0.024194329103908646</v>
      </c>
      <c r="G141" s="237">
        <f t="shared" si="63"/>
        <v>0.00199417599011098</v>
      </c>
      <c r="H141" s="216">
        <f t="shared" si="97"/>
        <v>7507</v>
      </c>
      <c r="I141" s="172">
        <f t="shared" si="93"/>
        <v>7495.18909251126</v>
      </c>
      <c r="J141" s="236">
        <f t="shared" si="64"/>
        <v>0.008944189079554818</v>
      </c>
      <c r="K141" s="237">
        <f t="shared" si="65"/>
        <v>0.0007423109380897408</v>
      </c>
      <c r="L141" s="216">
        <f t="shared" si="98"/>
        <v>1542</v>
      </c>
      <c r="M141" s="172">
        <f t="shared" si="94"/>
        <v>1532.8385388040956</v>
      </c>
      <c r="N141" s="236">
        <f t="shared" si="66"/>
        <v>0.041565354132427436</v>
      </c>
      <c r="O141" s="237">
        <f t="shared" si="67"/>
        <v>0.0033994926928895275</v>
      </c>
      <c r="P141" s="216">
        <f t="shared" si="100"/>
        <v>1280</v>
      </c>
      <c r="Q141" s="172">
        <f t="shared" si="95"/>
        <v>1278.8299991868942</v>
      </c>
      <c r="R141" s="236">
        <f t="shared" si="68"/>
        <v>0.010557343331161598</v>
      </c>
      <c r="S141" s="237">
        <f t="shared" si="69"/>
        <v>0.0008797786109301332</v>
      </c>
      <c r="T141" s="216">
        <f t="shared" si="101"/>
        <v>115</v>
      </c>
      <c r="U141" s="172">
        <f t="shared" si="96"/>
        <v>116.08996676520692</v>
      </c>
      <c r="V141" s="236">
        <f t="shared" si="70"/>
        <v>0.026840813823519306</v>
      </c>
      <c r="W141" s="238">
        <f t="shared" si="71"/>
        <v>0.002209680903314082</v>
      </c>
    </row>
    <row r="142" spans="1:23" s="172" customFormat="1" ht="12.75">
      <c r="A142" s="173"/>
      <c r="B142" s="9" t="s">
        <v>12</v>
      </c>
      <c r="D142" s="216">
        <f t="shared" si="99"/>
        <v>120743</v>
      </c>
      <c r="E142" s="172">
        <f t="shared" si="92"/>
        <v>120655.79817381008</v>
      </c>
      <c r="F142" s="236">
        <f t="shared" si="62"/>
        <v>0.02231000021519098</v>
      </c>
      <c r="G142" s="237">
        <f t="shared" si="63"/>
        <v>0.0018404225698751553</v>
      </c>
      <c r="H142" s="216">
        <f t="shared" si="97"/>
        <v>7490</v>
      </c>
      <c r="I142" s="172">
        <f t="shared" si="93"/>
        <v>7503.456727753377</v>
      </c>
      <c r="J142" s="236">
        <f t="shared" si="64"/>
        <v>0.009272044129238398</v>
      </c>
      <c r="K142" s="237">
        <f t="shared" si="65"/>
        <v>0.0007694060579599427</v>
      </c>
      <c r="L142" s="216">
        <f t="shared" si="98"/>
        <v>1558</v>
      </c>
      <c r="M142" s="172">
        <f t="shared" si="94"/>
        <v>1539.2515616412286</v>
      </c>
      <c r="N142" s="236">
        <f t="shared" si="66"/>
        <v>0.03786063345544874</v>
      </c>
      <c r="O142" s="237">
        <f t="shared" si="67"/>
        <v>0.0031015926187871745</v>
      </c>
      <c r="P142" s="216">
        <f t="shared" si="100"/>
        <v>1280</v>
      </c>
      <c r="Q142" s="172">
        <f t="shared" si="95"/>
        <v>1279.6489997560682</v>
      </c>
      <c r="R142" s="236">
        <f t="shared" si="68"/>
        <v>0.0103494481263987</v>
      </c>
      <c r="S142" s="237">
        <f t="shared" si="69"/>
        <v>0.0008624540105332249</v>
      </c>
      <c r="T142" s="216">
        <f t="shared" si="101"/>
        <v>115</v>
      </c>
      <c r="U142" s="172">
        <f t="shared" si="96"/>
        <v>115.32699002956207</v>
      </c>
      <c r="V142" s="236">
        <f t="shared" si="70"/>
        <v>0.02044256685187425</v>
      </c>
      <c r="W142" s="238">
        <f t="shared" si="71"/>
        <v>0.0016877912410264706</v>
      </c>
    </row>
    <row r="143" spans="1:23" s="172" customFormat="1" ht="12.75">
      <c r="A143" s="173"/>
      <c r="B143" s="9" t="s">
        <v>13</v>
      </c>
      <c r="D143" s="216">
        <f t="shared" si="99"/>
        <v>120836</v>
      </c>
      <c r="E143" s="172">
        <f t="shared" si="92"/>
        <v>120716.83945214302</v>
      </c>
      <c r="F143" s="236">
        <f t="shared" si="62"/>
        <v>0.019939925272272587</v>
      </c>
      <c r="G143" s="237">
        <f t="shared" si="63"/>
        <v>0.0016466649971453862</v>
      </c>
      <c r="H143" s="216">
        <f t="shared" si="97"/>
        <v>7486</v>
      </c>
      <c r="I143" s="172">
        <f t="shared" si="93"/>
        <v>7494.037018326013</v>
      </c>
      <c r="J143" s="236">
        <f t="shared" si="64"/>
        <v>0.009004787234353972</v>
      </c>
      <c r="K143" s="237">
        <f t="shared" si="65"/>
        <v>0.0007473195953915379</v>
      </c>
      <c r="L143" s="216">
        <f t="shared" si="98"/>
        <v>1568</v>
      </c>
      <c r="M143" s="172">
        <f t="shared" si="94"/>
        <v>1552.3754684923683</v>
      </c>
      <c r="N143" s="236">
        <f t="shared" si="66"/>
        <v>0.047253533561902164</v>
      </c>
      <c r="O143" s="237">
        <f t="shared" si="67"/>
        <v>0.0038549993832055485</v>
      </c>
      <c r="P143" s="216">
        <f t="shared" si="100"/>
        <v>1280</v>
      </c>
      <c r="Q143" s="172">
        <f t="shared" si="95"/>
        <v>1279.8946999268205</v>
      </c>
      <c r="R143" s="236">
        <f t="shared" si="68"/>
        <v>0.010287148109013681</v>
      </c>
      <c r="S143" s="237">
        <f t="shared" si="69"/>
        <v>0.0008572623424178068</v>
      </c>
      <c r="T143" s="216">
        <f t="shared" si="101"/>
        <v>116</v>
      </c>
      <c r="U143" s="172">
        <f t="shared" si="96"/>
        <v>115.09809700886862</v>
      </c>
      <c r="V143" s="236">
        <f t="shared" si="70"/>
        <v>0.012251925272701643</v>
      </c>
      <c r="W143" s="238">
        <f t="shared" si="71"/>
        <v>0.0010153048985646063</v>
      </c>
    </row>
    <row r="144" spans="1:23" s="172" customFormat="1" ht="12.75">
      <c r="A144" s="173"/>
      <c r="B144" s="9" t="s">
        <v>14</v>
      </c>
      <c r="D144" s="216">
        <f t="shared" si="99"/>
        <v>120918</v>
      </c>
      <c r="E144" s="172">
        <f t="shared" si="92"/>
        <v>120800.2518356429</v>
      </c>
      <c r="F144" s="236">
        <f t="shared" si="62"/>
        <v>0.01783831918089816</v>
      </c>
      <c r="G144" s="237">
        <f t="shared" si="63"/>
        <v>0.0014745096462533969</v>
      </c>
      <c r="H144" s="216">
        <f t="shared" si="97"/>
        <v>7489</v>
      </c>
      <c r="I144" s="172">
        <f t="shared" si="93"/>
        <v>7488.411105497804</v>
      </c>
      <c r="J144" s="236">
        <f t="shared" si="64"/>
        <v>0.008357270369429312</v>
      </c>
      <c r="K144" s="237">
        <f t="shared" si="65"/>
        <v>0.0006937857032331962</v>
      </c>
      <c r="L144" s="216">
        <f t="shared" si="98"/>
        <v>1570</v>
      </c>
      <c r="M144" s="172">
        <f t="shared" si="94"/>
        <v>1563.3126405477103</v>
      </c>
      <c r="N144" s="236">
        <f t="shared" si="66"/>
        <v>0.05629301017356704</v>
      </c>
      <c r="O144" s="237">
        <f t="shared" si="67"/>
        <v>0.004574231548991614</v>
      </c>
      <c r="P144" s="216">
        <f t="shared" si="100"/>
        <v>1280</v>
      </c>
      <c r="Q144" s="172">
        <f t="shared" si="95"/>
        <v>1279.968409978046</v>
      </c>
      <c r="R144" s="236">
        <f t="shared" si="68"/>
        <v>0.010268464265513444</v>
      </c>
      <c r="S144" s="237">
        <f t="shared" si="69"/>
        <v>0.0008557053554594537</v>
      </c>
      <c r="T144" s="216">
        <f t="shared" si="101"/>
        <v>114</v>
      </c>
      <c r="U144" s="172">
        <f t="shared" si="96"/>
        <v>115.72942910266057</v>
      </c>
      <c r="V144" s="236">
        <f t="shared" si="70"/>
        <v>0.0036243698858293726</v>
      </c>
      <c r="W144" s="238">
        <f t="shared" si="71"/>
        <v>0.0003015302581332868</v>
      </c>
    </row>
    <row r="145" spans="1:23" s="172" customFormat="1" ht="12.75">
      <c r="A145" s="173"/>
      <c r="B145" s="9" t="s">
        <v>15</v>
      </c>
      <c r="D145" s="216">
        <f t="shared" si="99"/>
        <v>121070</v>
      </c>
      <c r="E145" s="172">
        <f t="shared" si="92"/>
        <v>120882.67555069286</v>
      </c>
      <c r="F145" s="236">
        <f aca="true" t="shared" si="102" ref="F145:F152">((E145-E133)/E133)</f>
        <v>0.01681845386624541</v>
      </c>
      <c r="G145" s="237">
        <f aca="true" t="shared" si="103" ref="G145:G152">(1+F145)^(1/12)-1</f>
        <v>0.001390848808630718</v>
      </c>
      <c r="H145" s="216">
        <f t="shared" si="97"/>
        <v>7500</v>
      </c>
      <c r="I145" s="172">
        <f t="shared" si="93"/>
        <v>7488.823331649341</v>
      </c>
      <c r="J145" s="236">
        <f aca="true" t="shared" si="104" ref="J145:J152">((I145-I133)/I133)</f>
        <v>0.00968304667314385</v>
      </c>
      <c r="K145" s="237">
        <f aca="true" t="shared" si="105" ref="K145:K152">(1+J145)^(1/12)-1</f>
        <v>0.0008033613910207738</v>
      </c>
      <c r="L145" s="216">
        <f t="shared" si="98"/>
        <v>1575</v>
      </c>
      <c r="M145" s="172">
        <f t="shared" si="94"/>
        <v>1567.9937921643132</v>
      </c>
      <c r="N145" s="236">
        <f aca="true" t="shared" si="106" ref="N145:N152">((M145-M133)/M133)</f>
        <v>0.059956802252905284</v>
      </c>
      <c r="O145" s="237">
        <f aca="true" t="shared" si="107" ref="O145:O152">(1+N145)^(1/12)-1</f>
        <v>0.004864137921858802</v>
      </c>
      <c r="P145" s="216">
        <f t="shared" si="100"/>
        <v>1280</v>
      </c>
      <c r="Q145" s="172">
        <f t="shared" si="95"/>
        <v>1279.9905229934138</v>
      </c>
      <c r="R145" s="236">
        <f aca="true" t="shared" si="108" ref="R145:R150">((Q145-Q133)/Q133)</f>
        <v>0.010262859666822293</v>
      </c>
      <c r="S145" s="237">
        <f aca="true" t="shared" si="109" ref="S145:S150">R145/12</f>
        <v>0.0008552383055685244</v>
      </c>
      <c r="T145" s="216">
        <f t="shared" si="101"/>
        <v>114</v>
      </c>
      <c r="U145" s="172">
        <f t="shared" si="96"/>
        <v>114.51882873079816</v>
      </c>
      <c r="V145" s="236">
        <f aca="true" t="shared" si="110" ref="V145:V152">((U145-U133)/U133)</f>
        <v>-0.016950485683871832</v>
      </c>
      <c r="W145" s="238">
        <f t="shared" si="71"/>
        <v>-0.0014236347930922655</v>
      </c>
    </row>
    <row r="146" spans="1:23" s="172" customFormat="1" ht="12.75">
      <c r="A146" s="173"/>
      <c r="B146" s="9" t="s">
        <v>16</v>
      </c>
      <c r="D146" s="216">
        <f t="shared" si="99"/>
        <v>121201</v>
      </c>
      <c r="E146" s="172">
        <f t="shared" si="92"/>
        <v>121013.80266520786</v>
      </c>
      <c r="F146" s="236">
        <f t="shared" si="102"/>
        <v>0.015537032843360077</v>
      </c>
      <c r="G146" s="237">
        <f t="shared" si="103"/>
        <v>0.0012856231198650203</v>
      </c>
      <c r="H146" s="216">
        <f t="shared" si="97"/>
        <v>7517</v>
      </c>
      <c r="I146" s="172">
        <f t="shared" si="93"/>
        <v>7496.646999494802</v>
      </c>
      <c r="J146" s="236">
        <f t="shared" si="104"/>
        <v>0.011119978604588418</v>
      </c>
      <c r="K146" s="237">
        <f t="shared" si="105"/>
        <v>0.0009219752745310839</v>
      </c>
      <c r="L146" s="216">
        <f t="shared" si="98"/>
        <v>1579</v>
      </c>
      <c r="M146" s="172">
        <f t="shared" si="94"/>
        <v>1572.8981376492939</v>
      </c>
      <c r="N146" s="236">
        <f t="shared" si="106"/>
        <v>0.060411807071541763</v>
      </c>
      <c r="O146" s="237">
        <f t="shared" si="107"/>
        <v>0.004900077129633251</v>
      </c>
      <c r="P146" s="216">
        <f t="shared" si="100"/>
        <v>1280</v>
      </c>
      <c r="Q146" s="172">
        <f t="shared" si="95"/>
        <v>1279.997156898024</v>
      </c>
      <c r="R146" s="236">
        <f t="shared" si="108"/>
        <v>0.010261178337101846</v>
      </c>
      <c r="S146" s="237">
        <f t="shared" si="109"/>
        <v>0.0008550981947584871</v>
      </c>
      <c r="T146" s="216">
        <f t="shared" si="101"/>
        <v>114</v>
      </c>
      <c r="U146" s="172">
        <f t="shared" si="96"/>
        <v>114.15564861923944</v>
      </c>
      <c r="V146" s="236">
        <f t="shared" si="110"/>
        <v>-0.02304177531331018</v>
      </c>
      <c r="W146" s="238">
        <f aca="true" t="shared" si="111" ref="W146:W152">(1+V146)^(1/12)-1</f>
        <v>-0.0019407298951787944</v>
      </c>
    </row>
    <row r="147" spans="1:23" s="172" customFormat="1" ht="12.75">
      <c r="A147" s="173"/>
      <c r="B147" s="9" t="s">
        <v>17</v>
      </c>
      <c r="D147" s="216">
        <f t="shared" si="99"/>
        <v>121267</v>
      </c>
      <c r="E147" s="172">
        <f t="shared" si="92"/>
        <v>121144.84079956234</v>
      </c>
      <c r="F147" s="236">
        <f t="shared" si="102"/>
        <v>0.014993290892586065</v>
      </c>
      <c r="G147" s="237">
        <f t="shared" si="103"/>
        <v>0.0012409362010930014</v>
      </c>
      <c r="H147" s="216">
        <f t="shared" si="97"/>
        <v>7523</v>
      </c>
      <c r="I147" s="172">
        <f t="shared" si="93"/>
        <v>7510.8940998484395</v>
      </c>
      <c r="J147" s="236">
        <f t="shared" si="104"/>
        <v>0.012582806619255345</v>
      </c>
      <c r="K147" s="237">
        <f t="shared" si="105"/>
        <v>0.0010425681775678708</v>
      </c>
      <c r="L147" s="216">
        <f t="shared" si="98"/>
        <v>1583</v>
      </c>
      <c r="M147" s="172">
        <f t="shared" si="94"/>
        <v>1577.1694412947882</v>
      </c>
      <c r="N147" s="236">
        <f t="shared" si="106"/>
        <v>0.05943658322270201</v>
      </c>
      <c r="O147" s="237">
        <f t="shared" si="107"/>
        <v>0.004823030344500934</v>
      </c>
      <c r="P147" s="216">
        <f t="shared" si="100"/>
        <v>1280</v>
      </c>
      <c r="Q147" s="172">
        <f t="shared" si="95"/>
        <v>1279.9991470694072</v>
      </c>
      <c r="R147" s="236">
        <f t="shared" si="108"/>
        <v>0.010260673942675401</v>
      </c>
      <c r="S147" s="237">
        <f t="shared" si="109"/>
        <v>0.0008550561618896167</v>
      </c>
      <c r="T147" s="216">
        <f t="shared" si="101"/>
        <v>113</v>
      </c>
      <c r="U147" s="172">
        <f t="shared" si="96"/>
        <v>114.04669458577183</v>
      </c>
      <c r="V147" s="236">
        <f t="shared" si="110"/>
        <v>-0.0248619597856064</v>
      </c>
      <c r="W147" s="238">
        <f t="shared" si="111"/>
        <v>-0.002095820552891592</v>
      </c>
    </row>
    <row r="148" spans="1:23" s="172" customFormat="1" ht="12.75">
      <c r="A148" s="173"/>
      <c r="B148" s="9" t="s">
        <v>51</v>
      </c>
      <c r="D148" s="216">
        <f t="shared" si="99"/>
        <v>121405</v>
      </c>
      <c r="E148" s="172">
        <f t="shared" si="92"/>
        <v>121230.35223986869</v>
      </c>
      <c r="F148" s="236">
        <f t="shared" si="102"/>
        <v>0.014331447406585643</v>
      </c>
      <c r="G148" s="237">
        <f t="shared" si="103"/>
        <v>0.001186513598281369</v>
      </c>
      <c r="H148" s="216">
        <f t="shared" si="97"/>
        <v>7604</v>
      </c>
      <c r="I148" s="172">
        <f t="shared" si="93"/>
        <v>7519.368229954531</v>
      </c>
      <c r="J148" s="236">
        <f t="shared" si="104"/>
        <v>0.011487824139443305</v>
      </c>
      <c r="K148" s="237">
        <f t="shared" si="105"/>
        <v>0.0009523148410228721</v>
      </c>
      <c r="L148" s="216">
        <f t="shared" si="98"/>
        <v>1532</v>
      </c>
      <c r="M148" s="172">
        <f t="shared" si="94"/>
        <v>1581.2508323884363</v>
      </c>
      <c r="N148" s="236">
        <f t="shared" si="106"/>
        <v>0.05853821364327487</v>
      </c>
      <c r="O148" s="237">
        <f t="shared" si="107"/>
        <v>0.0047519978191901124</v>
      </c>
      <c r="P148" s="216">
        <f t="shared" si="100"/>
        <v>1280</v>
      </c>
      <c r="Q148" s="172">
        <f t="shared" si="95"/>
        <v>1279.999744120822</v>
      </c>
      <c r="R148" s="236">
        <f t="shared" si="108"/>
        <v>0.010260522624751627</v>
      </c>
      <c r="S148" s="237">
        <f t="shared" si="109"/>
        <v>0.0008550435520626355</v>
      </c>
      <c r="T148" s="216">
        <f t="shared" si="101"/>
        <v>113</v>
      </c>
      <c r="U148" s="172">
        <f t="shared" si="96"/>
        <v>113.31400837573153</v>
      </c>
      <c r="V148" s="236">
        <f t="shared" si="110"/>
        <v>-0.03139097508517513</v>
      </c>
      <c r="W148" s="238">
        <f t="shared" si="111"/>
        <v>-0.0026543236679260618</v>
      </c>
    </row>
    <row r="149" spans="1:23" s="172" customFormat="1" ht="12.75">
      <c r="A149" s="173"/>
      <c r="B149" s="9" t="s">
        <v>19</v>
      </c>
      <c r="D149" s="216">
        <f>BF13</f>
        <v>121519</v>
      </c>
      <c r="E149" s="172">
        <f>0.7*D148+0.3*E148</f>
        <v>121352.6056719606</v>
      </c>
      <c r="F149" s="236">
        <f t="shared" si="102"/>
        <v>0.012782886687480306</v>
      </c>
      <c r="G149" s="237">
        <f t="shared" si="103"/>
        <v>0.0010590500007015002</v>
      </c>
      <c r="H149" s="216">
        <f>BH13</f>
        <v>7616</v>
      </c>
      <c r="I149" s="172">
        <f>0.7*H148+0.3*I148</f>
        <v>7578.610468986359</v>
      </c>
      <c r="J149" s="236">
        <f t="shared" si="104"/>
        <v>0.018399050151458044</v>
      </c>
      <c r="K149" s="237">
        <f t="shared" si="105"/>
        <v>0.0015204743819356992</v>
      </c>
      <c r="L149" s="216">
        <f>BI13</f>
        <v>1536</v>
      </c>
      <c r="M149" s="172">
        <f>0.7*L148+0.3*M148</f>
        <v>1546.7752497165307</v>
      </c>
      <c r="N149" s="236">
        <f t="shared" si="106"/>
        <v>0.02432609572622321</v>
      </c>
      <c r="O149" s="237">
        <f t="shared" si="107"/>
        <v>0.002004917897167502</v>
      </c>
      <c r="P149" s="216">
        <f>BG13</f>
        <v>1280</v>
      </c>
      <c r="Q149" s="172">
        <f>0.7*P148+0.3*Q148</f>
        <v>1279.9999232362466</v>
      </c>
      <c r="R149" s="236">
        <f t="shared" si="108"/>
        <v>0.010260477229410805</v>
      </c>
      <c r="S149" s="237">
        <f t="shared" si="109"/>
        <v>0.0008550397691175671</v>
      </c>
      <c r="T149" s="216">
        <f>BJ13</f>
        <v>110</v>
      </c>
      <c r="U149" s="172">
        <f>0.7*T148+0.3*U148</f>
        <v>113.09420251271945</v>
      </c>
      <c r="V149" s="236">
        <f t="shared" si="110"/>
        <v>-0.03334898512242754</v>
      </c>
      <c r="W149" s="238">
        <f t="shared" si="111"/>
        <v>-0.0028224878795186648</v>
      </c>
    </row>
    <row r="150" spans="1:23" s="172" customFormat="1" ht="12.75">
      <c r="A150" s="173"/>
      <c r="B150" s="9" t="s">
        <v>20</v>
      </c>
      <c r="D150" s="216">
        <f>BF14</f>
        <v>121692</v>
      </c>
      <c r="E150" s="172">
        <f>0.7*D149+0.3*E149</f>
        <v>121469.08170158818</v>
      </c>
      <c r="F150" s="236">
        <f t="shared" si="102"/>
        <v>0.01133227975767788</v>
      </c>
      <c r="G150" s="237">
        <f t="shared" si="103"/>
        <v>0.0009394869156811314</v>
      </c>
      <c r="H150" s="216">
        <f>BH14</f>
        <v>7620</v>
      </c>
      <c r="I150" s="172">
        <f>0.7*H149+0.3*I149</f>
        <v>7604.783140695907</v>
      </c>
      <c r="J150" s="236">
        <f t="shared" si="104"/>
        <v>0.01862864538169292</v>
      </c>
      <c r="K150" s="237">
        <f t="shared" si="105"/>
        <v>0.0015392882715030698</v>
      </c>
      <c r="L150" s="216">
        <f>BI14</f>
        <v>1534</v>
      </c>
      <c r="M150" s="172">
        <f>0.7*L149+0.3*M149</f>
        <v>1539.232574914959</v>
      </c>
      <c r="N150" s="236">
        <f t="shared" si="106"/>
        <v>0.015584475492511851</v>
      </c>
      <c r="O150" s="237">
        <f t="shared" si="107"/>
        <v>0.0012895211087999847</v>
      </c>
      <c r="P150" s="216">
        <f>BG14</f>
        <v>1280</v>
      </c>
      <c r="Q150" s="172">
        <f>0.7*P149+0.3*Q149</f>
        <v>1279.9999769708738</v>
      </c>
      <c r="R150" s="236">
        <f t="shared" si="108"/>
        <v>0.010260463610811796</v>
      </c>
      <c r="S150" s="237">
        <f t="shared" si="109"/>
        <v>0.0008550386342343163</v>
      </c>
      <c r="T150" s="216">
        <f>BJ14</f>
        <v>111</v>
      </c>
      <c r="U150" s="172">
        <f>0.7*T149+0.3*U149</f>
        <v>110.92826075381583</v>
      </c>
      <c r="V150" s="236">
        <f t="shared" si="110"/>
        <v>-0.051885232430790705</v>
      </c>
      <c r="W150" s="238">
        <f t="shared" si="111"/>
        <v>-0.004430134642965267</v>
      </c>
    </row>
    <row r="151" spans="1:23" s="172" customFormat="1" ht="12.75">
      <c r="A151" s="173"/>
      <c r="B151" s="9" t="s">
        <v>9</v>
      </c>
      <c r="D151" s="216">
        <f>D34</f>
        <v>121786</v>
      </c>
      <c r="E151" s="172">
        <f>0.7*D150+0.3*E150</f>
        <v>121625.12451047645</v>
      </c>
      <c r="F151" s="236">
        <f t="shared" si="102"/>
        <v>0.01094041451055653</v>
      </c>
      <c r="G151" s="237">
        <f t="shared" si="103"/>
        <v>0.0009071613155662295</v>
      </c>
      <c r="H151" s="216">
        <f>F34</f>
        <v>7668</v>
      </c>
      <c r="I151" s="172">
        <f>0.7*H150+0.3*I150</f>
        <v>7615.434942208773</v>
      </c>
      <c r="J151" s="236">
        <f t="shared" si="104"/>
        <v>0.018213523117519653</v>
      </c>
      <c r="K151" s="237">
        <f t="shared" si="105"/>
        <v>0.0015052687642462814</v>
      </c>
      <c r="L151" s="216">
        <f>G34</f>
        <v>1536</v>
      </c>
      <c r="M151" s="172">
        <f>0.7*L150+0.3*M150</f>
        <v>1535.5697724744878</v>
      </c>
      <c r="N151" s="236">
        <f t="shared" si="106"/>
        <v>0.01158510940362115</v>
      </c>
      <c r="O151" s="237">
        <f t="shared" si="107"/>
        <v>0.0009603371503084102</v>
      </c>
      <c r="P151" s="216"/>
      <c r="R151" s="236"/>
      <c r="S151" s="237"/>
      <c r="T151" s="216">
        <f>H34</f>
        <v>112</v>
      </c>
      <c r="U151" s="172">
        <f>0.7*T150+0.3*U150</f>
        <v>110.97847822614474</v>
      </c>
      <c r="V151" s="236">
        <f t="shared" si="110"/>
        <v>-0.051463004294036406</v>
      </c>
      <c r="W151" s="238">
        <f t="shared" si="111"/>
        <v>-0.0043931953883368235</v>
      </c>
    </row>
    <row r="152" spans="1:23" s="172" customFormat="1" ht="13.5" thickBot="1">
      <c r="A152" s="180"/>
      <c r="B152" s="245" t="s">
        <v>10</v>
      </c>
      <c r="C152" s="179"/>
      <c r="D152" s="219">
        <f>D35</f>
        <v>121899</v>
      </c>
      <c r="E152" s="179">
        <f>0.7*D151+0.3*E151</f>
        <v>121737.73735314293</v>
      </c>
      <c r="F152" s="239">
        <f t="shared" si="102"/>
        <v>0.010482424840554507</v>
      </c>
      <c r="G152" s="240">
        <f t="shared" si="103"/>
        <v>0.0008693664445023064</v>
      </c>
      <c r="H152" s="219">
        <f>F35</f>
        <v>7665</v>
      </c>
      <c r="I152" s="179">
        <f>0.7*H151+0.3*I151</f>
        <v>7652.230482662631</v>
      </c>
      <c r="J152" s="239">
        <f t="shared" si="104"/>
        <v>0.021528183645240735</v>
      </c>
      <c r="K152" s="240">
        <f t="shared" si="105"/>
        <v>0.0017765533164355585</v>
      </c>
      <c r="L152" s="219">
        <f>G35</f>
        <v>1541</v>
      </c>
      <c r="M152" s="179">
        <f>0.7*L151+0.3*M151</f>
        <v>1535.870931742346</v>
      </c>
      <c r="N152" s="239">
        <f t="shared" si="106"/>
        <v>0.005285919715435169</v>
      </c>
      <c r="O152" s="240">
        <f t="shared" si="107"/>
        <v>0.00043942971084898197</v>
      </c>
      <c r="P152" s="181"/>
      <c r="Q152" s="181"/>
      <c r="R152" s="179"/>
      <c r="S152" s="179"/>
      <c r="T152" s="219">
        <f>H35</f>
        <v>112</v>
      </c>
      <c r="U152" s="179">
        <f>0.7*T151+0.3*U151</f>
        <v>111.69354346784341</v>
      </c>
      <c r="V152" s="239">
        <f t="shared" si="110"/>
        <v>-0.03960748183434698</v>
      </c>
      <c r="W152" s="241">
        <f t="shared" si="111"/>
        <v>-0.0033621025162732243</v>
      </c>
    </row>
    <row r="153" spans="1:23" s="172" customFormat="1" ht="13.5" thickBot="1">
      <c r="A153" s="173"/>
      <c r="G153" s="123"/>
      <c r="H153" s="123"/>
      <c r="P153" s="123"/>
      <c r="Q153" s="123"/>
      <c r="W153" s="231"/>
    </row>
    <row r="154" spans="1:23" s="46" customFormat="1" ht="13.5" thickBot="1">
      <c r="A154" s="537"/>
      <c r="B154" s="538"/>
      <c r="C154" s="538"/>
      <c r="D154" s="538"/>
      <c r="E154" s="538"/>
      <c r="F154" s="539">
        <f>AVERAGE(F139:F152)</f>
        <v>0.01779450769479945</v>
      </c>
      <c r="G154" s="540">
        <f>G152</f>
        <v>0.0008693664445023064</v>
      </c>
      <c r="H154" s="541"/>
      <c r="I154" s="538"/>
      <c r="J154" s="539">
        <f>AVERAGE(J139:J152)</f>
        <v>0.012359399169081757</v>
      </c>
      <c r="K154" s="540">
        <f>K152</f>
        <v>0.0017765533164355585</v>
      </c>
      <c r="L154" s="538"/>
      <c r="M154" s="538"/>
      <c r="N154" s="539">
        <f>AVERAGE(N139:N152)</f>
        <v>0.04163870882796587</v>
      </c>
      <c r="O154" s="540">
        <f>O152</f>
        <v>0.00043942971084898197</v>
      </c>
      <c r="P154" s="538"/>
      <c r="Q154" s="538"/>
      <c r="R154" s="539">
        <f>AVERAGE(R139:R151)</f>
        <v>0.010656788878722354</v>
      </c>
      <c r="S154" s="540">
        <f>S150</f>
        <v>0.0008550386342343163</v>
      </c>
      <c r="T154" s="538"/>
      <c r="U154" s="538"/>
      <c r="V154" s="539">
        <f>AVERAGE(V139:V151)</f>
        <v>-0.008652516522255689</v>
      </c>
      <c r="W154" s="542">
        <f>W152</f>
        <v>-0.0033621025162732243</v>
      </c>
    </row>
    <row r="155" spans="7:17" s="172" customFormat="1" ht="12.75">
      <c r="G155" s="123"/>
      <c r="H155" s="123"/>
      <c r="P155" s="123"/>
      <c r="Q155" s="123"/>
    </row>
    <row r="156" spans="7:17" s="172" customFormat="1" ht="12.75">
      <c r="G156" s="123"/>
      <c r="H156" s="123"/>
      <c r="J156" s="249"/>
      <c r="P156" s="123"/>
      <c r="Q156" s="123"/>
    </row>
    <row r="157" spans="2:20" ht="12.75">
      <c r="B157" s="29">
        <v>2003</v>
      </c>
      <c r="D157" s="193">
        <f>AVERAGE(E68:E78)</f>
        <v>91178.20349818272</v>
      </c>
      <c r="E157" s="193"/>
      <c r="F157" s="193"/>
      <c r="G157" s="698"/>
      <c r="H157" s="193">
        <f>AVERAGE(I68:I78)</f>
        <v>6504.351123676463</v>
      </c>
      <c r="I157" s="193"/>
      <c r="J157" s="193"/>
      <c r="K157" s="193"/>
      <c r="L157" s="193">
        <f>AVERAGE(M68:M78)</f>
        <v>1351.5893994322907</v>
      </c>
      <c r="M157" s="193"/>
      <c r="N157" s="193"/>
      <c r="O157" s="193"/>
      <c r="P157" s="193">
        <f>AVERAGE(Q68:Q78)</f>
        <v>1105</v>
      </c>
      <c r="Q157" s="698"/>
      <c r="R157" s="193"/>
      <c r="S157" s="193"/>
      <c r="T157" s="193">
        <f>AVERAGE(U68:U78)</f>
        <v>125.00289710082725</v>
      </c>
    </row>
    <row r="158" spans="2:20" ht="12.75">
      <c r="B158" s="29">
        <v>2004</v>
      </c>
      <c r="D158" s="193">
        <f>AVERAGE(E79:E90)</f>
        <v>97501.89067812388</v>
      </c>
      <c r="E158" s="193"/>
      <c r="F158" s="193"/>
      <c r="G158" s="698"/>
      <c r="H158" s="193">
        <f>AVERAGE(I79:I90)</f>
        <v>6621.320125363652</v>
      </c>
      <c r="I158" s="193"/>
      <c r="J158" s="193"/>
      <c r="K158" s="193"/>
      <c r="L158" s="193">
        <f>AVERAGE(M79:M90)</f>
        <v>1394.9755582530336</v>
      </c>
      <c r="M158" s="193"/>
      <c r="N158" s="193"/>
      <c r="O158" s="193"/>
      <c r="P158" s="193">
        <f>AVERAGE(Q79:Q90)</f>
        <v>1127.023811105479</v>
      </c>
      <c r="Q158" s="698"/>
      <c r="R158" s="193"/>
      <c r="S158" s="193"/>
      <c r="T158" s="193">
        <f>AVERAGE(U79:U90)</f>
        <v>125.61772383777183</v>
      </c>
    </row>
    <row r="159" spans="2:20" ht="12.75">
      <c r="B159" s="29">
        <v>2005</v>
      </c>
      <c r="D159" s="193">
        <f>AVERAGE(E91:E102)</f>
        <v>104149.5953760121</v>
      </c>
      <c r="E159" s="193"/>
      <c r="F159" s="193"/>
      <c r="G159" s="698"/>
      <c r="H159" s="193">
        <f>AVERAGE(I91:I102)</f>
        <v>6868.061870438458</v>
      </c>
      <c r="I159" s="193"/>
      <c r="J159" s="193"/>
      <c r="K159" s="193"/>
      <c r="L159" s="193">
        <f>AVERAGE(M91:M102)</f>
        <v>1364.9788668536264</v>
      </c>
      <c r="M159" s="193"/>
      <c r="N159" s="193"/>
      <c r="O159" s="193"/>
      <c r="P159" s="193">
        <f>AVERAGE(Q91:Q102)</f>
        <v>1155.547619300687</v>
      </c>
      <c r="Q159" s="698"/>
      <c r="R159" s="193"/>
      <c r="S159" s="193"/>
      <c r="T159" s="193">
        <f>AVERAGE(U91:U102)</f>
        <v>120.85937863811027</v>
      </c>
    </row>
    <row r="160" spans="2:20" ht="12.75">
      <c r="B160" s="278">
        <v>2006</v>
      </c>
      <c r="D160" s="193">
        <f>AVERAGE(E103:E114)</f>
        <v>109292.45779130967</v>
      </c>
      <c r="E160" s="193"/>
      <c r="F160" s="193"/>
      <c r="G160" s="698"/>
      <c r="H160" s="193">
        <f>AVERAGE(I103:I114)</f>
        <v>7054.599077400698</v>
      </c>
      <c r="I160" s="193"/>
      <c r="J160" s="193"/>
      <c r="K160" s="193"/>
      <c r="L160" s="193">
        <f>AVERAGE(M103:M114)</f>
        <v>1396.8705203076586</v>
      </c>
      <c r="M160" s="193"/>
      <c r="N160" s="193"/>
      <c r="O160" s="193"/>
      <c r="P160" s="193">
        <f>AVERAGE(Q103:Q114)</f>
        <v>1201.2857154877831</v>
      </c>
      <c r="Q160" s="698"/>
      <c r="R160" s="193"/>
      <c r="S160" s="193"/>
      <c r="T160" s="193">
        <f>AVERAGE(U103:U114)</f>
        <v>118.54188801215689</v>
      </c>
    </row>
    <row r="161" spans="2:20" ht="12.75">
      <c r="B161" s="278">
        <v>2007</v>
      </c>
      <c r="D161" s="193">
        <f>AVERAGE(E115:E126)</f>
        <v>113492.0166346901</v>
      </c>
      <c r="E161" s="193"/>
      <c r="F161" s="193"/>
      <c r="G161" s="698"/>
      <c r="H161" s="193">
        <f>AVERAGE(I115:I126)</f>
        <v>7262.4616233834495</v>
      </c>
      <c r="I161" s="193"/>
      <c r="J161" s="193"/>
      <c r="K161" s="193"/>
      <c r="L161" s="193">
        <f>AVERAGE(M115:M126)</f>
        <v>1413.3687244939138</v>
      </c>
      <c r="M161" s="193"/>
      <c r="N161" s="193"/>
      <c r="O161" s="193"/>
      <c r="P161" s="193">
        <f>AVERAGE(Q115:Q126)</f>
        <v>1244.8809520646191</v>
      </c>
      <c r="Q161" s="698"/>
      <c r="R161" s="193"/>
      <c r="S161" s="193"/>
      <c r="T161" s="193">
        <f>AVERAGE(U115:U126)</f>
        <v>117.47641461762085</v>
      </c>
    </row>
    <row r="162" spans="2:20" ht="12.75">
      <c r="B162" s="278">
        <v>2008</v>
      </c>
      <c r="D162" s="193">
        <f>AVERAGE(E127:E138)</f>
        <v>118638.60353625631</v>
      </c>
      <c r="E162" s="193"/>
      <c r="F162" s="193"/>
      <c r="G162" s="698"/>
      <c r="H162" s="193">
        <f>AVERAGE(I127:I138)</f>
        <v>7429.972090161028</v>
      </c>
      <c r="I162" s="193"/>
      <c r="J162" s="193"/>
      <c r="K162" s="193"/>
      <c r="L162" s="193">
        <f>AVERAGE(M127:M138)</f>
        <v>1481.8275038871732</v>
      </c>
      <c r="M162" s="193"/>
      <c r="N162" s="193"/>
      <c r="O162" s="193"/>
      <c r="P162" s="193">
        <f>AVERAGE(Q127:Q138)</f>
        <v>1264.976188831254</v>
      </c>
      <c r="Q162" s="698"/>
      <c r="R162" s="193"/>
      <c r="S162" s="193"/>
      <c r="T162" s="193">
        <f>AVERAGE(U127:U138)</f>
        <v>115.2638879418531</v>
      </c>
    </row>
    <row r="163" spans="2:20" ht="12.75">
      <c r="B163" s="278">
        <v>2009</v>
      </c>
      <c r="D163" s="193">
        <f>AVERAGE(E139:E152)</f>
        <v>120998.0381755466</v>
      </c>
      <c r="E163" s="193"/>
      <c r="F163" s="193"/>
      <c r="G163" s="698"/>
      <c r="H163" s="193">
        <f>AVERAGE(I139:I152)</f>
        <v>7529.861530021961</v>
      </c>
      <c r="I163" s="193"/>
      <c r="J163" s="193"/>
      <c r="K163" s="193"/>
      <c r="L163" s="193">
        <f>AVERAGE(M139:M152)</f>
        <v>1549.3084168333924</v>
      </c>
      <c r="M163" s="193"/>
      <c r="N163" s="193"/>
      <c r="O163" s="193"/>
      <c r="P163" s="193">
        <f>AVERAGE(Q139:Q152)</f>
        <v>1278.4523806993127</v>
      </c>
      <c r="Q163" s="698"/>
      <c r="R163" s="193"/>
      <c r="S163" s="193"/>
      <c r="T163" s="193">
        <f>AVERAGE(U139:U152)</f>
        <v>114.16240486573147</v>
      </c>
    </row>
    <row r="164" ht="12.75">
      <c r="J164" s="250"/>
    </row>
    <row r="165" spans="4:20" ht="12.75">
      <c r="D165" s="699">
        <f>D158/D157</f>
        <v>1.0693552508968571</v>
      </c>
      <c r="E165" s="699"/>
      <c r="F165" s="699"/>
      <c r="G165" s="700"/>
      <c r="H165" s="699">
        <f>H158/H157</f>
        <v>1.0179831930138903</v>
      </c>
      <c r="I165" s="699"/>
      <c r="J165" s="699"/>
      <c r="K165" s="699"/>
      <c r="L165" s="699">
        <f>L158/L157</f>
        <v>1.032100102915106</v>
      </c>
      <c r="M165" s="699"/>
      <c r="N165" s="699"/>
      <c r="O165" s="699"/>
      <c r="P165" s="699">
        <f>P158/P157</f>
        <v>1.019931050774189</v>
      </c>
      <c r="Q165" s="700"/>
      <c r="R165" s="699"/>
      <c r="S165" s="699"/>
      <c r="T165" s="699">
        <f>T158/T157</f>
        <v>1.0049184999004357</v>
      </c>
    </row>
    <row r="166" spans="4:20" ht="12.75">
      <c r="D166" s="699">
        <f>D159/D158</f>
        <v>1.0681802645226013</v>
      </c>
      <c r="E166" s="699"/>
      <c r="F166" s="699"/>
      <c r="G166" s="700"/>
      <c r="H166" s="699">
        <f>H159/H158</f>
        <v>1.0372647357933407</v>
      </c>
      <c r="I166" s="699"/>
      <c r="J166" s="699"/>
      <c r="K166" s="699"/>
      <c r="L166" s="699">
        <f>L159/L158</f>
        <v>0.9784966186526072</v>
      </c>
      <c r="M166" s="699"/>
      <c r="N166" s="699"/>
      <c r="O166" s="699"/>
      <c r="P166" s="699">
        <f>P159/P158</f>
        <v>1.0253089667797077</v>
      </c>
      <c r="Q166" s="700"/>
      <c r="R166" s="699"/>
      <c r="S166" s="699"/>
      <c r="T166" s="699">
        <f>T159/T158</f>
        <v>0.9621204313030962</v>
      </c>
    </row>
    <row r="167" spans="4:20" ht="12.75">
      <c r="D167" s="699">
        <f>D160/D159</f>
        <v>1.0493795717278618</v>
      </c>
      <c r="E167" s="699"/>
      <c r="F167" s="699"/>
      <c r="G167" s="700"/>
      <c r="H167" s="699">
        <f>H160/H159</f>
        <v>1.02716009414026</v>
      </c>
      <c r="I167" s="699"/>
      <c r="J167" s="699"/>
      <c r="K167" s="699"/>
      <c r="L167" s="699">
        <f>L160/L159</f>
        <v>1.0233642104126819</v>
      </c>
      <c r="M167" s="699"/>
      <c r="N167" s="699"/>
      <c r="O167" s="699"/>
      <c r="P167" s="699">
        <f>P160/P159</f>
        <v>1.0395813166183283</v>
      </c>
      <c r="Q167" s="700"/>
      <c r="R167" s="699"/>
      <c r="S167" s="699"/>
      <c r="T167" s="699">
        <f>T160/T159</f>
        <v>0.9808249003753969</v>
      </c>
    </row>
    <row r="168" spans="4:20" ht="12.75">
      <c r="D168" s="699">
        <f>D161/D160</f>
        <v>1.0384249647985713</v>
      </c>
      <c r="E168" s="699"/>
      <c r="F168" s="699"/>
      <c r="G168" s="700"/>
      <c r="H168" s="699">
        <f>H161/H160</f>
        <v>1.0294648276538685</v>
      </c>
      <c r="I168" s="699"/>
      <c r="J168" s="699"/>
      <c r="K168" s="699"/>
      <c r="L168" s="699">
        <f>L161/L160</f>
        <v>1.011810832819796</v>
      </c>
      <c r="M168" s="699"/>
      <c r="N168" s="699"/>
      <c r="O168" s="699"/>
      <c r="P168" s="699">
        <f>P161/P160</f>
        <v>1.0362904811193347</v>
      </c>
      <c r="Q168" s="700"/>
      <c r="R168" s="699"/>
      <c r="S168" s="699"/>
      <c r="T168" s="699">
        <f>T161/T160</f>
        <v>0.9910118405198104</v>
      </c>
    </row>
    <row r="169" spans="4:20" ht="12.75">
      <c r="D169" s="699">
        <f>D162/D161</f>
        <v>1.0453475676455035</v>
      </c>
      <c r="E169" s="699"/>
      <c r="F169" s="699"/>
      <c r="G169" s="700"/>
      <c r="H169" s="699">
        <f>H162/H161</f>
        <v>1.023065246395001</v>
      </c>
      <c r="I169" s="699"/>
      <c r="J169" s="699"/>
      <c r="K169" s="699"/>
      <c r="L169" s="699">
        <f>L162/L161</f>
        <v>1.0484366027115624</v>
      </c>
      <c r="M169" s="699"/>
      <c r="N169" s="699"/>
      <c r="O169" s="699"/>
      <c r="P169" s="699">
        <f>P162/P161</f>
        <v>1.0161422959627642</v>
      </c>
      <c r="Q169" s="700"/>
      <c r="R169" s="699"/>
      <c r="S169" s="699"/>
      <c r="T169" s="699">
        <f>T162/T161</f>
        <v>0.9811662052934677</v>
      </c>
    </row>
    <row r="170" spans="4:20" ht="12.75">
      <c r="D170" s="699">
        <f>D163/D162</f>
        <v>1.0198875793288416</v>
      </c>
      <c r="E170" s="699"/>
      <c r="F170" s="699"/>
      <c r="G170" s="700"/>
      <c r="H170" s="699">
        <f>H163/H162</f>
        <v>1.0134441204689326</v>
      </c>
      <c r="I170" s="699"/>
      <c r="J170" s="699"/>
      <c r="K170" s="699"/>
      <c r="L170" s="699">
        <f>L163/L162</f>
        <v>1.045538979921213</v>
      </c>
      <c r="M170" s="699"/>
      <c r="N170" s="699"/>
      <c r="O170" s="699"/>
      <c r="P170" s="699">
        <f>P163/P162</f>
        <v>1.0106533166292322</v>
      </c>
      <c r="Q170" s="700"/>
      <c r="R170" s="699"/>
      <c r="S170" s="699"/>
      <c r="T170" s="699">
        <f>T163/T162</f>
        <v>0.9904438146605181</v>
      </c>
    </row>
  </sheetData>
  <sheetProtection/>
  <mergeCells count="28">
    <mergeCell ref="A34:A45"/>
    <mergeCell ref="D49:J49"/>
    <mergeCell ref="M49:S49"/>
    <mergeCell ref="A51:A62"/>
    <mergeCell ref="D64:W64"/>
    <mergeCell ref="D65:E65"/>
    <mergeCell ref="H65:I65"/>
    <mergeCell ref="L65:M65"/>
    <mergeCell ref="P65:Q65"/>
    <mergeCell ref="T65:U65"/>
    <mergeCell ref="A19:A30"/>
    <mergeCell ref="D32:J32"/>
    <mergeCell ref="M32:S32"/>
    <mergeCell ref="A3:A14"/>
    <mergeCell ref="D17:J17"/>
    <mergeCell ref="M17:S17"/>
    <mergeCell ref="AW1:BC1"/>
    <mergeCell ref="BF1:BL1"/>
    <mergeCell ref="AW17:BC17"/>
    <mergeCell ref="BF17:BL17"/>
    <mergeCell ref="D1:J1"/>
    <mergeCell ref="V17:AB17"/>
    <mergeCell ref="AE17:AK17"/>
    <mergeCell ref="AN17:AT17"/>
    <mergeCell ref="M1:S1"/>
    <mergeCell ref="V1:AB1"/>
    <mergeCell ref="AE1:AK1"/>
    <mergeCell ref="AN1:AT1"/>
  </mergeCells>
  <printOptions/>
  <pageMargins left="0.25" right="0.25" top="0.25" bottom="0.25" header="0.3" footer="0.3"/>
  <pageSetup fitToHeight="1" fitToWidth="1" horizontalDpi="600" verticalDpi="600" orientation="landscape" paperSize="5" scale="26" r:id="rId1"/>
  <rowBreaks count="2" manualBreakCount="2">
    <brk id="31" max="255" man="1"/>
    <brk id="63" max="255" man="1"/>
  </rowBreaks>
  <colBreaks count="3" manualBreakCount="3">
    <brk id="23" max="65535" man="1"/>
    <brk id="39" max="65535" man="1"/>
    <brk id="5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37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B1" sqref="B1:S137"/>
    </sheetView>
  </sheetViews>
  <sheetFormatPr defaultColWidth="9.140625" defaultRowHeight="12.75" outlineLevelRow="1"/>
  <cols>
    <col min="1" max="1" width="2.57421875" style="123" customWidth="1"/>
    <col min="2" max="2" width="28.140625" style="124" bestFit="1" customWidth="1"/>
    <col min="3" max="3" width="14.28125" style="123" customWidth="1"/>
    <col min="4" max="4" width="14.28125" style="123" bestFit="1" customWidth="1"/>
    <col min="5" max="5" width="13.28125" style="123" customWidth="1"/>
    <col min="6" max="6" width="11.140625" style="123" bestFit="1" customWidth="1"/>
    <col min="7" max="13" width="12.421875" style="123" bestFit="1" customWidth="1"/>
    <col min="14" max="14" width="13.28125" style="123" bestFit="1" customWidth="1"/>
    <col min="15" max="15" width="1.7109375" style="123" bestFit="1" customWidth="1"/>
    <col min="16" max="16" width="14.7109375" style="123" bestFit="1" customWidth="1"/>
    <col min="17" max="17" width="9.140625" style="123" customWidth="1"/>
    <col min="18" max="18" width="11.57421875" style="123" bestFit="1" customWidth="1"/>
    <col min="19" max="19" width="15.28125" style="123" bestFit="1" customWidth="1"/>
    <col min="20" max="20" width="9.140625" style="123" customWidth="1"/>
    <col min="21" max="21" width="12.00390625" style="123" bestFit="1" customWidth="1"/>
    <col min="22" max="16384" width="9.140625" style="123" customWidth="1"/>
  </cols>
  <sheetData>
    <row r="1" spans="18:19" ht="12.75">
      <c r="R1" s="125">
        <v>36892</v>
      </c>
      <c r="S1" s="126">
        <f>C$5</f>
        <v>280845209.75251</v>
      </c>
    </row>
    <row r="2" spans="2:19" ht="13.5" thickBot="1">
      <c r="B2" s="124" t="s">
        <v>67</v>
      </c>
      <c r="R2" s="127">
        <v>36923</v>
      </c>
      <c r="S2" s="128">
        <f>D$5</f>
        <v>255669091.35465997</v>
      </c>
    </row>
    <row r="3" spans="2:21" ht="12.75">
      <c r="B3" s="129"/>
      <c r="C3" s="130" t="s">
        <v>9</v>
      </c>
      <c r="D3" s="130" t="s">
        <v>10</v>
      </c>
      <c r="E3" s="130" t="s">
        <v>11</v>
      </c>
      <c r="F3" s="130" t="s">
        <v>12</v>
      </c>
      <c r="G3" s="130" t="s">
        <v>13</v>
      </c>
      <c r="H3" s="130" t="s">
        <v>14</v>
      </c>
      <c r="I3" s="130" t="s">
        <v>15</v>
      </c>
      <c r="J3" s="130" t="s">
        <v>16</v>
      </c>
      <c r="K3" s="130" t="s">
        <v>17</v>
      </c>
      <c r="L3" s="130" t="s">
        <v>51</v>
      </c>
      <c r="M3" s="130" t="s">
        <v>19</v>
      </c>
      <c r="N3" s="131" t="s">
        <v>20</v>
      </c>
      <c r="P3" s="132" t="s">
        <v>68</v>
      </c>
      <c r="R3" s="127">
        <v>36951</v>
      </c>
      <c r="S3" s="128">
        <f>E$5</f>
        <v>270976955.97982997</v>
      </c>
      <c r="U3" s="133"/>
    </row>
    <row r="4" spans="2:21" ht="12.75">
      <c r="B4" s="134">
        <v>2000</v>
      </c>
      <c r="C4" s="135"/>
      <c r="D4" s="135"/>
      <c r="E4" s="135"/>
      <c r="F4" s="135"/>
      <c r="G4" s="135"/>
      <c r="H4" s="135">
        <f>H45*1.003</f>
        <v>259772922.79496998</v>
      </c>
      <c r="I4" s="135">
        <f aca="true" t="shared" si="0" ref="I4:N4">I45*1.003</f>
        <v>261782916.60054997</v>
      </c>
      <c r="J4" s="135">
        <f t="shared" si="0"/>
        <v>280456499.55986</v>
      </c>
      <c r="K4" s="135">
        <f t="shared" si="0"/>
        <v>252941431.70120996</v>
      </c>
      <c r="L4" s="135">
        <f t="shared" si="0"/>
        <v>248765437.61047</v>
      </c>
      <c r="M4" s="135">
        <f t="shared" si="0"/>
        <v>257776742.84700996</v>
      </c>
      <c r="N4" s="136">
        <f t="shared" si="0"/>
        <v>277448676.24937</v>
      </c>
      <c r="P4" s="137">
        <f>SUM(C4:N4)</f>
        <v>1838944627.36344</v>
      </c>
      <c r="R4" s="127">
        <v>36982</v>
      </c>
      <c r="S4" s="128">
        <f>F$5</f>
        <v>241625476.58483997</v>
      </c>
      <c r="U4" s="133"/>
    </row>
    <row r="5" spans="2:21" ht="12.75">
      <c r="B5" s="134">
        <v>2001</v>
      </c>
      <c r="C5" s="135">
        <f aca="true" t="shared" si="1" ref="C5:N5">C46*1.003</f>
        <v>280845209.75251</v>
      </c>
      <c r="D5" s="135">
        <f t="shared" si="1"/>
        <v>255669091.35465997</v>
      </c>
      <c r="E5" s="135">
        <f t="shared" si="1"/>
        <v>270976955.97982997</v>
      </c>
      <c r="F5" s="135">
        <f t="shared" si="1"/>
        <v>241625476.58483997</v>
      </c>
      <c r="G5" s="135">
        <f t="shared" si="1"/>
        <v>254877801.64583996</v>
      </c>
      <c r="H5" s="135">
        <f t="shared" si="1"/>
        <v>280369159.40309995</v>
      </c>
      <c r="I5" s="135">
        <f t="shared" si="1"/>
        <v>283380116.97826</v>
      </c>
      <c r="J5" s="135">
        <f t="shared" si="1"/>
        <v>309700654.12338996</v>
      </c>
      <c r="K5" s="135">
        <f t="shared" si="1"/>
        <v>256033995.80368996</v>
      </c>
      <c r="L5" s="135">
        <f t="shared" si="1"/>
        <v>262356880.71265998</v>
      </c>
      <c r="M5" s="135">
        <f t="shared" si="1"/>
        <v>263952615.63877997</v>
      </c>
      <c r="N5" s="136">
        <f t="shared" si="1"/>
        <v>272406019.65775996</v>
      </c>
      <c r="P5" s="137">
        <f aca="true" t="shared" si="2" ref="P5:P14">SUM(C5:N5)</f>
        <v>3232193977.6353197</v>
      </c>
      <c r="R5" s="127">
        <v>37012</v>
      </c>
      <c r="S5" s="128">
        <f>G$5</f>
        <v>254877801.64583996</v>
      </c>
      <c r="U5" s="133"/>
    </row>
    <row r="6" spans="2:21" ht="12.75">
      <c r="B6" s="134">
        <v>2002</v>
      </c>
      <c r="C6" s="135">
        <f>C47*1.003</f>
        <v>284761887.14001</v>
      </c>
      <c r="D6" s="135">
        <f>D47*1.003</f>
        <v>261561491.35166997</v>
      </c>
      <c r="E6" s="135">
        <f>E47*1.003</f>
        <v>281058427.74325997</v>
      </c>
      <c r="F6" s="135">
        <f>F47*1.003</f>
        <v>267232388.23690996</v>
      </c>
      <c r="G6" s="138">
        <f>G26-(G129*1.0253)+G108</f>
        <v>268731434.868962</v>
      </c>
      <c r="H6" s="138">
        <f aca="true" t="shared" si="3" ref="H6:N6">H26-(H129*1.0253)+H108</f>
        <v>287224945.779042</v>
      </c>
      <c r="I6" s="138">
        <f t="shared" si="3"/>
        <v>336393633.32335997</v>
      </c>
      <c r="J6" s="138">
        <f t="shared" si="3"/>
        <v>323078534.22408</v>
      </c>
      <c r="K6" s="138">
        <f t="shared" si="3"/>
        <v>288951649.20456</v>
      </c>
      <c r="L6" s="138">
        <f t="shared" si="3"/>
        <v>274918580.88071996</v>
      </c>
      <c r="M6" s="138">
        <f t="shared" si="3"/>
        <v>278120053.94288</v>
      </c>
      <c r="N6" s="139">
        <f t="shared" si="3"/>
        <v>289471090.2528</v>
      </c>
      <c r="P6" s="137">
        <f t="shared" si="2"/>
        <v>3441504116.9482536</v>
      </c>
      <c r="R6" s="127">
        <v>37043</v>
      </c>
      <c r="S6" s="128">
        <f>H$5</f>
        <v>280369159.40309995</v>
      </c>
      <c r="U6" s="133"/>
    </row>
    <row r="7" spans="2:21" ht="12.75">
      <c r="B7" s="134">
        <v>2003</v>
      </c>
      <c r="C7" s="138">
        <f aca="true" t="shared" si="4" ref="C7:N14">C27-(C130*1.0253)+C109</f>
        <v>307542956.52232</v>
      </c>
      <c r="D7" s="138">
        <f t="shared" si="4"/>
        <v>279902417.56527996</v>
      </c>
      <c r="E7" s="138">
        <f t="shared" si="4"/>
        <v>292786171.32016</v>
      </c>
      <c r="F7" s="138">
        <f t="shared" si="4"/>
        <v>269814264.55328</v>
      </c>
      <c r="G7" s="138">
        <f t="shared" si="4"/>
        <v>267913711.61416</v>
      </c>
      <c r="H7" s="138">
        <f t="shared" si="4"/>
        <v>286282449.35168</v>
      </c>
      <c r="I7" s="138">
        <f t="shared" si="4"/>
        <v>318440801.91264</v>
      </c>
      <c r="J7" s="138">
        <f t="shared" si="4"/>
        <v>297771902.98367995</v>
      </c>
      <c r="K7" s="138">
        <f t="shared" si="4"/>
        <v>267335937.70864</v>
      </c>
      <c r="L7" s="138">
        <f t="shared" si="4"/>
        <v>274153307.40288</v>
      </c>
      <c r="M7" s="138">
        <f t="shared" si="4"/>
        <v>281313884.82528</v>
      </c>
      <c r="N7" s="139">
        <f t="shared" si="4"/>
        <v>295245544.80392</v>
      </c>
      <c r="P7" s="137">
        <f t="shared" si="2"/>
        <v>3438503350.56392</v>
      </c>
      <c r="R7" s="127">
        <v>37073</v>
      </c>
      <c r="S7" s="128">
        <f>I$5</f>
        <v>283380116.97826</v>
      </c>
      <c r="U7" s="133"/>
    </row>
    <row r="8" spans="2:21" ht="12.75">
      <c r="B8" s="134">
        <v>2004</v>
      </c>
      <c r="C8" s="138">
        <f t="shared" si="4"/>
        <v>318825772.38952</v>
      </c>
      <c r="D8" s="138">
        <f t="shared" si="4"/>
        <v>292561275.78360003</v>
      </c>
      <c r="E8" s="138">
        <f t="shared" si="4"/>
        <v>304403355.98512</v>
      </c>
      <c r="F8" s="138">
        <f t="shared" si="4"/>
        <v>280729503.61992</v>
      </c>
      <c r="G8" s="138">
        <f t="shared" si="4"/>
        <v>284754157.46888</v>
      </c>
      <c r="H8" s="138">
        <f t="shared" si="4"/>
        <v>296130054.74768</v>
      </c>
      <c r="I8" s="138">
        <f t="shared" si="4"/>
        <v>316526151.50408</v>
      </c>
      <c r="J8" s="138">
        <f t="shared" si="4"/>
        <v>311532144.03864</v>
      </c>
      <c r="K8" s="138">
        <f t="shared" si="4"/>
        <v>300510638.83408</v>
      </c>
      <c r="L8" s="138">
        <f t="shared" si="4"/>
        <v>288181524.40336</v>
      </c>
      <c r="M8" s="138">
        <f t="shared" si="4"/>
        <v>296760230.17968</v>
      </c>
      <c r="N8" s="139">
        <f t="shared" si="4"/>
        <v>315819545.978</v>
      </c>
      <c r="P8" s="137">
        <f t="shared" si="2"/>
        <v>3606734354.93256</v>
      </c>
      <c r="R8" s="127">
        <v>37104</v>
      </c>
      <c r="S8" s="128">
        <f>J$5</f>
        <v>309700654.12338996</v>
      </c>
      <c r="U8" s="133"/>
    </row>
    <row r="9" spans="2:21" ht="12.75">
      <c r="B9" s="134">
        <v>2005</v>
      </c>
      <c r="C9" s="138">
        <f t="shared" si="4"/>
        <v>329967590.92256</v>
      </c>
      <c r="D9" s="138">
        <f t="shared" si="4"/>
        <v>293588957.80200005</v>
      </c>
      <c r="E9" s="138">
        <f t="shared" si="4"/>
        <v>313508513.50768</v>
      </c>
      <c r="F9" s="138">
        <f t="shared" si="4"/>
        <v>285449755.92168</v>
      </c>
      <c r="G9" s="138">
        <f t="shared" si="4"/>
        <v>287810112.58808</v>
      </c>
      <c r="H9" s="138">
        <f t="shared" si="4"/>
        <v>354566496.19744</v>
      </c>
      <c r="I9" s="138">
        <f t="shared" si="4"/>
        <v>365920796.29248</v>
      </c>
      <c r="J9" s="138">
        <f t="shared" si="4"/>
        <v>358835198.94232</v>
      </c>
      <c r="K9" s="138">
        <f t="shared" si="4"/>
        <v>314383693.67223996</v>
      </c>
      <c r="L9" s="138">
        <f t="shared" si="4"/>
        <v>304341531.728</v>
      </c>
      <c r="M9" s="138">
        <f t="shared" si="4"/>
        <v>311009155.23224</v>
      </c>
      <c r="N9" s="139">
        <f t="shared" si="4"/>
        <v>329446542.45952004</v>
      </c>
      <c r="P9" s="137">
        <f t="shared" si="2"/>
        <v>3848828345.2662396</v>
      </c>
      <c r="R9" s="127">
        <v>37135</v>
      </c>
      <c r="S9" s="128">
        <f>K$5</f>
        <v>256033995.80368996</v>
      </c>
      <c r="U9" s="133"/>
    </row>
    <row r="10" spans="2:21" ht="12.75">
      <c r="B10" s="134">
        <v>2006</v>
      </c>
      <c r="C10" s="138">
        <f t="shared" si="4"/>
        <v>329248076.85679996</v>
      </c>
      <c r="D10" s="138">
        <f t="shared" si="4"/>
        <v>304825404.56072</v>
      </c>
      <c r="E10" s="138">
        <f t="shared" si="4"/>
        <v>325241931.66936</v>
      </c>
      <c r="F10" s="138">
        <f t="shared" si="4"/>
        <v>289070045.05704</v>
      </c>
      <c r="G10" s="138">
        <f t="shared" si="4"/>
        <v>310032606.06352</v>
      </c>
      <c r="H10" s="138">
        <f t="shared" si="4"/>
        <v>333895801.36328</v>
      </c>
      <c r="I10" s="138">
        <f t="shared" si="4"/>
        <v>371225703.04704</v>
      </c>
      <c r="J10" s="138">
        <f t="shared" si="4"/>
        <v>353706210.33784</v>
      </c>
      <c r="K10" s="138">
        <f t="shared" si="4"/>
        <v>298103404.68008</v>
      </c>
      <c r="L10" s="138">
        <f t="shared" si="4"/>
        <v>307942170.88808</v>
      </c>
      <c r="M10" s="138">
        <f t="shared" si="4"/>
        <v>312999805.54064</v>
      </c>
      <c r="N10" s="139">
        <f t="shared" si="4"/>
        <v>317982953.65599346</v>
      </c>
      <c r="P10" s="137">
        <f t="shared" si="2"/>
        <v>3854274113.720393</v>
      </c>
      <c r="R10" s="127">
        <v>37165</v>
      </c>
      <c r="S10" s="128">
        <f>L$5</f>
        <v>262356880.71265998</v>
      </c>
      <c r="U10" s="133"/>
    </row>
    <row r="11" spans="2:21" ht="12.75">
      <c r="B11" s="134">
        <v>2007</v>
      </c>
      <c r="C11" s="138">
        <f t="shared" si="4"/>
        <v>332533627.73552</v>
      </c>
      <c r="D11" s="138">
        <f t="shared" si="4"/>
        <v>318174492.26888</v>
      </c>
      <c r="E11" s="138">
        <f t="shared" si="4"/>
        <v>330329410.74736</v>
      </c>
      <c r="F11" s="138">
        <f t="shared" si="4"/>
        <v>301193988.05048</v>
      </c>
      <c r="G11" s="138">
        <f t="shared" si="4"/>
        <v>313881665.17032</v>
      </c>
      <c r="H11" s="138">
        <f t="shared" si="4"/>
        <v>352305947.4008</v>
      </c>
      <c r="I11" s="138">
        <f t="shared" si="4"/>
        <v>350987926.2304</v>
      </c>
      <c r="J11" s="138">
        <f t="shared" si="4"/>
        <v>363680290.54208</v>
      </c>
      <c r="K11" s="138">
        <f t="shared" si="4"/>
        <v>320412435.58792</v>
      </c>
      <c r="L11" s="138">
        <f t="shared" si="4"/>
        <v>318245128.16911995</v>
      </c>
      <c r="M11" s="138">
        <f t="shared" si="4"/>
        <v>323515779.22904</v>
      </c>
      <c r="N11" s="139">
        <f t="shared" si="4"/>
        <v>333331076.53264</v>
      </c>
      <c r="P11" s="137">
        <f t="shared" si="2"/>
        <v>3958591767.66456</v>
      </c>
      <c r="R11" s="127">
        <v>37196</v>
      </c>
      <c r="S11" s="128">
        <f>M$5</f>
        <v>263952615.63877997</v>
      </c>
      <c r="U11" s="133"/>
    </row>
    <row r="12" spans="2:21" ht="13.5" thickBot="1">
      <c r="B12" s="134">
        <v>2008</v>
      </c>
      <c r="C12" s="138">
        <f t="shared" si="4"/>
        <v>344575662.3916</v>
      </c>
      <c r="D12" s="138">
        <f t="shared" si="4"/>
        <v>326113371.71056</v>
      </c>
      <c r="E12" s="138">
        <f t="shared" si="4"/>
        <v>331077485.06296</v>
      </c>
      <c r="F12" s="138">
        <f t="shared" si="4"/>
        <v>303230329.28384</v>
      </c>
      <c r="G12" s="138">
        <f t="shared" si="4"/>
        <v>301056523.36776</v>
      </c>
      <c r="H12" s="138">
        <f t="shared" si="4"/>
        <v>334428490.42672</v>
      </c>
      <c r="I12" s="138">
        <f t="shared" si="4"/>
        <v>363118366.5624</v>
      </c>
      <c r="J12" s="138">
        <f t="shared" si="4"/>
        <v>341326026.458</v>
      </c>
      <c r="K12" s="138">
        <f t="shared" si="4"/>
        <v>317499537.95280004</v>
      </c>
      <c r="L12" s="138">
        <f t="shared" si="4"/>
        <v>310230041.67616</v>
      </c>
      <c r="M12" s="138">
        <f t="shared" si="4"/>
        <v>313840849.62728</v>
      </c>
      <c r="N12" s="139">
        <f t="shared" si="4"/>
        <v>328946879.91896003</v>
      </c>
      <c r="P12" s="137">
        <f t="shared" si="2"/>
        <v>3915443564.4390407</v>
      </c>
      <c r="R12" s="127">
        <v>37226</v>
      </c>
      <c r="S12" s="128">
        <f>N$5</f>
        <v>272406019.65775996</v>
      </c>
      <c r="U12" s="133"/>
    </row>
    <row r="13" spans="2:21" ht="12.75">
      <c r="B13" s="134">
        <v>2009</v>
      </c>
      <c r="C13" s="138">
        <f t="shared" si="4"/>
        <v>340125286.47128</v>
      </c>
      <c r="D13" s="138">
        <f t="shared" si="4"/>
        <v>298423228.43304</v>
      </c>
      <c r="E13" s="138">
        <f t="shared" si="4"/>
        <v>317878968.44472</v>
      </c>
      <c r="F13" s="138">
        <f t="shared" si="4"/>
        <v>288048156.51208</v>
      </c>
      <c r="G13" s="138">
        <f t="shared" si="4"/>
        <v>279549260.71288</v>
      </c>
      <c r="H13" s="138">
        <f t="shared" si="4"/>
        <v>301280402.76728004</v>
      </c>
      <c r="I13" s="138">
        <f t="shared" si="4"/>
        <v>312634481.25512</v>
      </c>
      <c r="J13" s="138">
        <f t="shared" si="4"/>
        <v>342969586.97349995</v>
      </c>
      <c r="K13" s="138">
        <f t="shared" si="4"/>
        <v>305441230.4</v>
      </c>
      <c r="L13" s="138">
        <f t="shared" si="4"/>
        <v>307520270</v>
      </c>
      <c r="M13" s="138">
        <f t="shared" si="4"/>
        <v>303012735.71912</v>
      </c>
      <c r="N13" s="139">
        <f t="shared" si="4"/>
        <v>331058360.70839995</v>
      </c>
      <c r="P13" s="137">
        <f t="shared" si="2"/>
        <v>3727941968.39742</v>
      </c>
      <c r="R13" s="127">
        <v>37257</v>
      </c>
      <c r="S13" s="126">
        <f>C$6</f>
        <v>284761887.14001</v>
      </c>
      <c r="U13" s="133"/>
    </row>
    <row r="14" spans="2:21" ht="13.5" thickBot="1">
      <c r="B14" s="140">
        <v>2010</v>
      </c>
      <c r="C14" s="141">
        <f t="shared" si="4"/>
        <v>0</v>
      </c>
      <c r="D14" s="141">
        <f t="shared" si="4"/>
        <v>0</v>
      </c>
      <c r="E14" s="141">
        <f t="shared" si="4"/>
        <v>0</v>
      </c>
      <c r="F14" s="141">
        <f t="shared" si="4"/>
        <v>0</v>
      </c>
      <c r="G14" s="141">
        <f t="shared" si="4"/>
        <v>0</v>
      </c>
      <c r="H14" s="141">
        <f t="shared" si="4"/>
        <v>0</v>
      </c>
      <c r="I14" s="141">
        <f t="shared" si="4"/>
        <v>0</v>
      </c>
      <c r="J14" s="141">
        <f t="shared" si="4"/>
        <v>0</v>
      </c>
      <c r="K14" s="141">
        <f t="shared" si="4"/>
        <v>0</v>
      </c>
      <c r="L14" s="141">
        <f t="shared" si="4"/>
        <v>0</v>
      </c>
      <c r="M14" s="141">
        <f t="shared" si="4"/>
        <v>0</v>
      </c>
      <c r="N14" s="142">
        <f t="shared" si="4"/>
        <v>0</v>
      </c>
      <c r="P14" s="143">
        <f t="shared" si="2"/>
        <v>0</v>
      </c>
      <c r="R14" s="127">
        <v>37288</v>
      </c>
      <c r="S14" s="128">
        <f>D$6</f>
        <v>261561491.35166997</v>
      </c>
      <c r="U14" s="133"/>
    </row>
    <row r="15" spans="3:21" ht="12.75"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R15" s="127">
        <v>37316</v>
      </c>
      <c r="S15" s="128">
        <f>E$6</f>
        <v>281058427.74325997</v>
      </c>
      <c r="U15" s="133"/>
    </row>
    <row r="16" spans="3:21" ht="12.75">
      <c r="C16" s="138"/>
      <c r="D16" s="138"/>
      <c r="E16" s="138"/>
      <c r="F16" s="144"/>
      <c r="G16" s="138"/>
      <c r="H16" s="138"/>
      <c r="I16" s="138"/>
      <c r="J16" s="138"/>
      <c r="K16" s="138"/>
      <c r="L16" s="138"/>
      <c r="M16" s="138"/>
      <c r="N16" s="138"/>
      <c r="R16" s="127">
        <v>37347</v>
      </c>
      <c r="S16" s="128">
        <f>F$6</f>
        <v>267232388.23690996</v>
      </c>
      <c r="U16" s="133"/>
    </row>
    <row r="17" spans="2:21" ht="12.75">
      <c r="B17" s="124" t="s">
        <v>69</v>
      </c>
      <c r="C17" s="124"/>
      <c r="D17" s="124"/>
      <c r="R17" s="127">
        <v>37377</v>
      </c>
      <c r="S17" s="128">
        <f>G$6</f>
        <v>268731434.868962</v>
      </c>
      <c r="U17" s="133"/>
    </row>
    <row r="18" spans="18:21" ht="13.5" outlineLevel="1" thickBot="1">
      <c r="R18" s="127">
        <v>37408</v>
      </c>
      <c r="S18" s="128">
        <f>H$6</f>
        <v>287224945.779042</v>
      </c>
      <c r="U18" s="133"/>
    </row>
    <row r="19" spans="2:21" s="124" customFormat="1" ht="12.75" outlineLevel="1">
      <c r="B19" s="129"/>
      <c r="C19" s="130" t="s">
        <v>9</v>
      </c>
      <c r="D19" s="130" t="s">
        <v>10</v>
      </c>
      <c r="E19" s="130" t="s">
        <v>11</v>
      </c>
      <c r="F19" s="130" t="s">
        <v>12</v>
      </c>
      <c r="G19" s="130" t="s">
        <v>13</v>
      </c>
      <c r="H19" s="130" t="s">
        <v>14</v>
      </c>
      <c r="I19" s="130" t="s">
        <v>15</v>
      </c>
      <c r="J19" s="130" t="s">
        <v>16</v>
      </c>
      <c r="K19" s="130" t="s">
        <v>17</v>
      </c>
      <c r="L19" s="130" t="s">
        <v>51</v>
      </c>
      <c r="M19" s="130" t="s">
        <v>19</v>
      </c>
      <c r="N19" s="130" t="s">
        <v>20</v>
      </c>
      <c r="O19" s="145"/>
      <c r="P19" s="131" t="s">
        <v>68</v>
      </c>
      <c r="R19" s="127">
        <v>37438</v>
      </c>
      <c r="S19" s="128">
        <f>I$6</f>
        <v>336393633.32335997</v>
      </c>
      <c r="T19" s="123"/>
      <c r="U19" s="133"/>
    </row>
    <row r="20" spans="2:21" s="148" customFormat="1" ht="12.75" outlineLevel="1">
      <c r="B20" s="134">
        <v>1996</v>
      </c>
      <c r="C20" s="146">
        <v>242640000</v>
      </c>
      <c r="D20" s="146">
        <v>226730000</v>
      </c>
      <c r="E20" s="146">
        <v>227910000</v>
      </c>
      <c r="F20" s="146">
        <v>207750000</v>
      </c>
      <c r="G20" s="146">
        <v>207520000</v>
      </c>
      <c r="H20" s="146">
        <v>217460000</v>
      </c>
      <c r="I20" s="146">
        <v>228120000</v>
      </c>
      <c r="J20" s="146">
        <v>241620000</v>
      </c>
      <c r="K20" s="146">
        <v>215300000</v>
      </c>
      <c r="L20" s="146">
        <v>217610000</v>
      </c>
      <c r="M20" s="146">
        <v>228730000</v>
      </c>
      <c r="N20" s="146">
        <v>232760000</v>
      </c>
      <c r="O20" s="135"/>
      <c r="P20" s="147">
        <f>SUM(C20,D20,E20,F20,G20,H20,I20,J20,K20,L20,M20,N20)</f>
        <v>2694150000</v>
      </c>
      <c r="R20" s="127">
        <v>37469</v>
      </c>
      <c r="S20" s="128">
        <f>J$6</f>
        <v>323078534.22408</v>
      </c>
      <c r="T20" s="123"/>
      <c r="U20" s="133"/>
    </row>
    <row r="21" spans="2:21" s="148" customFormat="1" ht="12.75" outlineLevel="1">
      <c r="B21" s="134">
        <v>1997</v>
      </c>
      <c r="C21" s="146">
        <v>248860000</v>
      </c>
      <c r="D21" s="146">
        <v>221280000</v>
      </c>
      <c r="E21" s="146">
        <v>232470000</v>
      </c>
      <c r="F21" s="146">
        <v>216220000</v>
      </c>
      <c r="G21" s="146">
        <v>209840000</v>
      </c>
      <c r="H21" s="146">
        <v>233210000</v>
      </c>
      <c r="I21" s="146">
        <v>241800000</v>
      </c>
      <c r="J21" s="146">
        <v>223700000</v>
      </c>
      <c r="K21" s="146">
        <v>213900000</v>
      </c>
      <c r="L21" s="146">
        <v>220800000</v>
      </c>
      <c r="M21" s="146">
        <v>227100000</v>
      </c>
      <c r="N21" s="146">
        <v>236200000</v>
      </c>
      <c r="O21" s="135"/>
      <c r="P21" s="147">
        <f aca="true" t="shared" si="5" ref="P21:P34">SUM(C21,D21,E21,F21,G21,H21,I21,J21,K21,L21,M21,N21)</f>
        <v>2725380000</v>
      </c>
      <c r="R21" s="127">
        <v>37500</v>
      </c>
      <c r="S21" s="128">
        <f>K$6</f>
        <v>288951649.20456</v>
      </c>
      <c r="T21" s="123"/>
      <c r="U21" s="133"/>
    </row>
    <row r="22" spans="2:21" s="148" customFormat="1" ht="12.75" outlineLevel="1">
      <c r="B22" s="134">
        <v>1998</v>
      </c>
      <c r="C22" s="146">
        <v>243400000</v>
      </c>
      <c r="D22" s="146">
        <v>219100000</v>
      </c>
      <c r="E22" s="146">
        <v>240800000</v>
      </c>
      <c r="F22" s="146">
        <v>213700000</v>
      </c>
      <c r="G22" s="146">
        <v>230880000</v>
      </c>
      <c r="H22" s="146">
        <v>250300000</v>
      </c>
      <c r="I22" s="146">
        <v>260900000</v>
      </c>
      <c r="J22" s="146">
        <v>265000000</v>
      </c>
      <c r="K22" s="146">
        <v>235900000</v>
      </c>
      <c r="L22" s="146">
        <v>228100000</v>
      </c>
      <c r="M22" s="146">
        <v>235600000</v>
      </c>
      <c r="N22" s="146">
        <v>244200000</v>
      </c>
      <c r="O22" s="135"/>
      <c r="P22" s="147">
        <f t="shared" si="5"/>
        <v>2867880000</v>
      </c>
      <c r="R22" s="127">
        <v>37530</v>
      </c>
      <c r="S22" s="128">
        <f>L$6</f>
        <v>274918580.88071996</v>
      </c>
      <c r="T22" s="123"/>
      <c r="U22" s="133"/>
    </row>
    <row r="23" spans="2:21" s="148" customFormat="1" ht="12.75" outlineLevel="1">
      <c r="B23" s="134">
        <v>1999</v>
      </c>
      <c r="C23" s="146">
        <v>260000000</v>
      </c>
      <c r="D23" s="146">
        <v>231700000</v>
      </c>
      <c r="E23" s="146">
        <v>252800000</v>
      </c>
      <c r="F23" s="146">
        <v>224900000</v>
      </c>
      <c r="G23" s="146">
        <v>233100000</v>
      </c>
      <c r="H23" s="146">
        <v>265500000</v>
      </c>
      <c r="I23" s="146">
        <v>285100000</v>
      </c>
      <c r="J23" s="146">
        <v>258600000</v>
      </c>
      <c r="K23" s="146">
        <v>243700000</v>
      </c>
      <c r="L23" s="146">
        <v>237000000</v>
      </c>
      <c r="M23" s="146">
        <v>246300000</v>
      </c>
      <c r="N23" s="146">
        <v>260100000</v>
      </c>
      <c r="O23" s="135" t="s">
        <v>6</v>
      </c>
      <c r="P23" s="147">
        <f t="shared" si="5"/>
        <v>2998800000</v>
      </c>
      <c r="R23" s="127">
        <v>37561</v>
      </c>
      <c r="S23" s="128">
        <f>M$6</f>
        <v>278120053.94288</v>
      </c>
      <c r="T23" s="123"/>
      <c r="U23" s="133"/>
    </row>
    <row r="24" spans="2:21" s="148" customFormat="1" ht="13.5" outlineLevel="1" thickBot="1">
      <c r="B24" s="134">
        <v>2000</v>
      </c>
      <c r="C24" s="135">
        <v>271300000</v>
      </c>
      <c r="D24" s="135">
        <v>251400000</v>
      </c>
      <c r="E24" s="135">
        <v>255100000</v>
      </c>
      <c r="F24" s="135">
        <v>235000000</v>
      </c>
      <c r="G24" s="135">
        <v>247200000</v>
      </c>
      <c r="H24" s="135">
        <v>258900000</v>
      </c>
      <c r="I24" s="135">
        <v>261400000</v>
      </c>
      <c r="J24" s="135">
        <v>280000000</v>
      </c>
      <c r="K24" s="135">
        <v>252000000</v>
      </c>
      <c r="L24" s="135">
        <v>247800000</v>
      </c>
      <c r="M24" s="135">
        <v>257000000</v>
      </c>
      <c r="N24" s="135">
        <v>276600000</v>
      </c>
      <c r="O24" s="135"/>
      <c r="P24" s="147">
        <f t="shared" si="5"/>
        <v>3093700000</v>
      </c>
      <c r="R24" s="127">
        <v>37591</v>
      </c>
      <c r="S24" s="128">
        <f>N$6</f>
        <v>289471090.2528</v>
      </c>
      <c r="T24" s="123"/>
      <c r="U24" s="133"/>
    </row>
    <row r="25" spans="2:21" s="148" customFormat="1" ht="12.75" outlineLevel="1">
      <c r="B25" s="134">
        <v>2001</v>
      </c>
      <c r="C25" s="135">
        <v>280000000</v>
      </c>
      <c r="D25" s="135">
        <v>254900000</v>
      </c>
      <c r="E25" s="135">
        <v>269800000</v>
      </c>
      <c r="F25" s="135">
        <v>241200000</v>
      </c>
      <c r="G25" s="135">
        <v>254100000</v>
      </c>
      <c r="H25" s="135">
        <v>279700000</v>
      </c>
      <c r="I25" s="135">
        <v>282500000</v>
      </c>
      <c r="J25" s="135">
        <v>308700000</v>
      </c>
      <c r="K25" s="135">
        <v>255200000</v>
      </c>
      <c r="L25" s="135">
        <v>261300000</v>
      </c>
      <c r="M25" s="135">
        <v>263200000</v>
      </c>
      <c r="N25" s="135">
        <v>272000000</v>
      </c>
      <c r="O25" s="135"/>
      <c r="P25" s="147">
        <f t="shared" si="5"/>
        <v>3222600000</v>
      </c>
      <c r="R25" s="127">
        <v>37622</v>
      </c>
      <c r="S25" s="126">
        <f>C$7</f>
        <v>307542956.52232</v>
      </c>
      <c r="T25" s="123"/>
      <c r="U25" s="133"/>
    </row>
    <row r="26" spans="2:21" ht="12.75" outlineLevel="1">
      <c r="B26" s="134">
        <v>2002</v>
      </c>
      <c r="C26" s="135">
        <v>284400000</v>
      </c>
      <c r="D26" s="135">
        <v>261000000</v>
      </c>
      <c r="E26" s="135">
        <v>280200000</v>
      </c>
      <c r="F26" s="135">
        <v>266400000</v>
      </c>
      <c r="G26" s="138">
        <v>265692826</v>
      </c>
      <c r="H26" s="133">
        <v>284954808</v>
      </c>
      <c r="I26" s="133">
        <v>334566989</v>
      </c>
      <c r="J26" s="133">
        <v>320564382</v>
      </c>
      <c r="K26" s="133">
        <v>286776285</v>
      </c>
      <c r="L26" s="133">
        <v>272743644</v>
      </c>
      <c r="M26" s="133">
        <v>276048413</v>
      </c>
      <c r="N26" s="133">
        <v>290778474</v>
      </c>
      <c r="O26" s="133"/>
      <c r="P26" s="147">
        <f t="shared" si="5"/>
        <v>3424125821</v>
      </c>
      <c r="R26" s="127">
        <v>37653</v>
      </c>
      <c r="S26" s="128">
        <f>D$7</f>
        <v>279902417.56527996</v>
      </c>
      <c r="U26" s="133"/>
    </row>
    <row r="27" spans="2:21" ht="12.75" outlineLevel="1">
      <c r="B27" s="134">
        <v>2003</v>
      </c>
      <c r="C27" s="133">
        <v>307151179</v>
      </c>
      <c r="D27" s="133">
        <v>278506402</v>
      </c>
      <c r="E27" s="133">
        <v>291158719</v>
      </c>
      <c r="F27" s="133">
        <v>267635768</v>
      </c>
      <c r="G27" s="133">
        <v>265734418</v>
      </c>
      <c r="H27" s="133">
        <v>283981271</v>
      </c>
      <c r="I27" s="133">
        <v>316304310</v>
      </c>
      <c r="J27" s="133">
        <v>295914822</v>
      </c>
      <c r="K27" s="133">
        <v>265040356</v>
      </c>
      <c r="L27" s="133">
        <v>271508239</v>
      </c>
      <c r="M27" s="133">
        <v>279428731</v>
      </c>
      <c r="N27" s="133">
        <v>293454388</v>
      </c>
      <c r="O27" s="133"/>
      <c r="P27" s="147">
        <f t="shared" si="5"/>
        <v>3415818603</v>
      </c>
      <c r="R27" s="127">
        <v>37681</v>
      </c>
      <c r="S27" s="128">
        <f>E$7</f>
        <v>292786171.32016</v>
      </c>
      <c r="U27" s="133"/>
    </row>
    <row r="28" spans="2:21" ht="12.75" outlineLevel="1">
      <c r="B28" s="134">
        <v>2004</v>
      </c>
      <c r="C28" s="133">
        <v>318280210</v>
      </c>
      <c r="D28" s="133">
        <v>291131802</v>
      </c>
      <c r="E28" s="133">
        <v>303926179</v>
      </c>
      <c r="F28" s="133">
        <v>278721450</v>
      </c>
      <c r="G28" s="133">
        <v>282155777</v>
      </c>
      <c r="H28" s="133">
        <v>294063854</v>
      </c>
      <c r="I28" s="133">
        <v>314452517</v>
      </c>
      <c r="J28" s="133">
        <v>308900046</v>
      </c>
      <c r="K28" s="133">
        <v>298230076</v>
      </c>
      <c r="L28" s="133">
        <v>286942690</v>
      </c>
      <c r="M28" s="133">
        <v>295876971</v>
      </c>
      <c r="N28" s="133">
        <v>314209148</v>
      </c>
      <c r="O28" s="133"/>
      <c r="P28" s="147">
        <f t="shared" si="5"/>
        <v>3586890720</v>
      </c>
      <c r="R28" s="127">
        <v>37712</v>
      </c>
      <c r="S28" s="128">
        <f>F$7</f>
        <v>269814264.55328</v>
      </c>
      <c r="U28" s="133"/>
    </row>
    <row r="29" spans="2:21" ht="12.75" outlineLevel="1">
      <c r="B29" s="134">
        <v>2005</v>
      </c>
      <c r="C29" s="133">
        <v>328548341</v>
      </c>
      <c r="D29" s="133">
        <v>292146822</v>
      </c>
      <c r="E29" s="133">
        <v>311929201</v>
      </c>
      <c r="F29" s="133">
        <v>284179503</v>
      </c>
      <c r="G29" s="133">
        <v>285869156</v>
      </c>
      <c r="H29" s="133">
        <v>353873632</v>
      </c>
      <c r="I29" s="133">
        <v>365273103</v>
      </c>
      <c r="J29" s="133">
        <v>358796296</v>
      </c>
      <c r="K29" s="133">
        <v>312624787</v>
      </c>
      <c r="L29" s="133">
        <v>303664688</v>
      </c>
      <c r="M29" s="133">
        <v>309165359</v>
      </c>
      <c r="N29" s="133">
        <v>327567979</v>
      </c>
      <c r="O29" s="133"/>
      <c r="P29" s="147">
        <f t="shared" si="5"/>
        <v>3833638867</v>
      </c>
      <c r="R29" s="127">
        <v>37742</v>
      </c>
      <c r="S29" s="128">
        <f>G$7</f>
        <v>267913711.61416</v>
      </c>
      <c r="U29" s="133"/>
    </row>
    <row r="30" spans="2:21" ht="12.75" outlineLevel="1">
      <c r="B30" s="134">
        <v>2006</v>
      </c>
      <c r="C30" s="133">
        <v>327524576</v>
      </c>
      <c r="D30" s="133">
        <v>303198959</v>
      </c>
      <c r="E30" s="133">
        <v>323641341</v>
      </c>
      <c r="F30" s="133">
        <v>287037141</v>
      </c>
      <c r="G30" s="133">
        <v>307714624</v>
      </c>
      <c r="H30" s="133">
        <v>331875473</v>
      </c>
      <c r="I30" s="133">
        <v>370437795</v>
      </c>
      <c r="J30" s="133">
        <v>353806309</v>
      </c>
      <c r="K30" s="133">
        <v>297849317</v>
      </c>
      <c r="L30" s="133">
        <v>307739303</v>
      </c>
      <c r="M30" s="133">
        <v>313391000</v>
      </c>
      <c r="N30" s="133">
        <v>316353273</v>
      </c>
      <c r="O30" s="133"/>
      <c r="P30" s="147">
        <f t="shared" si="5"/>
        <v>3840569111</v>
      </c>
      <c r="R30" s="127">
        <v>37773</v>
      </c>
      <c r="S30" s="128">
        <f>H$7</f>
        <v>286282449.35168</v>
      </c>
      <c r="U30" s="133"/>
    </row>
    <row r="31" spans="2:21" ht="12.75" outlineLevel="1">
      <c r="B31" s="134">
        <v>2007</v>
      </c>
      <c r="C31" s="133">
        <v>330571730</v>
      </c>
      <c r="D31" s="133">
        <v>317795393</v>
      </c>
      <c r="E31" s="133">
        <v>328226860</v>
      </c>
      <c r="F31" s="133">
        <v>300200735</v>
      </c>
      <c r="G31" s="133">
        <v>314780859</v>
      </c>
      <c r="H31" s="133">
        <v>350975105</v>
      </c>
      <c r="I31" s="133">
        <v>349180174</v>
      </c>
      <c r="J31" s="133">
        <v>361451900</v>
      </c>
      <c r="K31" s="133">
        <v>318138100</v>
      </c>
      <c r="L31" s="133">
        <v>316353137</v>
      </c>
      <c r="M31" s="133">
        <v>321845306</v>
      </c>
      <c r="N31" s="133">
        <v>331453603</v>
      </c>
      <c r="O31" s="133"/>
      <c r="P31" s="147">
        <f t="shared" si="5"/>
        <v>3940972902</v>
      </c>
      <c r="R31" s="127">
        <v>37803</v>
      </c>
      <c r="S31" s="128">
        <f>I$7</f>
        <v>318440801.91264</v>
      </c>
      <c r="U31" s="133"/>
    </row>
    <row r="32" spans="2:21" ht="12.75" outlineLevel="1">
      <c r="B32" s="134">
        <v>2008</v>
      </c>
      <c r="C32" s="133">
        <v>343252834</v>
      </c>
      <c r="D32" s="133">
        <v>324935239</v>
      </c>
      <c r="E32" s="133">
        <v>329435542</v>
      </c>
      <c r="F32" s="133">
        <v>301214516</v>
      </c>
      <c r="G32" s="133">
        <v>299468025</v>
      </c>
      <c r="H32" s="133">
        <v>335214682</v>
      </c>
      <c r="I32" s="133">
        <v>363275604</v>
      </c>
      <c r="J32" s="133">
        <v>341413029</v>
      </c>
      <c r="K32" s="133">
        <v>317879907</v>
      </c>
      <c r="L32" s="133">
        <v>311108842</v>
      </c>
      <c r="M32" s="133">
        <v>314845964</v>
      </c>
      <c r="N32" s="133">
        <v>329840828</v>
      </c>
      <c r="O32" s="133"/>
      <c r="P32" s="147">
        <f t="shared" si="5"/>
        <v>3911885012</v>
      </c>
      <c r="R32" s="127">
        <v>37834</v>
      </c>
      <c r="S32" s="128">
        <f>J$7</f>
        <v>297771902.98367995</v>
      </c>
      <c r="U32" s="133"/>
    </row>
    <row r="33" spans="2:21" ht="12.75" outlineLevel="1">
      <c r="B33" s="134">
        <v>2009</v>
      </c>
      <c r="C33" s="133">
        <v>341448620</v>
      </c>
      <c r="D33" s="133">
        <v>299851275</v>
      </c>
      <c r="E33" s="133">
        <v>319213071</v>
      </c>
      <c r="F33" s="133">
        <v>288990610</v>
      </c>
      <c r="G33" s="133">
        <v>279832093</v>
      </c>
      <c r="H33" s="133">
        <v>302313056</v>
      </c>
      <c r="I33" s="133">
        <v>313310828</v>
      </c>
      <c r="J33" s="133">
        <v>343792697</v>
      </c>
      <c r="K33" s="133">
        <v>304836200</v>
      </c>
      <c r="L33" s="133">
        <v>307049222</v>
      </c>
      <c r="M33" s="133">
        <v>302579279</v>
      </c>
      <c r="N33" s="133">
        <v>332406975</v>
      </c>
      <c r="O33" s="133"/>
      <c r="P33" s="147">
        <f t="shared" si="5"/>
        <v>3735623926</v>
      </c>
      <c r="R33" s="127">
        <v>37865</v>
      </c>
      <c r="S33" s="128">
        <f>K$7</f>
        <v>267335937.70864</v>
      </c>
      <c r="U33" s="133"/>
    </row>
    <row r="34" spans="2:21" ht="13.5" outlineLevel="1" thickBot="1">
      <c r="B34" s="140">
        <v>2010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50">
        <f t="shared" si="5"/>
        <v>0</v>
      </c>
      <c r="R34" s="127">
        <v>37895</v>
      </c>
      <c r="S34" s="128">
        <f>L$7</f>
        <v>274153307.40288</v>
      </c>
      <c r="U34" s="133"/>
    </row>
    <row r="35" spans="18:21" ht="12.75">
      <c r="R35" s="127">
        <v>37926</v>
      </c>
      <c r="S35" s="128">
        <f>M$7</f>
        <v>281313884.82528</v>
      </c>
      <c r="U35" s="133"/>
    </row>
    <row r="36" spans="2:21" ht="13.5" thickBot="1">
      <c r="B36" s="123"/>
      <c r="R36" s="127">
        <v>37956</v>
      </c>
      <c r="S36" s="128">
        <f>N$7</f>
        <v>295245544.80392</v>
      </c>
      <c r="U36" s="133"/>
    </row>
    <row r="37" spans="18:21" ht="12.75">
      <c r="R37" s="127">
        <v>37987</v>
      </c>
      <c r="S37" s="126">
        <f>C$8</f>
        <v>318825772.38952</v>
      </c>
      <c r="U37" s="133"/>
    </row>
    <row r="38" spans="2:21" ht="12.75">
      <c r="B38" s="124" t="s">
        <v>70</v>
      </c>
      <c r="C38" s="124" t="s">
        <v>71</v>
      </c>
      <c r="R38" s="127">
        <v>38018</v>
      </c>
      <c r="S38" s="128">
        <f>D$8</f>
        <v>292561275.78360003</v>
      </c>
      <c r="U38" s="133"/>
    </row>
    <row r="39" spans="18:21" ht="13.5" outlineLevel="1" thickBot="1">
      <c r="R39" s="127">
        <v>38047</v>
      </c>
      <c r="S39" s="128">
        <f>E$8</f>
        <v>304403355.98512</v>
      </c>
      <c r="U39" s="133"/>
    </row>
    <row r="40" spans="2:21" ht="12.75" outlineLevel="1">
      <c r="B40" s="129"/>
      <c r="C40" s="130" t="s">
        <v>9</v>
      </c>
      <c r="D40" s="130" t="s">
        <v>10</v>
      </c>
      <c r="E40" s="130" t="s">
        <v>11</v>
      </c>
      <c r="F40" s="130" t="s">
        <v>12</v>
      </c>
      <c r="G40" s="130" t="s">
        <v>13</v>
      </c>
      <c r="H40" s="130" t="s">
        <v>14</v>
      </c>
      <c r="I40" s="130" t="s">
        <v>15</v>
      </c>
      <c r="J40" s="130" t="s">
        <v>16</v>
      </c>
      <c r="K40" s="130" t="s">
        <v>17</v>
      </c>
      <c r="L40" s="130" t="s">
        <v>51</v>
      </c>
      <c r="M40" s="130" t="s">
        <v>19</v>
      </c>
      <c r="N40" s="130" t="s">
        <v>20</v>
      </c>
      <c r="O40" s="145"/>
      <c r="P40" s="131" t="s">
        <v>68</v>
      </c>
      <c r="R40" s="127">
        <v>38078</v>
      </c>
      <c r="S40" s="128">
        <f>F$8</f>
        <v>280729503.61992</v>
      </c>
      <c r="U40" s="133"/>
    </row>
    <row r="41" spans="2:21" ht="12.75" outlineLevel="1">
      <c r="B41" s="134">
        <v>1996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47">
        <f>SUM(C41,D41,E41,F41,G41,H41,I41,J41,K41,L41,M41,N41)</f>
        <v>0</v>
      </c>
      <c r="R41" s="127">
        <v>38108</v>
      </c>
      <c r="S41" s="128">
        <f>G$8</f>
        <v>284754157.46888</v>
      </c>
      <c r="U41" s="133"/>
    </row>
    <row r="42" spans="2:21" ht="12.75" outlineLevel="1">
      <c r="B42" s="134">
        <v>1997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47">
        <f aca="true" t="shared" si="6" ref="P42:P55">SUM(C42,D42,E42,F42,G42,H42,I42,J42,K42,L42,M42,N42)</f>
        <v>0</v>
      </c>
      <c r="R42" s="127">
        <v>38139</v>
      </c>
      <c r="S42" s="128">
        <f>H$8</f>
        <v>296130054.74768</v>
      </c>
      <c r="U42" s="133"/>
    </row>
    <row r="43" spans="2:21" ht="12.75" outlineLevel="1">
      <c r="B43" s="134">
        <v>1998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47">
        <f t="shared" si="6"/>
        <v>0</v>
      </c>
      <c r="R43" s="127">
        <v>38169</v>
      </c>
      <c r="S43" s="128">
        <f>I$8</f>
        <v>316526151.50408</v>
      </c>
      <c r="U43" s="133"/>
    </row>
    <row r="44" spans="2:21" ht="12.75" outlineLevel="1">
      <c r="B44" s="134">
        <v>1999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 t="s">
        <v>6</v>
      </c>
      <c r="P44" s="147">
        <f t="shared" si="6"/>
        <v>0</v>
      </c>
      <c r="R44" s="127">
        <v>38200</v>
      </c>
      <c r="S44" s="128">
        <f>J$8</f>
        <v>311532144.03864</v>
      </c>
      <c r="U44" s="133"/>
    </row>
    <row r="45" spans="2:21" ht="12.75" outlineLevel="1">
      <c r="B45" s="134">
        <v>2000</v>
      </c>
      <c r="C45" s="135">
        <v>271405879.27</v>
      </c>
      <c r="D45" s="135">
        <v>251319122.71</v>
      </c>
      <c r="E45" s="135">
        <v>255163881.71</v>
      </c>
      <c r="F45" s="135">
        <v>234763042.09</v>
      </c>
      <c r="G45" s="135">
        <v>246429144.09</v>
      </c>
      <c r="H45" s="135">
        <v>258995934.99</v>
      </c>
      <c r="I45" s="135">
        <v>260999916.85</v>
      </c>
      <c r="J45" s="135">
        <v>279617646.62</v>
      </c>
      <c r="K45" s="135">
        <v>252184877.07</v>
      </c>
      <c r="L45" s="135">
        <v>248021373.49</v>
      </c>
      <c r="M45" s="135">
        <v>257005725.67</v>
      </c>
      <c r="N45" s="135">
        <v>276618819.79</v>
      </c>
      <c r="O45" s="135"/>
      <c r="P45" s="147">
        <f t="shared" si="6"/>
        <v>3092525364.3500004</v>
      </c>
      <c r="R45" s="127">
        <v>38231</v>
      </c>
      <c r="S45" s="128">
        <f>K$8</f>
        <v>300510638.83408</v>
      </c>
      <c r="U45" s="133"/>
    </row>
    <row r="46" spans="2:21" ht="12.75" outlineLevel="1">
      <c r="B46" s="134">
        <v>2001</v>
      </c>
      <c r="C46" s="135">
        <v>280005194.17</v>
      </c>
      <c r="D46" s="135">
        <v>254904378.22</v>
      </c>
      <c r="E46" s="135">
        <v>270166456.61</v>
      </c>
      <c r="F46" s="135">
        <v>240902768.28</v>
      </c>
      <c r="G46" s="135">
        <v>254115455.28</v>
      </c>
      <c r="H46" s="135">
        <v>279530567.7</v>
      </c>
      <c r="I46" s="135">
        <v>282532519.42</v>
      </c>
      <c r="J46" s="135">
        <v>308774331.13</v>
      </c>
      <c r="K46" s="135">
        <v>255268191.23</v>
      </c>
      <c r="L46" s="135">
        <v>261572164.22</v>
      </c>
      <c r="M46" s="135">
        <v>263163126.26</v>
      </c>
      <c r="N46" s="135">
        <v>271591245.92</v>
      </c>
      <c r="O46" s="135"/>
      <c r="P46" s="147">
        <f t="shared" si="6"/>
        <v>3222526398.4399996</v>
      </c>
      <c r="R46" s="127">
        <v>38261</v>
      </c>
      <c r="S46" s="128">
        <f>L$8</f>
        <v>288181524.40336</v>
      </c>
      <c r="U46" s="133"/>
    </row>
    <row r="47" spans="2:21" ht="12.75" outlineLevel="1">
      <c r="B47" s="134">
        <v>2002</v>
      </c>
      <c r="C47" s="135">
        <v>283910156.67</v>
      </c>
      <c r="D47" s="135">
        <v>260779153.89</v>
      </c>
      <c r="E47" s="135">
        <v>280217774.42</v>
      </c>
      <c r="F47" s="135">
        <v>266433088.97</v>
      </c>
      <c r="G47" s="138">
        <v>267652999.52</v>
      </c>
      <c r="H47" s="133">
        <v>286072507.03</v>
      </c>
      <c r="I47" s="133">
        <v>310913290.41</v>
      </c>
      <c r="J47" s="133">
        <v>280273477.43</v>
      </c>
      <c r="K47" s="133">
        <v>285752339.38</v>
      </c>
      <c r="L47" s="133">
        <v>271568290.77</v>
      </c>
      <c r="M47" s="133">
        <v>275056340.71</v>
      </c>
      <c r="N47" s="133">
        <v>289773523.69</v>
      </c>
      <c r="O47" s="133"/>
      <c r="P47" s="147">
        <f t="shared" si="6"/>
        <v>3358402942.8900003</v>
      </c>
      <c r="R47" s="127">
        <v>38292</v>
      </c>
      <c r="S47" s="128">
        <f>M$8</f>
        <v>296760230.17968</v>
      </c>
      <c r="U47" s="133"/>
    </row>
    <row r="48" spans="2:21" ht="13.5" outlineLevel="1" thickBot="1">
      <c r="B48" s="134">
        <v>2003</v>
      </c>
      <c r="C48" s="133">
        <v>305338655.2</v>
      </c>
      <c r="D48" s="133">
        <v>277510496.32</v>
      </c>
      <c r="E48" s="133">
        <v>290309268.73</v>
      </c>
      <c r="F48" s="133">
        <v>266635828.06</v>
      </c>
      <c r="G48" s="133">
        <v>264733655.03</v>
      </c>
      <c r="H48" s="133">
        <v>283006998.27</v>
      </c>
      <c r="I48" s="133">
        <v>314627241.98</v>
      </c>
      <c r="J48" s="133">
        <v>294801517.24</v>
      </c>
      <c r="K48" s="133">
        <v>264029460.54</v>
      </c>
      <c r="L48" s="133">
        <v>270462883.32</v>
      </c>
      <c r="M48" s="133">
        <v>278404154.45</v>
      </c>
      <c r="N48" s="133">
        <v>292384290.36</v>
      </c>
      <c r="O48" s="133"/>
      <c r="P48" s="147">
        <f t="shared" si="6"/>
        <v>3402244449.5</v>
      </c>
      <c r="R48" s="127">
        <v>38322</v>
      </c>
      <c r="S48" s="128">
        <f>N$8</f>
        <v>315819545.978</v>
      </c>
      <c r="U48" s="133"/>
    </row>
    <row r="49" spans="2:21" ht="12.75" outlineLevel="1">
      <c r="B49" s="134">
        <v>2004</v>
      </c>
      <c r="C49" s="133">
        <v>317129665.79</v>
      </c>
      <c r="D49" s="133">
        <v>290061053.91</v>
      </c>
      <c r="E49" s="133">
        <v>302831344.69</v>
      </c>
      <c r="F49" s="133">
        <v>277707709.34</v>
      </c>
      <c r="G49" s="133">
        <v>281102622.68</v>
      </c>
      <c r="H49" s="133">
        <v>292963310.12</v>
      </c>
      <c r="I49" s="133">
        <v>313764679.04</v>
      </c>
      <c r="J49" s="133">
        <v>307715538.66</v>
      </c>
      <c r="K49" s="133">
        <v>297060971.88</v>
      </c>
      <c r="L49" s="133">
        <v>285828460.52</v>
      </c>
      <c r="M49" s="133">
        <v>294800940.33</v>
      </c>
      <c r="N49" s="133">
        <v>313080811.56</v>
      </c>
      <c r="O49" s="133"/>
      <c r="P49" s="147">
        <f t="shared" si="6"/>
        <v>3574047108.52</v>
      </c>
      <c r="R49" s="127">
        <v>38353</v>
      </c>
      <c r="S49" s="126">
        <f>C$9</f>
        <v>329967590.92256</v>
      </c>
      <c r="U49" s="133"/>
    </row>
    <row r="50" spans="2:21" ht="12.75" outlineLevel="1">
      <c r="B50" s="134">
        <v>2005</v>
      </c>
      <c r="C50" s="133">
        <v>327222007.46</v>
      </c>
      <c r="D50" s="133">
        <v>291097761.55</v>
      </c>
      <c r="E50" s="133">
        <v>310804793.53</v>
      </c>
      <c r="F50" s="133">
        <v>283133548.98</v>
      </c>
      <c r="G50" s="133">
        <v>285018040.47</v>
      </c>
      <c r="H50" s="133">
        <v>352986823.51</v>
      </c>
      <c r="I50" s="133">
        <v>364113262.38</v>
      </c>
      <c r="J50" s="133">
        <v>357962088.97</v>
      </c>
      <c r="K50" s="133">
        <v>312337963.36</v>
      </c>
      <c r="L50" s="133">
        <v>303163842.3</v>
      </c>
      <c r="M50" s="133">
        <v>308764464.24</v>
      </c>
      <c r="N50" s="133">
        <v>327137292.5</v>
      </c>
      <c r="O50" s="133"/>
      <c r="P50" s="147">
        <f t="shared" si="6"/>
        <v>3823741889.250001</v>
      </c>
      <c r="R50" s="127">
        <v>38384</v>
      </c>
      <c r="S50" s="128">
        <f>D$9</f>
        <v>293588957.80200005</v>
      </c>
      <c r="U50" s="133"/>
    </row>
    <row r="51" spans="2:21" ht="12.75" outlineLevel="1">
      <c r="B51" s="134">
        <v>2006</v>
      </c>
      <c r="C51" s="133">
        <v>327327369.77</v>
      </c>
      <c r="D51" s="133">
        <v>303024446.45</v>
      </c>
      <c r="E51" s="133">
        <v>323209606.82</v>
      </c>
      <c r="F51" s="133">
        <v>286517517.85</v>
      </c>
      <c r="G51" s="133">
        <v>307050735.8</v>
      </c>
      <c r="H51" s="133">
        <v>331200474.21</v>
      </c>
      <c r="I51" s="133">
        <v>369605664.23</v>
      </c>
      <c r="J51" s="133">
        <v>353376860.55</v>
      </c>
      <c r="K51" s="133">
        <v>297508140.96</v>
      </c>
      <c r="L51" s="133">
        <v>307358957.78</v>
      </c>
      <c r="M51" s="133">
        <v>312944683.27</v>
      </c>
      <c r="N51" s="133">
        <v>315921008.67</v>
      </c>
      <c r="O51" s="133"/>
      <c r="P51" s="147">
        <f t="shared" si="6"/>
        <v>3835045466.36</v>
      </c>
      <c r="R51" s="127">
        <v>38412</v>
      </c>
      <c r="S51" s="128">
        <f>E$9</f>
        <v>313508513.50768</v>
      </c>
      <c r="U51" s="133"/>
    </row>
    <row r="52" spans="2:21" ht="12.75" outlineLevel="1">
      <c r="B52" s="134">
        <v>2007</v>
      </c>
      <c r="C52" s="133">
        <v>329927616.7</v>
      </c>
      <c r="D52" s="133">
        <v>316959169.52</v>
      </c>
      <c r="E52" s="133">
        <v>327378826.09</v>
      </c>
      <c r="F52" s="133">
        <v>299497811.8</v>
      </c>
      <c r="G52" s="133">
        <v>313930637.95</v>
      </c>
      <c r="H52" s="133">
        <v>350004119.72</v>
      </c>
      <c r="I52" s="133">
        <v>348220788.25</v>
      </c>
      <c r="J52" s="133">
        <v>360430014.34</v>
      </c>
      <c r="K52" s="133">
        <v>317191965.58</v>
      </c>
      <c r="L52" s="133">
        <v>315326087.23</v>
      </c>
      <c r="M52" s="133">
        <v>320808427.38</v>
      </c>
      <c r="N52" s="133">
        <v>330422265.84</v>
      </c>
      <c r="O52" s="133"/>
      <c r="P52" s="147">
        <f t="shared" si="6"/>
        <v>3930097730.4</v>
      </c>
      <c r="R52" s="127">
        <v>38443</v>
      </c>
      <c r="S52" s="128">
        <f>F$9</f>
        <v>285449755.92168</v>
      </c>
      <c r="U52" s="133"/>
    </row>
    <row r="53" spans="2:21" ht="12.75" outlineLevel="1">
      <c r="B53" s="134">
        <v>2008</v>
      </c>
      <c r="C53" s="133">
        <v>342183781.95</v>
      </c>
      <c r="D53" s="133">
        <v>323932690.89</v>
      </c>
      <c r="E53" s="133">
        <v>328430366.53</v>
      </c>
      <c r="F53" s="133">
        <v>299833461.16</v>
      </c>
      <c r="G53" s="133">
        <v>298575480.21</v>
      </c>
      <c r="H53" s="133">
        <v>334121024.98</v>
      </c>
      <c r="I53" s="133">
        <v>362104562.55</v>
      </c>
      <c r="J53" s="133">
        <v>340333050.19</v>
      </c>
      <c r="K53" s="133">
        <v>316872980.92</v>
      </c>
      <c r="L53" s="133">
        <v>310151234.32</v>
      </c>
      <c r="M53" s="133">
        <v>313893311.92</v>
      </c>
      <c r="N53" s="133">
        <v>328849870.03</v>
      </c>
      <c r="O53" s="133"/>
      <c r="P53" s="147">
        <f t="shared" si="6"/>
        <v>3899281815.6500006</v>
      </c>
      <c r="R53" s="127">
        <v>38473</v>
      </c>
      <c r="S53" s="128">
        <f>G$9</f>
        <v>287810112.58808</v>
      </c>
      <c r="U53" s="133"/>
    </row>
    <row r="54" spans="2:21" ht="12.75" outlineLevel="1">
      <c r="B54" s="134">
        <v>2009</v>
      </c>
      <c r="C54" s="133">
        <v>340406439.83</v>
      </c>
      <c r="D54" s="133">
        <v>298918364.66</v>
      </c>
      <c r="E54" s="133">
        <v>318223549.19</v>
      </c>
      <c r="F54" s="133">
        <v>288100491.24</v>
      </c>
      <c r="G54" s="133">
        <v>278922788.23</v>
      </c>
      <c r="H54" s="133">
        <v>301334656.96</v>
      </c>
      <c r="I54" s="133">
        <v>312307321.13</v>
      </c>
      <c r="J54" s="133">
        <v>342676951.7</v>
      </c>
      <c r="K54" s="133">
        <v>303859765.29</v>
      </c>
      <c r="L54" s="133">
        <v>306081465.73</v>
      </c>
      <c r="M54" s="133">
        <v>301607368.01</v>
      </c>
      <c r="N54" s="133">
        <v>331360158.27</v>
      </c>
      <c r="O54" s="133"/>
      <c r="P54" s="147">
        <f t="shared" si="6"/>
        <v>3723799320.2400002</v>
      </c>
      <c r="R54" s="127">
        <v>38504</v>
      </c>
      <c r="S54" s="128">
        <f>H9</f>
        <v>354566496.19744</v>
      </c>
      <c r="U54" s="133"/>
    </row>
    <row r="55" spans="2:21" ht="13.5" outlineLevel="1" thickBot="1">
      <c r="B55" s="140">
        <v>2010</v>
      </c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50">
        <f t="shared" si="6"/>
        <v>0</v>
      </c>
      <c r="R55" s="127">
        <v>38534</v>
      </c>
      <c r="S55" s="128">
        <f>I$9</f>
        <v>365920796.29248</v>
      </c>
      <c r="U55" s="133"/>
    </row>
    <row r="56" spans="18:21" ht="12.75" outlineLevel="1">
      <c r="R56" s="127">
        <v>38565</v>
      </c>
      <c r="S56" s="128">
        <f>J$9</f>
        <v>358835198.94232</v>
      </c>
      <c r="U56" s="133"/>
    </row>
    <row r="57" spans="18:21" ht="12.75" outlineLevel="1">
      <c r="R57" s="127">
        <v>38596</v>
      </c>
      <c r="S57" s="128">
        <f>K$9</f>
        <v>314383693.67223996</v>
      </c>
      <c r="U57" s="133"/>
    </row>
    <row r="58" spans="18:21" ht="12.75" outlineLevel="1">
      <c r="R58" s="127">
        <v>38626</v>
      </c>
      <c r="S58" s="128">
        <f>L$9</f>
        <v>304341531.728</v>
      </c>
      <c r="U58" s="133"/>
    </row>
    <row r="59" spans="2:21" ht="12.75" outlineLevel="1">
      <c r="B59" s="124" t="s">
        <v>72</v>
      </c>
      <c r="R59" s="127">
        <v>38657</v>
      </c>
      <c r="S59" s="128">
        <f>M$9</f>
        <v>311009155.23224</v>
      </c>
      <c r="U59" s="133"/>
    </row>
    <row r="60" spans="18:21" ht="13.5" outlineLevel="1" thickBot="1">
      <c r="R60" s="127">
        <v>38687</v>
      </c>
      <c r="S60" s="128">
        <f>N$9</f>
        <v>329446542.45952004</v>
      </c>
      <c r="U60" s="133"/>
    </row>
    <row r="61" spans="2:21" ht="12.75" outlineLevel="1">
      <c r="B61" s="129"/>
      <c r="C61" s="130" t="s">
        <v>9</v>
      </c>
      <c r="D61" s="130" t="s">
        <v>10</v>
      </c>
      <c r="E61" s="130" t="s">
        <v>11</v>
      </c>
      <c r="F61" s="130" t="s">
        <v>12</v>
      </c>
      <c r="G61" s="130" t="s">
        <v>13</v>
      </c>
      <c r="H61" s="130" t="s">
        <v>14</v>
      </c>
      <c r="I61" s="130" t="s">
        <v>15</v>
      </c>
      <c r="J61" s="130" t="s">
        <v>16</v>
      </c>
      <c r="K61" s="130" t="s">
        <v>17</v>
      </c>
      <c r="L61" s="130" t="s">
        <v>51</v>
      </c>
      <c r="M61" s="130" t="s">
        <v>19</v>
      </c>
      <c r="N61" s="130" t="s">
        <v>20</v>
      </c>
      <c r="O61" s="145"/>
      <c r="P61" s="131" t="s">
        <v>68</v>
      </c>
      <c r="R61" s="127">
        <v>38718</v>
      </c>
      <c r="S61" s="126">
        <f>C$10</f>
        <v>329248076.85679996</v>
      </c>
      <c r="U61" s="133"/>
    </row>
    <row r="62" spans="2:21" ht="12.75" outlineLevel="1">
      <c r="B62" s="134">
        <v>1996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47">
        <f>SUM(C62,D62,E62,F62,G62,H62,I62,J62,K62,L62,M62,N62)</f>
        <v>0</v>
      </c>
      <c r="R62" s="127">
        <v>38749</v>
      </c>
      <c r="S62" s="128">
        <f>D$10</f>
        <v>304825404.56072</v>
      </c>
      <c r="U62" s="133"/>
    </row>
    <row r="63" spans="2:21" ht="12.75" outlineLevel="1">
      <c r="B63" s="134">
        <v>1997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47">
        <f aca="true" t="shared" si="7" ref="P63:P76">SUM(C63,D63,E63,F63,G63,H63,I63,J63,K63,L63,M63,N63)</f>
        <v>0</v>
      </c>
      <c r="R63" s="127">
        <v>38777</v>
      </c>
      <c r="S63" s="128">
        <f>E$10</f>
        <v>325241931.66936</v>
      </c>
      <c r="U63" s="133"/>
    </row>
    <row r="64" spans="2:21" ht="12.75" outlineLevel="1">
      <c r="B64" s="134">
        <v>1998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47">
        <f t="shared" si="7"/>
        <v>0</v>
      </c>
      <c r="R64" s="127">
        <v>38808</v>
      </c>
      <c r="S64" s="128">
        <f>F$10</f>
        <v>289070045.05704</v>
      </c>
      <c r="U64" s="133"/>
    </row>
    <row r="65" spans="2:21" ht="12.75" outlineLevel="1">
      <c r="B65" s="134">
        <v>1999</v>
      </c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 t="s">
        <v>6</v>
      </c>
      <c r="P65" s="147">
        <f t="shared" si="7"/>
        <v>0</v>
      </c>
      <c r="R65" s="127">
        <v>38838</v>
      </c>
      <c r="S65" s="128">
        <f>G$10</f>
        <v>310032606.06352</v>
      </c>
      <c r="U65" s="133"/>
    </row>
    <row r="66" spans="2:21" ht="12.75" outlineLevel="1">
      <c r="B66" s="134">
        <v>2000</v>
      </c>
      <c r="C66" s="135">
        <f>C24-C45</f>
        <v>-105879.26999998093</v>
      </c>
      <c r="D66" s="135">
        <f aca="true" t="shared" si="8" ref="D66:N66">D24-D45</f>
        <v>80877.28999999166</v>
      </c>
      <c r="E66" s="135">
        <f t="shared" si="8"/>
        <v>-63881.710000008345</v>
      </c>
      <c r="F66" s="135">
        <f t="shared" si="8"/>
        <v>236957.90999999642</v>
      </c>
      <c r="G66" s="135">
        <f t="shared" si="8"/>
        <v>770855.9099999964</v>
      </c>
      <c r="H66" s="135">
        <f t="shared" si="8"/>
        <v>-95934.99000000954</v>
      </c>
      <c r="I66" s="135">
        <f t="shared" si="8"/>
        <v>400083.15000000596</v>
      </c>
      <c r="J66" s="135">
        <f t="shared" si="8"/>
        <v>382353.37999999523</v>
      </c>
      <c r="K66" s="135">
        <f t="shared" si="8"/>
        <v>-184877.06999999285</v>
      </c>
      <c r="L66" s="135">
        <f t="shared" si="8"/>
        <v>-221373.49000000954</v>
      </c>
      <c r="M66" s="135">
        <f t="shared" si="8"/>
        <v>-5725.669999986887</v>
      </c>
      <c r="N66" s="135">
        <f t="shared" si="8"/>
        <v>-18819.790000021458</v>
      </c>
      <c r="O66" s="135"/>
      <c r="P66" s="147">
        <f t="shared" si="7"/>
        <v>1174635.6499999762</v>
      </c>
      <c r="R66" s="127">
        <v>38869</v>
      </c>
      <c r="S66" s="128">
        <f>H$10</f>
        <v>333895801.36328</v>
      </c>
      <c r="U66" s="133"/>
    </row>
    <row r="67" spans="2:21" ht="12.75" outlineLevel="1">
      <c r="B67" s="134">
        <v>2001</v>
      </c>
      <c r="C67" s="135">
        <f aca="true" t="shared" si="9" ref="C67:N75">C25-C46</f>
        <v>-5194.170000016689</v>
      </c>
      <c r="D67" s="135">
        <f t="shared" si="9"/>
        <v>-4378.219999998808</v>
      </c>
      <c r="E67" s="135">
        <f t="shared" si="9"/>
        <v>-366456.6100000143</v>
      </c>
      <c r="F67" s="135">
        <f t="shared" si="9"/>
        <v>297231.7199999988</v>
      </c>
      <c r="G67" s="135">
        <f t="shared" si="9"/>
        <v>-15455.280000001192</v>
      </c>
      <c r="H67" s="135">
        <f t="shared" si="9"/>
        <v>169432.30000001192</v>
      </c>
      <c r="I67" s="135">
        <f t="shared" si="9"/>
        <v>-32519.42000001669</v>
      </c>
      <c r="J67" s="135">
        <f t="shared" si="9"/>
        <v>-74331.12999999523</v>
      </c>
      <c r="K67" s="135">
        <f t="shared" si="9"/>
        <v>-68191.22999998927</v>
      </c>
      <c r="L67" s="135">
        <f t="shared" si="9"/>
        <v>-272164.2199999988</v>
      </c>
      <c r="M67" s="135">
        <f t="shared" si="9"/>
        <v>36873.74000000954</v>
      </c>
      <c r="N67" s="135">
        <f t="shared" si="9"/>
        <v>408754.0799999833</v>
      </c>
      <c r="O67" s="135"/>
      <c r="P67" s="147">
        <f t="shared" si="7"/>
        <v>73601.55999997258</v>
      </c>
      <c r="R67" s="127">
        <v>38899</v>
      </c>
      <c r="S67" s="128">
        <f>I$10</f>
        <v>371225703.04704</v>
      </c>
      <c r="U67" s="133"/>
    </row>
    <row r="68" spans="2:21" ht="12.75" outlineLevel="1">
      <c r="B68" s="134">
        <v>2002</v>
      </c>
      <c r="C68" s="135">
        <f t="shared" si="9"/>
        <v>489843.3299999833</v>
      </c>
      <c r="D68" s="135">
        <f t="shared" si="9"/>
        <v>220846.1100000143</v>
      </c>
      <c r="E68" s="135">
        <f t="shared" si="9"/>
        <v>-17774.42000001669</v>
      </c>
      <c r="F68" s="135">
        <f t="shared" si="9"/>
        <v>-33088.96999999881</v>
      </c>
      <c r="G68" s="135">
        <f t="shared" si="9"/>
        <v>-1960173.5200000107</v>
      </c>
      <c r="H68" s="135">
        <f t="shared" si="9"/>
        <v>-1117699.0299999714</v>
      </c>
      <c r="I68" s="135">
        <f t="shared" si="9"/>
        <v>23653698.589999974</v>
      </c>
      <c r="J68" s="135">
        <f t="shared" si="9"/>
        <v>40290904.56999999</v>
      </c>
      <c r="K68" s="135">
        <f t="shared" si="9"/>
        <v>1023945.6200000048</v>
      </c>
      <c r="L68" s="135">
        <f t="shared" si="9"/>
        <v>1175353.230000019</v>
      </c>
      <c r="M68" s="135">
        <f t="shared" si="9"/>
        <v>992072.2900000215</v>
      </c>
      <c r="N68" s="135">
        <f t="shared" si="9"/>
        <v>1004950.3100000024</v>
      </c>
      <c r="O68" s="133"/>
      <c r="P68" s="147">
        <f t="shared" si="7"/>
        <v>65722878.110000014</v>
      </c>
      <c r="R68" s="127">
        <v>38930</v>
      </c>
      <c r="S68" s="128">
        <f>J$10</f>
        <v>353706210.33784</v>
      </c>
      <c r="U68" s="133"/>
    </row>
    <row r="69" spans="2:21" ht="12.75" outlineLevel="1">
      <c r="B69" s="134">
        <v>2003</v>
      </c>
      <c r="C69" s="135">
        <f t="shared" si="9"/>
        <v>1812523.800000012</v>
      </c>
      <c r="D69" s="135">
        <f t="shared" si="9"/>
        <v>995905.6800000072</v>
      </c>
      <c r="E69" s="135">
        <f t="shared" si="9"/>
        <v>849450.2699999809</v>
      </c>
      <c r="F69" s="135">
        <f t="shared" si="9"/>
        <v>999939.9399999976</v>
      </c>
      <c r="G69" s="135">
        <f t="shared" si="9"/>
        <v>1000762.9699999988</v>
      </c>
      <c r="H69" s="135">
        <f t="shared" si="9"/>
        <v>974272.7300000191</v>
      </c>
      <c r="I69" s="135">
        <f t="shared" si="9"/>
        <v>1677068.019999981</v>
      </c>
      <c r="J69" s="135">
        <f t="shared" si="9"/>
        <v>1113304.7599999905</v>
      </c>
      <c r="K69" s="135">
        <f t="shared" si="9"/>
        <v>1010895.4600000083</v>
      </c>
      <c r="L69" s="135">
        <f t="shared" si="9"/>
        <v>1045355.6800000072</v>
      </c>
      <c r="M69" s="135">
        <f t="shared" si="9"/>
        <v>1024576.5500000119</v>
      </c>
      <c r="N69" s="135">
        <f t="shared" si="9"/>
        <v>1070097.6399999857</v>
      </c>
      <c r="O69" s="133"/>
      <c r="P69" s="147">
        <f t="shared" si="7"/>
        <v>13574153.5</v>
      </c>
      <c r="R69" s="127">
        <v>38961</v>
      </c>
      <c r="S69" s="128">
        <f>K$10</f>
        <v>298103404.68008</v>
      </c>
      <c r="U69" s="133"/>
    </row>
    <row r="70" spans="2:21" ht="12.75" outlineLevel="1">
      <c r="B70" s="134">
        <v>2004</v>
      </c>
      <c r="C70" s="135">
        <f t="shared" si="9"/>
        <v>1150544.2099999785</v>
      </c>
      <c r="D70" s="135">
        <f t="shared" si="9"/>
        <v>1070748.0899999738</v>
      </c>
      <c r="E70" s="135">
        <f t="shared" si="9"/>
        <v>1094834.3100000024</v>
      </c>
      <c r="F70" s="135">
        <f t="shared" si="9"/>
        <v>1013740.6600000262</v>
      </c>
      <c r="G70" s="135">
        <f t="shared" si="9"/>
        <v>1053154.3199999928</v>
      </c>
      <c r="H70" s="135">
        <f t="shared" si="9"/>
        <v>1100543.8799999952</v>
      </c>
      <c r="I70" s="135">
        <f t="shared" si="9"/>
        <v>687837.9599999785</v>
      </c>
      <c r="J70" s="135">
        <f t="shared" si="9"/>
        <v>1184507.3399999738</v>
      </c>
      <c r="K70" s="135">
        <f t="shared" si="9"/>
        <v>1169104.1200000048</v>
      </c>
      <c r="L70" s="135">
        <f t="shared" si="9"/>
        <v>1114229.480000019</v>
      </c>
      <c r="M70" s="135">
        <f t="shared" si="9"/>
        <v>1076030.6700000167</v>
      </c>
      <c r="N70" s="135">
        <f t="shared" si="9"/>
        <v>1128336.4399999976</v>
      </c>
      <c r="O70" s="133"/>
      <c r="P70" s="147">
        <f t="shared" si="7"/>
        <v>12843611.47999996</v>
      </c>
      <c r="R70" s="127">
        <v>38991</v>
      </c>
      <c r="S70" s="128">
        <f>L$10</f>
        <v>307942170.88808</v>
      </c>
      <c r="U70" s="133"/>
    </row>
    <row r="71" spans="2:21" ht="12.75" outlineLevel="1">
      <c r="B71" s="134">
        <v>2005</v>
      </c>
      <c r="C71" s="135">
        <f t="shared" si="9"/>
        <v>1326333.5400000215</v>
      </c>
      <c r="D71" s="135">
        <f t="shared" si="9"/>
        <v>1049060.449999988</v>
      </c>
      <c r="E71" s="135">
        <f t="shared" si="9"/>
        <v>1124407.4700000286</v>
      </c>
      <c r="F71" s="135">
        <f t="shared" si="9"/>
        <v>1045954.0199999809</v>
      </c>
      <c r="G71" s="135">
        <f t="shared" si="9"/>
        <v>851115.5299999714</v>
      </c>
      <c r="H71" s="135">
        <f t="shared" si="9"/>
        <v>886808.4900000095</v>
      </c>
      <c r="I71" s="135">
        <f t="shared" si="9"/>
        <v>1159840.6200000048</v>
      </c>
      <c r="J71" s="135">
        <f t="shared" si="9"/>
        <v>834207.0299999714</v>
      </c>
      <c r="K71" s="135">
        <f t="shared" si="9"/>
        <v>286823.6399999857</v>
      </c>
      <c r="L71" s="135">
        <f t="shared" si="9"/>
        <v>500845.6999999881</v>
      </c>
      <c r="M71" s="135">
        <f t="shared" si="9"/>
        <v>400894.75999999046</v>
      </c>
      <c r="N71" s="135">
        <f t="shared" si="9"/>
        <v>430686.5</v>
      </c>
      <c r="O71" s="133"/>
      <c r="P71" s="147">
        <f t="shared" si="7"/>
        <v>9896977.74999994</v>
      </c>
      <c r="R71" s="127">
        <v>39022</v>
      </c>
      <c r="S71" s="128">
        <f>M$10</f>
        <v>312999805.54064</v>
      </c>
      <c r="U71" s="133"/>
    </row>
    <row r="72" spans="2:21" ht="13.5" outlineLevel="1" thickBot="1">
      <c r="B72" s="134">
        <v>2006</v>
      </c>
      <c r="C72" s="135">
        <f t="shared" si="9"/>
        <v>197206.23000001907</v>
      </c>
      <c r="D72" s="135">
        <f t="shared" si="9"/>
        <v>174512.55000001192</v>
      </c>
      <c r="E72" s="135">
        <f t="shared" si="9"/>
        <v>431734.18000000715</v>
      </c>
      <c r="F72" s="135">
        <f t="shared" si="9"/>
        <v>519623.14999997616</v>
      </c>
      <c r="G72" s="135">
        <f t="shared" si="9"/>
        <v>663888.1999999881</v>
      </c>
      <c r="H72" s="135">
        <f t="shared" si="9"/>
        <v>674998.7900000215</v>
      </c>
      <c r="I72" s="135">
        <f t="shared" si="9"/>
        <v>832130.7699999809</v>
      </c>
      <c r="J72" s="135">
        <f t="shared" si="9"/>
        <v>429448.4499999881</v>
      </c>
      <c r="K72" s="135">
        <f t="shared" si="9"/>
        <v>341176.04000002146</v>
      </c>
      <c r="L72" s="135">
        <f t="shared" si="9"/>
        <v>380345.2200000286</v>
      </c>
      <c r="M72" s="135">
        <f t="shared" si="9"/>
        <v>446316.7300000191</v>
      </c>
      <c r="N72" s="135">
        <f t="shared" si="9"/>
        <v>432264.3299999833</v>
      </c>
      <c r="O72" s="133"/>
      <c r="P72" s="147">
        <f t="shared" si="7"/>
        <v>5523644.640000045</v>
      </c>
      <c r="R72" s="127">
        <v>39052</v>
      </c>
      <c r="S72" s="128">
        <f>N$10</f>
        <v>317982953.65599346</v>
      </c>
      <c r="U72" s="133"/>
    </row>
    <row r="73" spans="2:21" ht="12.75" outlineLevel="1">
      <c r="B73" s="134">
        <v>2007</v>
      </c>
      <c r="C73" s="135">
        <f t="shared" si="9"/>
        <v>644113.3000000119</v>
      </c>
      <c r="D73" s="135">
        <f t="shared" si="9"/>
        <v>836223.4800000191</v>
      </c>
      <c r="E73" s="135">
        <f t="shared" si="9"/>
        <v>848033.9100000262</v>
      </c>
      <c r="F73" s="135">
        <f t="shared" si="9"/>
        <v>702923.1999999881</v>
      </c>
      <c r="G73" s="135">
        <f t="shared" si="9"/>
        <v>850221.0500000119</v>
      </c>
      <c r="H73" s="135">
        <f t="shared" si="9"/>
        <v>970985.2799999714</v>
      </c>
      <c r="I73" s="135">
        <f t="shared" si="9"/>
        <v>959385.75</v>
      </c>
      <c r="J73" s="135">
        <f t="shared" si="9"/>
        <v>1021885.6600000262</v>
      </c>
      <c r="K73" s="135">
        <f t="shared" si="9"/>
        <v>946134.4200000167</v>
      </c>
      <c r="L73" s="135">
        <f t="shared" si="9"/>
        <v>1027049.7699999809</v>
      </c>
      <c r="M73" s="135">
        <f t="shared" si="9"/>
        <v>1036878.6200000048</v>
      </c>
      <c r="N73" s="135">
        <f t="shared" si="9"/>
        <v>1031337.1600000262</v>
      </c>
      <c r="O73" s="133"/>
      <c r="P73" s="147">
        <f t="shared" si="7"/>
        <v>10875171.600000083</v>
      </c>
      <c r="R73" s="127">
        <v>39083</v>
      </c>
      <c r="S73" s="126">
        <f>C$11</f>
        <v>332533627.73552</v>
      </c>
      <c r="U73" s="133"/>
    </row>
    <row r="74" spans="2:21" ht="12.75" outlineLevel="1">
      <c r="B74" s="134">
        <v>2008</v>
      </c>
      <c r="C74" s="135">
        <f t="shared" si="9"/>
        <v>1069052.050000012</v>
      </c>
      <c r="D74" s="135">
        <f t="shared" si="9"/>
        <v>1002548.1100000143</v>
      </c>
      <c r="E74" s="135">
        <f t="shared" si="9"/>
        <v>1005175.4700000286</v>
      </c>
      <c r="F74" s="135">
        <f t="shared" si="9"/>
        <v>1381054.8399999738</v>
      </c>
      <c r="G74" s="135">
        <f t="shared" si="9"/>
        <v>892544.7900000215</v>
      </c>
      <c r="H74" s="135">
        <f t="shared" si="9"/>
        <v>1093657.019999981</v>
      </c>
      <c r="I74" s="135">
        <f t="shared" si="9"/>
        <v>1171041.449999988</v>
      </c>
      <c r="J74" s="135">
        <f t="shared" si="9"/>
        <v>1079978.8100000024</v>
      </c>
      <c r="K74" s="135">
        <f t="shared" si="9"/>
        <v>1006926.0799999833</v>
      </c>
      <c r="L74" s="135">
        <f t="shared" si="9"/>
        <v>957607.6800000072</v>
      </c>
      <c r="M74" s="135">
        <f t="shared" si="9"/>
        <v>952652.0799999833</v>
      </c>
      <c r="N74" s="135">
        <f t="shared" si="9"/>
        <v>990957.9700000286</v>
      </c>
      <c r="O74" s="133"/>
      <c r="P74" s="147">
        <f t="shared" si="7"/>
        <v>12603196.350000024</v>
      </c>
      <c r="R74" s="127">
        <v>39114</v>
      </c>
      <c r="S74" s="128">
        <f>D$11</f>
        <v>318174492.26888</v>
      </c>
      <c r="U74" s="133"/>
    </row>
    <row r="75" spans="2:21" ht="12.75" outlineLevel="1">
      <c r="B75" s="134">
        <v>2009</v>
      </c>
      <c r="C75" s="135">
        <f t="shared" si="9"/>
        <v>1042180.1700000167</v>
      </c>
      <c r="D75" s="135">
        <f t="shared" si="9"/>
        <v>932910.3399999738</v>
      </c>
      <c r="E75" s="135">
        <f t="shared" si="9"/>
        <v>989521.8100000024</v>
      </c>
      <c r="F75" s="135">
        <f t="shared" si="9"/>
        <v>890118.7599999905</v>
      </c>
      <c r="G75" s="135">
        <f t="shared" si="9"/>
        <v>909304.7699999809</v>
      </c>
      <c r="H75" s="135">
        <f t="shared" si="9"/>
        <v>978399.0400000215</v>
      </c>
      <c r="I75" s="135">
        <f t="shared" si="9"/>
        <v>1003506.8700000048</v>
      </c>
      <c r="J75" s="135">
        <f t="shared" si="9"/>
        <v>1115745.300000012</v>
      </c>
      <c r="K75" s="135">
        <f t="shared" si="9"/>
        <v>976434.7099999785</v>
      </c>
      <c r="L75" s="135">
        <f t="shared" si="9"/>
        <v>967756.2699999809</v>
      </c>
      <c r="M75" s="135">
        <f t="shared" si="9"/>
        <v>971910.9900000095</v>
      </c>
      <c r="N75" s="135">
        <f t="shared" si="9"/>
        <v>1046816.7300000191</v>
      </c>
      <c r="O75" s="133"/>
      <c r="P75" s="147">
        <f t="shared" si="7"/>
        <v>11824605.75999999</v>
      </c>
      <c r="R75" s="127">
        <v>39142</v>
      </c>
      <c r="S75" s="128">
        <f>E$11</f>
        <v>330329410.74736</v>
      </c>
      <c r="U75" s="133"/>
    </row>
    <row r="76" spans="2:21" ht="13.5" outlineLevel="1" thickBot="1">
      <c r="B76" s="140">
        <v>2010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50">
        <f t="shared" si="7"/>
        <v>0</v>
      </c>
      <c r="R76" s="127">
        <v>39173</v>
      </c>
      <c r="S76" s="128">
        <f>F$11</f>
        <v>301193988.05048</v>
      </c>
      <c r="U76" s="133"/>
    </row>
    <row r="77" spans="18:21" ht="12.75" outlineLevel="1">
      <c r="R77" s="127">
        <v>39203</v>
      </c>
      <c r="S77" s="128">
        <f>G$11</f>
        <v>313881665.17032</v>
      </c>
      <c r="U77" s="133"/>
    </row>
    <row r="78" spans="2:21" ht="12.75" outlineLevel="1">
      <c r="B78" s="123"/>
      <c r="R78" s="127">
        <v>39234</v>
      </c>
      <c r="S78" s="128">
        <f>H$11</f>
        <v>352305947.4008</v>
      </c>
      <c r="U78" s="133"/>
    </row>
    <row r="79" spans="18:21" ht="13.5" outlineLevel="1" thickBot="1">
      <c r="R79" s="127">
        <v>39264</v>
      </c>
      <c r="S79" s="128">
        <f>I$11</f>
        <v>350987926.2304</v>
      </c>
      <c r="U79" s="133"/>
    </row>
    <row r="80" spans="2:21" ht="12.75" outlineLevel="1">
      <c r="B80" s="129"/>
      <c r="C80" s="130" t="s">
        <v>9</v>
      </c>
      <c r="D80" s="130" t="s">
        <v>10</v>
      </c>
      <c r="E80" s="130" t="s">
        <v>11</v>
      </c>
      <c r="F80" s="130" t="s">
        <v>12</v>
      </c>
      <c r="G80" s="130" t="s">
        <v>13</v>
      </c>
      <c r="H80" s="130" t="s">
        <v>14</v>
      </c>
      <c r="I80" s="130" t="s">
        <v>15</v>
      </c>
      <c r="J80" s="130" t="s">
        <v>16</v>
      </c>
      <c r="K80" s="130" t="s">
        <v>17</v>
      </c>
      <c r="L80" s="130" t="s">
        <v>51</v>
      </c>
      <c r="M80" s="130" t="s">
        <v>19</v>
      </c>
      <c r="N80" s="131" t="s">
        <v>20</v>
      </c>
      <c r="R80" s="127">
        <v>39295</v>
      </c>
      <c r="S80" s="128">
        <f>J$11</f>
        <v>363680290.54208</v>
      </c>
      <c r="U80" s="133"/>
    </row>
    <row r="81" spans="2:21" ht="12.75" outlineLevel="1">
      <c r="B81" s="134">
        <v>1996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6"/>
      <c r="R81" s="127">
        <v>39326</v>
      </c>
      <c r="S81" s="128">
        <f>K$11</f>
        <v>320412435.58792</v>
      </c>
      <c r="U81" s="133"/>
    </row>
    <row r="82" spans="2:21" ht="12.75" outlineLevel="1">
      <c r="B82" s="134">
        <v>1997</v>
      </c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2"/>
      <c r="R82" s="127">
        <v>39356</v>
      </c>
      <c r="S82" s="128">
        <f>L$11</f>
        <v>318245128.16911995</v>
      </c>
      <c r="U82" s="133"/>
    </row>
    <row r="83" spans="2:21" ht="12.75" outlineLevel="1">
      <c r="B83" s="134">
        <v>1998</v>
      </c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2"/>
      <c r="R83" s="127">
        <v>39387</v>
      </c>
      <c r="S83" s="128">
        <f>M$11</f>
        <v>323515779.22904</v>
      </c>
      <c r="U83" s="133"/>
    </row>
    <row r="84" spans="2:21" ht="13.5" outlineLevel="1" thickBot="1">
      <c r="B84" s="134">
        <v>1999</v>
      </c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2"/>
      <c r="R84" s="127">
        <v>39417</v>
      </c>
      <c r="S84" s="128">
        <f>N$11</f>
        <v>333331076.53264</v>
      </c>
      <c r="U84" s="133"/>
    </row>
    <row r="85" spans="2:21" ht="12.75" outlineLevel="1">
      <c r="B85" s="134">
        <v>2000</v>
      </c>
      <c r="C85" s="526">
        <f aca="true" t="shared" si="10" ref="C85:N94">+C66/C24</f>
        <v>-0.0003902663840765976</v>
      </c>
      <c r="D85" s="526">
        <f t="shared" si="10"/>
        <v>0.000321707597454223</v>
      </c>
      <c r="E85" s="526">
        <f t="shared" si="10"/>
        <v>-0.0002504183065464851</v>
      </c>
      <c r="F85" s="526">
        <f t="shared" si="10"/>
        <v>0.0010083315319148784</v>
      </c>
      <c r="G85" s="526">
        <f t="shared" si="10"/>
        <v>0.0031183491504854226</v>
      </c>
      <c r="H85" s="526">
        <f t="shared" si="10"/>
        <v>-0.00037054843568949225</v>
      </c>
      <c r="I85" s="526">
        <f t="shared" si="10"/>
        <v>0.0015305399770466947</v>
      </c>
      <c r="J85" s="526">
        <f t="shared" si="10"/>
        <v>0.0013655477857142688</v>
      </c>
      <c r="K85" s="526">
        <f t="shared" si="10"/>
        <v>-0.0007336391666666383</v>
      </c>
      <c r="L85" s="526">
        <f t="shared" si="10"/>
        <v>-0.0008933554882970522</v>
      </c>
      <c r="M85" s="526">
        <f t="shared" si="10"/>
        <v>-2.2278871595279717E-05</v>
      </c>
      <c r="N85" s="527">
        <f t="shared" si="10"/>
        <v>-6.803973246573195E-05</v>
      </c>
      <c r="R85" s="127">
        <v>39448</v>
      </c>
      <c r="S85" s="126">
        <f>C$12</f>
        <v>344575662.3916</v>
      </c>
      <c r="U85" s="133"/>
    </row>
    <row r="86" spans="2:21" ht="12.75" outlineLevel="1">
      <c r="B86" s="134">
        <v>2001</v>
      </c>
      <c r="C86" s="526">
        <f t="shared" si="10"/>
        <v>-1.8550607142916746E-05</v>
      </c>
      <c r="D86" s="526">
        <f t="shared" si="10"/>
        <v>-1.7176225970964332E-05</v>
      </c>
      <c r="E86" s="526">
        <f t="shared" si="10"/>
        <v>-0.0013582528169014615</v>
      </c>
      <c r="F86" s="526">
        <f t="shared" si="10"/>
        <v>0.0012323039800994976</v>
      </c>
      <c r="G86" s="526">
        <f t="shared" si="10"/>
        <v>-6.082361275089017E-05</v>
      </c>
      <c r="H86" s="526">
        <f t="shared" si="10"/>
        <v>0.000605764390418348</v>
      </c>
      <c r="I86" s="526">
        <f t="shared" si="10"/>
        <v>-0.00011511299115050155</v>
      </c>
      <c r="J86" s="526">
        <f t="shared" si="10"/>
        <v>-0.00024078759313247565</v>
      </c>
      <c r="K86" s="526">
        <f t="shared" si="10"/>
        <v>-0.000267207014106541</v>
      </c>
      <c r="L86" s="526">
        <f t="shared" si="10"/>
        <v>-0.0010415775736701063</v>
      </c>
      <c r="M86" s="526">
        <f t="shared" si="10"/>
        <v>0.00014009779635261983</v>
      </c>
      <c r="N86" s="527">
        <f t="shared" si="10"/>
        <v>0.001502772352941115</v>
      </c>
      <c r="R86" s="127">
        <v>39479</v>
      </c>
      <c r="S86" s="128">
        <f>D$12</f>
        <v>326113371.71056</v>
      </c>
      <c r="U86" s="133"/>
    </row>
    <row r="87" spans="2:21" ht="12.75" outlineLevel="1">
      <c r="B87" s="134">
        <v>2002</v>
      </c>
      <c r="C87" s="526">
        <f t="shared" si="10"/>
        <v>0.001722374578059013</v>
      </c>
      <c r="D87" s="526">
        <f t="shared" si="10"/>
        <v>0.0008461536781609743</v>
      </c>
      <c r="E87" s="526">
        <f t="shared" si="10"/>
        <v>-6.343476088514165E-05</v>
      </c>
      <c r="F87" s="526">
        <f t="shared" si="10"/>
        <v>-0.00012420784534534086</v>
      </c>
      <c r="G87" s="528">
        <f t="shared" si="10"/>
        <v>-0.007377592950138634</v>
      </c>
      <c r="H87" s="528">
        <f t="shared" si="10"/>
        <v>-0.0039223729469410155</v>
      </c>
      <c r="I87" s="528">
        <f t="shared" si="10"/>
        <v>0.07069943947757491</v>
      </c>
      <c r="J87" s="528">
        <f t="shared" si="10"/>
        <v>0.12568740269466366</v>
      </c>
      <c r="K87" s="151">
        <f t="shared" si="10"/>
        <v>0.0035705379892204295</v>
      </c>
      <c r="L87" s="151">
        <f t="shared" si="10"/>
        <v>0.004309369827148086</v>
      </c>
      <c r="M87" s="151">
        <f t="shared" si="10"/>
        <v>0.0035938344264273003</v>
      </c>
      <c r="N87" s="152">
        <f t="shared" si="10"/>
        <v>0.003456068450238866</v>
      </c>
      <c r="R87" s="127">
        <v>39508</v>
      </c>
      <c r="S87" s="128">
        <f>E$12</f>
        <v>331077485.06296</v>
      </c>
      <c r="U87" s="133"/>
    </row>
    <row r="88" spans="2:21" ht="12.75" outlineLevel="1">
      <c r="B88" s="134">
        <v>2003</v>
      </c>
      <c r="C88" s="151">
        <f t="shared" si="10"/>
        <v>0.005901080392727426</v>
      </c>
      <c r="D88" s="151">
        <f t="shared" si="10"/>
        <v>0.0035758807440268723</v>
      </c>
      <c r="E88" s="151">
        <f t="shared" si="10"/>
        <v>0.002917481822002318</v>
      </c>
      <c r="F88" s="151">
        <f t="shared" si="10"/>
        <v>0.0037361969495796152</v>
      </c>
      <c r="G88" s="151">
        <f t="shared" si="10"/>
        <v>0.0037660269133823637</v>
      </c>
      <c r="H88" s="153">
        <f t="shared" si="10"/>
        <v>0.0034307640309139227</v>
      </c>
      <c r="I88" s="151">
        <f t="shared" si="10"/>
        <v>0.005302071350213283</v>
      </c>
      <c r="J88" s="151">
        <f t="shared" si="10"/>
        <v>0.0037622473672508047</v>
      </c>
      <c r="K88" s="151">
        <f t="shared" si="10"/>
        <v>0.003814119009106705</v>
      </c>
      <c r="L88" s="151">
        <f t="shared" si="10"/>
        <v>0.0038501803254670556</v>
      </c>
      <c r="M88" s="151">
        <f t="shared" si="10"/>
        <v>0.0036666829009791837</v>
      </c>
      <c r="N88" s="152">
        <f t="shared" si="10"/>
        <v>0.0036465552527365367</v>
      </c>
      <c r="R88" s="127">
        <v>39539</v>
      </c>
      <c r="S88" s="128">
        <f>F$12</f>
        <v>303230329.28384</v>
      </c>
      <c r="U88" s="133"/>
    </row>
    <row r="89" spans="2:21" ht="12.75" outlineLevel="1">
      <c r="B89" s="134">
        <v>2004</v>
      </c>
      <c r="C89" s="151">
        <f t="shared" si="10"/>
        <v>0.003614878254604578</v>
      </c>
      <c r="D89" s="151">
        <f t="shared" si="10"/>
        <v>0.0036778808864033814</v>
      </c>
      <c r="E89" s="151">
        <f t="shared" si="10"/>
        <v>0.0036023034067098328</v>
      </c>
      <c r="F89" s="151">
        <f t="shared" si="10"/>
        <v>0.003637110312105603</v>
      </c>
      <c r="G89" s="151">
        <f t="shared" si="10"/>
        <v>0.003732527936154902</v>
      </c>
      <c r="H89" s="151">
        <f t="shared" si="10"/>
        <v>0.0037425336879383865</v>
      </c>
      <c r="I89" s="151">
        <f t="shared" si="10"/>
        <v>0.0021874143879089336</v>
      </c>
      <c r="J89" s="153">
        <f t="shared" si="10"/>
        <v>0.003834597486592714</v>
      </c>
      <c r="K89" s="151">
        <f t="shared" si="10"/>
        <v>0.003920141575526423</v>
      </c>
      <c r="L89" s="151">
        <f t="shared" si="10"/>
        <v>0.0038831080868448648</v>
      </c>
      <c r="M89" s="151">
        <f t="shared" si="10"/>
        <v>0.003636750323498535</v>
      </c>
      <c r="N89" s="152">
        <f t="shared" si="10"/>
        <v>0.003591036248250791</v>
      </c>
      <c r="R89" s="127">
        <v>39569</v>
      </c>
      <c r="S89" s="128">
        <f>G$12</f>
        <v>301056523.36776</v>
      </c>
      <c r="U89" s="133"/>
    </row>
    <row r="90" spans="2:21" ht="12.75" outlineLevel="1">
      <c r="B90" s="134">
        <v>2005</v>
      </c>
      <c r="C90" s="151">
        <f t="shared" si="10"/>
        <v>0.0040369509581545</v>
      </c>
      <c r="D90" s="151">
        <f t="shared" si="10"/>
        <v>0.003590867231819445</v>
      </c>
      <c r="E90" s="151">
        <f t="shared" si="10"/>
        <v>0.0036046880715089854</v>
      </c>
      <c r="F90" s="151">
        <f t="shared" si="10"/>
        <v>0.003680610350001143</v>
      </c>
      <c r="G90" s="151">
        <f t="shared" si="10"/>
        <v>0.0029772905265791298</v>
      </c>
      <c r="H90" s="151">
        <f t="shared" si="10"/>
        <v>0.002506003301201061</v>
      </c>
      <c r="I90" s="151">
        <f t="shared" si="10"/>
        <v>0.0031752697104555348</v>
      </c>
      <c r="J90" s="151">
        <f t="shared" si="10"/>
        <v>0.0023250157242425138</v>
      </c>
      <c r="K90" s="151">
        <f t="shared" si="10"/>
        <v>0.0009174692856327662</v>
      </c>
      <c r="L90" s="151">
        <f t="shared" si="10"/>
        <v>0.001649337969780629</v>
      </c>
      <c r="M90" s="153">
        <f t="shared" si="10"/>
        <v>0.0012967001260965672</v>
      </c>
      <c r="N90" s="152">
        <f t="shared" si="10"/>
        <v>0.0013148003700325056</v>
      </c>
      <c r="R90" s="127">
        <v>39600</v>
      </c>
      <c r="S90" s="128">
        <f>H$12</f>
        <v>334428490.42672</v>
      </c>
      <c r="U90" s="133"/>
    </row>
    <row r="91" spans="2:21" ht="12.75" outlineLevel="1">
      <c r="B91" s="134">
        <v>2006</v>
      </c>
      <c r="C91" s="151">
        <f t="shared" si="10"/>
        <v>0.0006021112443177977</v>
      </c>
      <c r="D91" s="151">
        <f t="shared" si="10"/>
        <v>0.0005755710724587677</v>
      </c>
      <c r="E91" s="151">
        <f t="shared" si="10"/>
        <v>0.00133398959065618</v>
      </c>
      <c r="F91" s="151">
        <f t="shared" si="10"/>
        <v>0.0018102993507727843</v>
      </c>
      <c r="G91" s="151">
        <f t="shared" si="10"/>
        <v>0.0021574801722780263</v>
      </c>
      <c r="H91" s="151">
        <f t="shared" si="10"/>
        <v>0.002033891760359228</v>
      </c>
      <c r="I91" s="151">
        <f t="shared" si="10"/>
        <v>0.002246344139911482</v>
      </c>
      <c r="J91" s="151">
        <f t="shared" si="10"/>
        <v>0.0012137953424679832</v>
      </c>
      <c r="K91" s="151">
        <f t="shared" si="10"/>
        <v>0.0011454652420774948</v>
      </c>
      <c r="L91" s="151">
        <f t="shared" si="10"/>
        <v>0.00123593319505253</v>
      </c>
      <c r="M91" s="151">
        <f t="shared" si="10"/>
        <v>0.0014241529909921442</v>
      </c>
      <c r="N91" s="152">
        <f t="shared" si="10"/>
        <v>0.0013663975273617078</v>
      </c>
      <c r="R91" s="127">
        <v>39630</v>
      </c>
      <c r="S91" s="128">
        <f>I$12</f>
        <v>363118366.5624</v>
      </c>
      <c r="U91" s="133"/>
    </row>
    <row r="92" spans="2:21" ht="12.75" outlineLevel="1">
      <c r="B92" s="134">
        <v>2007</v>
      </c>
      <c r="C92" s="153">
        <f t="shared" si="10"/>
        <v>0.0019484827090326567</v>
      </c>
      <c r="D92" s="151">
        <f t="shared" si="10"/>
        <v>0.002631326628451216</v>
      </c>
      <c r="E92" s="151">
        <f t="shared" si="10"/>
        <v>0.002583682243433783</v>
      </c>
      <c r="F92" s="151">
        <f t="shared" si="10"/>
        <v>0.002341510589572634</v>
      </c>
      <c r="G92" s="151">
        <f t="shared" si="10"/>
        <v>0.002700993487027786</v>
      </c>
      <c r="H92" s="151">
        <f t="shared" si="10"/>
        <v>0.002766536048190573</v>
      </c>
      <c r="I92" s="151">
        <f t="shared" si="10"/>
        <v>0.002747537865652132</v>
      </c>
      <c r="J92" s="151">
        <f t="shared" si="10"/>
        <v>0.002827169147540866</v>
      </c>
      <c r="K92" s="151">
        <f t="shared" si="10"/>
        <v>0.0029739739440199607</v>
      </c>
      <c r="L92" s="151">
        <f t="shared" si="10"/>
        <v>0.0032465294314435104</v>
      </c>
      <c r="M92" s="151">
        <f t="shared" si="10"/>
        <v>0.0032216676790681694</v>
      </c>
      <c r="N92" s="152">
        <f t="shared" si="10"/>
        <v>0.0031115581507195934</v>
      </c>
      <c r="R92" s="127">
        <v>39661</v>
      </c>
      <c r="S92" s="128">
        <f>J$12</f>
        <v>341326026.458</v>
      </c>
      <c r="U92" s="133"/>
    </row>
    <row r="93" spans="2:21" ht="12.75" outlineLevel="1">
      <c r="B93" s="134">
        <v>2008</v>
      </c>
      <c r="C93" s="151">
        <f t="shared" si="10"/>
        <v>0.0031144740672410937</v>
      </c>
      <c r="D93" s="151">
        <f t="shared" si="10"/>
        <v>0.0030853782220894</v>
      </c>
      <c r="E93" s="151">
        <f t="shared" si="10"/>
        <v>0.0030512052946613413</v>
      </c>
      <c r="F93" s="151">
        <f t="shared" si="10"/>
        <v>0.004584954464810633</v>
      </c>
      <c r="G93" s="151">
        <f t="shared" si="10"/>
        <v>0.002980434355220466</v>
      </c>
      <c r="H93" s="151">
        <f t="shared" si="10"/>
        <v>0.0032625570379998478</v>
      </c>
      <c r="I93" s="151">
        <f t="shared" si="10"/>
        <v>0.0032235620479485545</v>
      </c>
      <c r="J93" s="151">
        <f t="shared" si="10"/>
        <v>0.0031632618507948106</v>
      </c>
      <c r="K93" s="151">
        <f t="shared" si="10"/>
        <v>0.0031676304724726854</v>
      </c>
      <c r="L93" s="151">
        <f t="shared" si="10"/>
        <v>0.003078047135670953</v>
      </c>
      <c r="M93" s="151">
        <f t="shared" si="10"/>
        <v>0.0030257719295394346</v>
      </c>
      <c r="N93" s="152">
        <f t="shared" si="10"/>
        <v>0.0030043520567442565</v>
      </c>
      <c r="R93" s="127">
        <v>39692</v>
      </c>
      <c r="S93" s="128">
        <f>K$12</f>
        <v>317499537.95280004</v>
      </c>
      <c r="U93" s="133"/>
    </row>
    <row r="94" spans="2:21" ht="12.75" outlineLevel="1">
      <c r="B94" s="134">
        <v>2009</v>
      </c>
      <c r="C94" s="151">
        <f>+C75/C33</f>
        <v>0.003052231313747927</v>
      </c>
      <c r="D94" s="151">
        <f t="shared" si="10"/>
        <v>0.0031112435323143906</v>
      </c>
      <c r="E94" s="151">
        <f t="shared" si="10"/>
        <v>0.0030998787327227036</v>
      </c>
      <c r="F94" s="153">
        <f t="shared" si="10"/>
        <v>0.0030800957858111394</v>
      </c>
      <c r="G94" s="154">
        <f t="shared" si="10"/>
        <v>0.0032494656358089025</v>
      </c>
      <c r="H94" s="151">
        <f t="shared" si="10"/>
        <v>0.0032363770620611946</v>
      </c>
      <c r="I94" s="153">
        <f t="shared" si="10"/>
        <v>0.0032029115508258295</v>
      </c>
      <c r="J94" s="151">
        <f t="shared" si="10"/>
        <v>0.003245401399553324</v>
      </c>
      <c r="K94" s="151">
        <f t="shared" si="10"/>
        <v>0.0032031455253673236</v>
      </c>
      <c r="L94" s="151">
        <f t="shared" si="10"/>
        <v>0.003151795219334511</v>
      </c>
      <c r="M94" s="151">
        <f t="shared" si="10"/>
        <v>0.0032120870709061657</v>
      </c>
      <c r="N94" s="152">
        <f t="shared" si="10"/>
        <v>0.0031492020587113707</v>
      </c>
      <c r="R94" s="127">
        <v>39722</v>
      </c>
      <c r="S94" s="128">
        <f>L$12</f>
        <v>310230041.67616</v>
      </c>
      <c r="U94" s="133"/>
    </row>
    <row r="95" spans="2:21" ht="13.5" outlineLevel="1" thickBot="1">
      <c r="B95" s="140">
        <v>2010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50"/>
      <c r="R95" s="127">
        <v>39753</v>
      </c>
      <c r="S95" s="128">
        <f>M$12</f>
        <v>313840849.62728</v>
      </c>
      <c r="U95" s="133"/>
    </row>
    <row r="96" spans="18:21" ht="13.5" thickBot="1">
      <c r="R96" s="127">
        <v>39783</v>
      </c>
      <c r="S96" s="128">
        <f>N$12</f>
        <v>328946879.91896003</v>
      </c>
      <c r="U96" s="133"/>
    </row>
    <row r="97" spans="18:21" ht="12.75">
      <c r="R97" s="127">
        <v>39814</v>
      </c>
      <c r="S97" s="126">
        <f>C$13</f>
        <v>340125286.47128</v>
      </c>
      <c r="U97" s="133"/>
    </row>
    <row r="98" spans="18:21" ht="12.75">
      <c r="R98" s="127">
        <v>39845</v>
      </c>
      <c r="S98" s="128">
        <f>D$13</f>
        <v>298423228.43304</v>
      </c>
      <c r="U98" s="133"/>
    </row>
    <row r="99" spans="2:21" ht="12.75">
      <c r="B99" s="124" t="s">
        <v>73</v>
      </c>
      <c r="R99" s="127">
        <v>39873</v>
      </c>
      <c r="S99" s="128">
        <f>E$13</f>
        <v>317878968.44472</v>
      </c>
      <c r="U99" s="133"/>
    </row>
    <row r="100" spans="18:21" ht="13.5" outlineLevel="1" thickBot="1">
      <c r="R100" s="127">
        <v>39904</v>
      </c>
      <c r="S100" s="128">
        <f>F$13</f>
        <v>288048156.51208</v>
      </c>
      <c r="U100" s="133"/>
    </row>
    <row r="101" spans="2:21" ht="12.75" outlineLevel="1">
      <c r="B101" s="129"/>
      <c r="C101" s="130" t="s">
        <v>9</v>
      </c>
      <c r="D101" s="130" t="s">
        <v>10</v>
      </c>
      <c r="E101" s="130" t="s">
        <v>11</v>
      </c>
      <c r="F101" s="130" t="s">
        <v>12</v>
      </c>
      <c r="G101" s="130" t="s">
        <v>13</v>
      </c>
      <c r="H101" s="130" t="s">
        <v>14</v>
      </c>
      <c r="I101" s="130" t="s">
        <v>15</v>
      </c>
      <c r="J101" s="130" t="s">
        <v>16</v>
      </c>
      <c r="K101" s="130" t="s">
        <v>17</v>
      </c>
      <c r="L101" s="130" t="s">
        <v>51</v>
      </c>
      <c r="M101" s="130" t="s">
        <v>19</v>
      </c>
      <c r="N101" s="130" t="s">
        <v>20</v>
      </c>
      <c r="O101" s="145"/>
      <c r="P101" s="131" t="s">
        <v>68</v>
      </c>
      <c r="R101" s="127">
        <v>39934</v>
      </c>
      <c r="S101" s="128">
        <f>G$13</f>
        <v>279549260.71288</v>
      </c>
      <c r="U101" s="133"/>
    </row>
    <row r="102" spans="2:21" ht="12.75" outlineLevel="1">
      <c r="B102" s="134">
        <v>1996</v>
      </c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35"/>
      <c r="P102" s="147">
        <f>SUM(C102,D102,E102,F102,G102,H102,I102,J102,K102,L102,M102,N102)</f>
        <v>0</v>
      </c>
      <c r="R102" s="127">
        <v>39965</v>
      </c>
      <c r="S102" s="128">
        <f>H$13</f>
        <v>301280402.76728004</v>
      </c>
      <c r="U102" s="133"/>
    </row>
    <row r="103" spans="2:21" ht="12.75" outlineLevel="1">
      <c r="B103" s="134">
        <v>1997</v>
      </c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35"/>
      <c r="P103" s="147">
        <f aca="true" t="shared" si="11" ref="P103:P116">SUM(C103,D103,E103,F103,G103,H103,I103,J103,K103,L103,M103,N103)</f>
        <v>0</v>
      </c>
      <c r="R103" s="127">
        <v>39995</v>
      </c>
      <c r="S103" s="128">
        <f>I$13</f>
        <v>312634481.25512</v>
      </c>
      <c r="U103" s="133"/>
    </row>
    <row r="104" spans="2:21" ht="12.75" outlineLevel="1">
      <c r="B104" s="134">
        <v>1998</v>
      </c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35"/>
      <c r="P104" s="147">
        <f t="shared" si="11"/>
        <v>0</v>
      </c>
      <c r="R104" s="127">
        <v>40026</v>
      </c>
      <c r="S104" s="128">
        <f>J$13</f>
        <v>342969586.97349995</v>
      </c>
      <c r="U104" s="133"/>
    </row>
    <row r="105" spans="2:21" ht="12.75" outlineLevel="1">
      <c r="B105" s="134">
        <v>1999</v>
      </c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35" t="s">
        <v>6</v>
      </c>
      <c r="P105" s="147">
        <f t="shared" si="11"/>
        <v>0</v>
      </c>
      <c r="R105" s="127">
        <v>40057</v>
      </c>
      <c r="S105" s="128">
        <f>K$13</f>
        <v>305441230.4</v>
      </c>
      <c r="U105" s="133"/>
    </row>
    <row r="106" spans="2:21" ht="12.75" outlineLevel="1">
      <c r="B106" s="134">
        <v>2000</v>
      </c>
      <c r="C106" s="135">
        <v>3732268.96</v>
      </c>
      <c r="D106" s="135">
        <v>3378014.53</v>
      </c>
      <c r="E106" s="135">
        <v>4141896.16</v>
      </c>
      <c r="F106" s="135">
        <v>3872107.35</v>
      </c>
      <c r="G106" s="135">
        <v>3390163.33</v>
      </c>
      <c r="H106" s="135">
        <v>2821142.51</v>
      </c>
      <c r="I106" s="135">
        <v>3103444.92</v>
      </c>
      <c r="J106" s="135">
        <v>3586512.14</v>
      </c>
      <c r="K106" s="135">
        <v>3657705.75</v>
      </c>
      <c r="L106" s="135">
        <v>3679113.75</v>
      </c>
      <c r="M106" s="135">
        <v>3959184.16</v>
      </c>
      <c r="N106" s="135">
        <v>3811545.75</v>
      </c>
      <c r="O106" s="135"/>
      <c r="P106" s="147">
        <f t="shared" si="11"/>
        <v>43133099.31</v>
      </c>
      <c r="R106" s="127">
        <v>40087</v>
      </c>
      <c r="S106" s="128">
        <f>L$13</f>
        <v>307520270</v>
      </c>
      <c r="U106" s="133"/>
    </row>
    <row r="107" spans="2:21" ht="12.75" outlineLevel="1">
      <c r="B107" s="134">
        <v>2001</v>
      </c>
      <c r="C107" s="135">
        <v>4071614.56</v>
      </c>
      <c r="D107" s="135">
        <v>2973196.92</v>
      </c>
      <c r="E107" s="135">
        <v>4071187.36</v>
      </c>
      <c r="F107" s="135">
        <v>4564224.18</v>
      </c>
      <c r="G107" s="135">
        <v>4367395.37</v>
      </c>
      <c r="H107" s="135">
        <v>4365148.97</v>
      </c>
      <c r="I107" s="135">
        <v>4331097.77</v>
      </c>
      <c r="J107" s="135">
        <v>4118112.16</v>
      </c>
      <c r="K107" s="135">
        <v>3974203.36</v>
      </c>
      <c r="L107" s="135">
        <v>3809899.35</v>
      </c>
      <c r="M107" s="135">
        <v>3498969.74</v>
      </c>
      <c r="N107" s="135">
        <v>3940675.36</v>
      </c>
      <c r="O107" s="135"/>
      <c r="P107" s="147">
        <f t="shared" si="11"/>
        <v>48085725.1</v>
      </c>
      <c r="R107" s="127">
        <v>40118</v>
      </c>
      <c r="S107" s="128">
        <f>M$13</f>
        <v>303012735.71912</v>
      </c>
      <c r="U107" s="133"/>
    </row>
    <row r="108" spans="2:21" ht="12.75" outlineLevel="1">
      <c r="B108" s="134">
        <v>2002</v>
      </c>
      <c r="C108" s="135">
        <v>2257123.29</v>
      </c>
      <c r="D108" s="135">
        <v>3740889.75</v>
      </c>
      <c r="E108" s="135">
        <v>4823294.59</v>
      </c>
      <c r="F108" s="135">
        <v>3746395.35</v>
      </c>
      <c r="G108" s="138">
        <v>4577582.59</v>
      </c>
      <c r="H108" s="133">
        <v>3738331.35</v>
      </c>
      <c r="I108" s="133">
        <v>3492950.399999999</v>
      </c>
      <c r="J108" s="133">
        <v>4077105.600000005</v>
      </c>
      <c r="K108" s="133">
        <v>3605231.9999999977</v>
      </c>
      <c r="L108" s="133">
        <v>3873446.4000000013</v>
      </c>
      <c r="M108" s="133">
        <v>3889487.999999997</v>
      </c>
      <c r="N108" s="133">
        <v>859920</v>
      </c>
      <c r="O108" s="133"/>
      <c r="P108" s="147">
        <f t="shared" si="11"/>
        <v>42681759.32</v>
      </c>
      <c r="R108" s="127">
        <v>40148</v>
      </c>
      <c r="S108" s="128">
        <f>N$13</f>
        <v>331058360.70839995</v>
      </c>
      <c r="U108" s="133"/>
    </row>
    <row r="109" spans="2:21" ht="13.5" outlineLevel="1" thickBot="1">
      <c r="B109" s="134">
        <v>2003</v>
      </c>
      <c r="C109" s="133">
        <v>2767526.399999998</v>
      </c>
      <c r="D109" s="133">
        <v>3517958.399999999</v>
      </c>
      <c r="E109" s="133">
        <v>4193299.2000000025</v>
      </c>
      <c r="F109" s="133">
        <v>3902663.999999996</v>
      </c>
      <c r="G109" s="133">
        <v>3709608.000000002</v>
      </c>
      <c r="H109" s="133">
        <v>3767659.2000000025</v>
      </c>
      <c r="I109" s="133">
        <v>3632087.999999999</v>
      </c>
      <c r="J109" s="133">
        <v>3291326.400000003</v>
      </c>
      <c r="K109" s="133">
        <v>3605270.399999999</v>
      </c>
      <c r="L109" s="133">
        <v>4182700.97</v>
      </c>
      <c r="M109" s="133">
        <v>3629376.14</v>
      </c>
      <c r="N109" s="133">
        <v>3886924.96</v>
      </c>
      <c r="O109" s="133"/>
      <c r="P109" s="147">
        <f t="shared" si="11"/>
        <v>44086402.07000001</v>
      </c>
      <c r="R109" s="155"/>
      <c r="S109" s="156"/>
      <c r="U109" s="133"/>
    </row>
    <row r="110" spans="2:21" ht="12.75" outlineLevel="1">
      <c r="B110" s="134">
        <v>2004</v>
      </c>
      <c r="C110" s="133">
        <v>2950200.12</v>
      </c>
      <c r="D110" s="133">
        <v>3418953.600000001</v>
      </c>
      <c r="E110" s="133">
        <v>4073159.999999999</v>
      </c>
      <c r="F110" s="133">
        <v>3671227.2000000007</v>
      </c>
      <c r="G110" s="133">
        <v>4000550.3999999985</v>
      </c>
      <c r="H110" s="133">
        <v>3389836.800000003</v>
      </c>
      <c r="I110" s="133">
        <v>3460646.400000003</v>
      </c>
      <c r="J110" s="133">
        <v>3988847.9999999995</v>
      </c>
      <c r="K110" s="133">
        <v>3591600</v>
      </c>
      <c r="L110" s="133">
        <v>2698440.0000000005</v>
      </c>
      <c r="M110" s="133">
        <v>3423475.2000000016</v>
      </c>
      <c r="N110" s="133">
        <v>3765311.999999998</v>
      </c>
      <c r="O110" s="133"/>
      <c r="P110" s="147">
        <f t="shared" si="11"/>
        <v>42432249.72000001</v>
      </c>
      <c r="U110" s="133"/>
    </row>
    <row r="111" spans="2:16" ht="12.75" outlineLevel="1">
      <c r="B111" s="134">
        <v>2005</v>
      </c>
      <c r="C111" s="133">
        <v>3741067.1999999974</v>
      </c>
      <c r="D111" s="133">
        <v>3377553.5999999996</v>
      </c>
      <c r="E111" s="133">
        <v>3584567.9999999995</v>
      </c>
      <c r="F111" s="133">
        <v>2828087.9999999995</v>
      </c>
      <c r="G111" s="133">
        <v>3387148.8000000045</v>
      </c>
      <c r="H111" s="133">
        <v>2225764.8000000003</v>
      </c>
      <c r="I111" s="133">
        <v>2238095.999999999</v>
      </c>
      <c r="J111" s="133">
        <v>1572470.4000000001</v>
      </c>
      <c r="K111" s="133">
        <v>3605635.1999999983</v>
      </c>
      <c r="L111" s="133">
        <v>3980606.4</v>
      </c>
      <c r="M111" s="133">
        <v>3492436.800000002</v>
      </c>
      <c r="N111" s="133">
        <v>4061428.7999999966</v>
      </c>
      <c r="O111" s="133"/>
      <c r="P111" s="147">
        <f t="shared" si="11"/>
        <v>38094864</v>
      </c>
    </row>
    <row r="112" spans="2:16" ht="12.75" outlineLevel="1">
      <c r="B112" s="134">
        <v>2006</v>
      </c>
      <c r="C112" s="133">
        <v>3732211.200000003</v>
      </c>
      <c r="D112" s="133">
        <v>3518121.5999999996</v>
      </c>
      <c r="E112" s="133">
        <v>3479318.4000000027</v>
      </c>
      <c r="F112" s="133">
        <v>3581663.999999999</v>
      </c>
      <c r="G112" s="133">
        <v>3739377.599999996</v>
      </c>
      <c r="H112" s="133">
        <v>3406454.399999999</v>
      </c>
      <c r="I112" s="133">
        <v>3332951.999999998</v>
      </c>
      <c r="J112" s="133">
        <v>3342455.9999999977</v>
      </c>
      <c r="K112" s="133">
        <v>3355483.1999999965</v>
      </c>
      <c r="L112" s="133">
        <v>3866784.000000002</v>
      </c>
      <c r="M112" s="133">
        <v>3482318.3999999985</v>
      </c>
      <c r="N112" s="133">
        <v>3891830.399999998</v>
      </c>
      <c r="O112" s="133"/>
      <c r="P112" s="147">
        <f t="shared" si="11"/>
        <v>42728971.19999999</v>
      </c>
    </row>
    <row r="113" spans="2:16" ht="12.75" outlineLevel="1">
      <c r="B113" s="134">
        <v>2007</v>
      </c>
      <c r="C113" s="133">
        <v>4096656</v>
      </c>
      <c r="D113" s="133">
        <v>2531788.8000000026</v>
      </c>
      <c r="E113" s="133">
        <v>4109174.399999998</v>
      </c>
      <c r="F113" s="133">
        <v>2701708.799999999</v>
      </c>
      <c r="G113" s="133">
        <v>526963.2000000003</v>
      </c>
      <c r="H113" s="133">
        <v>2791550.399999998</v>
      </c>
      <c r="I113" s="133">
        <v>3283396.8000000017</v>
      </c>
      <c r="J113" s="133">
        <v>3766675.199999999</v>
      </c>
      <c r="K113" s="133">
        <v>3619092</v>
      </c>
      <c r="L113" s="133">
        <v>3581654.400000001</v>
      </c>
      <c r="M113" s="133">
        <v>3880305.600000001</v>
      </c>
      <c r="N113" s="133">
        <v>4013472.0000000102</v>
      </c>
      <c r="O113" s="133"/>
      <c r="P113" s="147">
        <f t="shared" si="11"/>
        <v>38902437.60000001</v>
      </c>
    </row>
    <row r="114" spans="2:16" ht="12.75" outlineLevel="1">
      <c r="B114" s="134">
        <v>2008</v>
      </c>
      <c r="C114" s="133">
        <v>3481113.600000003</v>
      </c>
      <c r="D114" s="133">
        <v>3255969.6000000006</v>
      </c>
      <c r="E114" s="133">
        <v>3707980.799999999</v>
      </c>
      <c r="F114" s="133">
        <v>3529963.2000000034</v>
      </c>
      <c r="G114" s="133">
        <v>2993611.32</v>
      </c>
      <c r="H114" s="133">
        <v>595684.7999999996</v>
      </c>
      <c r="I114" s="133">
        <v>1326158.3999999985</v>
      </c>
      <c r="J114" s="133">
        <v>1349073.65</v>
      </c>
      <c r="K114" s="133">
        <v>984124.8000000004</v>
      </c>
      <c r="L114" s="133">
        <v>663263.999999999</v>
      </c>
      <c r="M114" s="133">
        <v>759470.3999999993</v>
      </c>
      <c r="N114" s="133">
        <v>1301769.5999999999</v>
      </c>
      <c r="O114" s="133"/>
      <c r="P114" s="147">
        <f t="shared" si="11"/>
        <v>23948184.17</v>
      </c>
    </row>
    <row r="115" spans="2:16" ht="12.75" outlineLevel="1">
      <c r="B115" s="134">
        <v>2009</v>
      </c>
      <c r="C115" s="133">
        <v>1028256.0000000014</v>
      </c>
      <c r="D115" s="133">
        <v>487852.8000000002</v>
      </c>
      <c r="E115" s="133">
        <v>573691.1999999997</v>
      </c>
      <c r="F115" s="133">
        <v>681033.6000000001</v>
      </c>
      <c r="G115" s="50">
        <v>1164983.9999999993</v>
      </c>
      <c r="H115" s="133">
        <v>373281.6000000003</v>
      </c>
      <c r="I115" s="133">
        <v>676382.4000000006</v>
      </c>
      <c r="J115" s="133">
        <v>551822.4000000001</v>
      </c>
      <c r="K115" s="133">
        <v>605030.3999999992</v>
      </c>
      <c r="L115" s="133">
        <v>471048.0000000002</v>
      </c>
      <c r="M115" s="133">
        <v>534417.5999999997</v>
      </c>
      <c r="N115" s="133">
        <v>740918.4000000001</v>
      </c>
      <c r="O115" s="133"/>
      <c r="P115" s="147">
        <f t="shared" si="11"/>
        <v>7888718.400000001</v>
      </c>
    </row>
    <row r="116" spans="2:16" ht="13.5" outlineLevel="1" thickBot="1">
      <c r="B116" s="140">
        <v>2010</v>
      </c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50">
        <f t="shared" si="11"/>
        <v>0</v>
      </c>
    </row>
    <row r="120" ht="12.75">
      <c r="B120" s="124" t="s">
        <v>74</v>
      </c>
    </row>
    <row r="121" ht="13.5" outlineLevel="1" thickBot="1"/>
    <row r="122" spans="2:16" ht="12.75" outlineLevel="1">
      <c r="B122" s="129"/>
      <c r="C122" s="130" t="s">
        <v>9</v>
      </c>
      <c r="D122" s="130" t="s">
        <v>10</v>
      </c>
      <c r="E122" s="130" t="s">
        <v>11</v>
      </c>
      <c r="F122" s="130" t="s">
        <v>12</v>
      </c>
      <c r="G122" s="130" t="s">
        <v>13</v>
      </c>
      <c r="H122" s="130" t="s">
        <v>14</v>
      </c>
      <c r="I122" s="130" t="s">
        <v>15</v>
      </c>
      <c r="J122" s="130" t="s">
        <v>16</v>
      </c>
      <c r="K122" s="130" t="s">
        <v>17</v>
      </c>
      <c r="L122" s="130" t="s">
        <v>51</v>
      </c>
      <c r="M122" s="130" t="s">
        <v>19</v>
      </c>
      <c r="N122" s="130" t="s">
        <v>20</v>
      </c>
      <c r="O122" s="145"/>
      <c r="P122" s="131" t="s">
        <v>68</v>
      </c>
    </row>
    <row r="123" spans="2:16" ht="12.75" outlineLevel="1">
      <c r="B123" s="134">
        <v>1996</v>
      </c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35"/>
      <c r="P123" s="147">
        <f>SUM(C123,D123,E123,F123,G123,H123,I123,J123,K123,L123,M123,N123)</f>
        <v>0</v>
      </c>
    </row>
    <row r="124" spans="2:16" ht="12.75" outlineLevel="1">
      <c r="B124" s="134">
        <v>1997</v>
      </c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35"/>
      <c r="P124" s="147">
        <f aca="true" t="shared" si="12" ref="P124:P137">SUM(C124,D124,E124,F124,G124,H124,I124,J124,K124,L124,M124,N124)</f>
        <v>0</v>
      </c>
    </row>
    <row r="125" spans="2:16" ht="12.75" outlineLevel="1">
      <c r="B125" s="134">
        <v>1998</v>
      </c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35"/>
      <c r="P125" s="147">
        <f t="shared" si="12"/>
        <v>0</v>
      </c>
    </row>
    <row r="126" spans="2:16" ht="12.75" outlineLevel="1">
      <c r="B126" s="134">
        <v>1999</v>
      </c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35" t="s">
        <v>6</v>
      </c>
      <c r="P126" s="147">
        <f t="shared" si="12"/>
        <v>0</v>
      </c>
    </row>
    <row r="127" spans="2:16" ht="12.75" outlineLevel="1">
      <c r="B127" s="134">
        <v>2000</v>
      </c>
      <c r="C127" s="135"/>
      <c r="D127" s="135"/>
      <c r="E127" s="135"/>
      <c r="F127" s="135"/>
      <c r="G127" s="135"/>
      <c r="H127" s="135">
        <v>1376664.05</v>
      </c>
      <c r="I127" s="135">
        <v>1391208.06</v>
      </c>
      <c r="J127" s="135">
        <v>1447034.46</v>
      </c>
      <c r="K127" s="135">
        <v>1364565.65</v>
      </c>
      <c r="L127" s="135">
        <v>1479446.46</v>
      </c>
      <c r="M127" s="135">
        <v>1721858.47</v>
      </c>
      <c r="N127" s="135">
        <v>2288709.69</v>
      </c>
      <c r="O127" s="135"/>
      <c r="P127" s="147">
        <f t="shared" si="12"/>
        <v>11069486.84</v>
      </c>
    </row>
    <row r="128" spans="2:16" ht="12.75" outlineLevel="1">
      <c r="B128" s="134">
        <v>2001</v>
      </c>
      <c r="C128" s="135">
        <v>2144510.49</v>
      </c>
      <c r="D128" s="135">
        <v>1901361.68</v>
      </c>
      <c r="E128" s="135">
        <v>1966168.88</v>
      </c>
      <c r="F128" s="135">
        <v>1550726.46</v>
      </c>
      <c r="G128" s="135">
        <v>1364388.05</v>
      </c>
      <c r="H128" s="135">
        <v>1450132.86</v>
      </c>
      <c r="I128" s="135">
        <v>1434784.86</v>
      </c>
      <c r="J128" s="135">
        <v>1529512.86</v>
      </c>
      <c r="K128" s="135">
        <v>1360236.05</v>
      </c>
      <c r="L128" s="135">
        <v>1555946.46</v>
      </c>
      <c r="M128" s="135">
        <v>1652472.07</v>
      </c>
      <c r="N128" s="135">
        <v>1986470.48</v>
      </c>
      <c r="O128" s="135"/>
      <c r="P128" s="147">
        <f t="shared" si="12"/>
        <v>19896711.2</v>
      </c>
    </row>
    <row r="129" spans="2:16" ht="12.75" outlineLevel="1">
      <c r="B129" s="134">
        <v>2002</v>
      </c>
      <c r="C129" s="135">
        <v>2068041.68</v>
      </c>
      <c r="D129" s="135">
        <v>1842367.27</v>
      </c>
      <c r="E129" s="135">
        <v>1946872.88</v>
      </c>
      <c r="F129" s="135">
        <v>1605249.66</v>
      </c>
      <c r="G129" s="138">
        <v>1500998.46</v>
      </c>
      <c r="H129" s="133">
        <v>1431964.86</v>
      </c>
      <c r="I129" s="133">
        <v>1625188.7999999993</v>
      </c>
      <c r="J129" s="133">
        <v>1524386.4000000001</v>
      </c>
      <c r="K129" s="133">
        <v>1394584.8000000007</v>
      </c>
      <c r="L129" s="133">
        <v>1656597.6000000003</v>
      </c>
      <c r="M129" s="133">
        <v>1772990.399999999</v>
      </c>
      <c r="N129" s="133">
        <v>2113824.0000000033</v>
      </c>
      <c r="O129" s="133"/>
      <c r="P129" s="147">
        <f t="shared" si="12"/>
        <v>20483066.810000002</v>
      </c>
    </row>
    <row r="130" spans="2:16" ht="12.75" outlineLevel="1">
      <c r="B130" s="134">
        <v>2003</v>
      </c>
      <c r="C130" s="133">
        <v>2317125.599999995</v>
      </c>
      <c r="D130" s="133">
        <v>2069582.4</v>
      </c>
      <c r="E130" s="133">
        <v>2502532.7999999993</v>
      </c>
      <c r="F130" s="133">
        <v>1681622.3999999983</v>
      </c>
      <c r="G130" s="133">
        <v>1492552.800000002</v>
      </c>
      <c r="H130" s="133">
        <v>1430294.3999999992</v>
      </c>
      <c r="I130" s="133">
        <v>1458691.2</v>
      </c>
      <c r="J130" s="133">
        <v>1398854.399999999</v>
      </c>
      <c r="K130" s="133">
        <v>1277371.1999999986</v>
      </c>
      <c r="L130" s="133">
        <v>1499690.399999999</v>
      </c>
      <c r="M130" s="133">
        <v>1701182.4</v>
      </c>
      <c r="N130" s="133">
        <v>2044053.600000002</v>
      </c>
      <c r="O130" s="133"/>
      <c r="P130" s="147">
        <f t="shared" si="12"/>
        <v>20873553.59999999</v>
      </c>
    </row>
    <row r="131" spans="2:16" ht="12.75" outlineLevel="1">
      <c r="B131" s="134">
        <v>2004</v>
      </c>
      <c r="C131" s="133">
        <v>2345301.600000001</v>
      </c>
      <c r="D131" s="133">
        <v>1940387.9999999981</v>
      </c>
      <c r="E131" s="133">
        <v>3507249.6</v>
      </c>
      <c r="F131" s="133">
        <v>1622133.6000000003</v>
      </c>
      <c r="G131" s="133">
        <v>1367570.4000000004</v>
      </c>
      <c r="H131" s="133">
        <v>1290974.4</v>
      </c>
      <c r="I131" s="133">
        <v>1352786.4</v>
      </c>
      <c r="J131" s="133">
        <v>1323271.2000000014</v>
      </c>
      <c r="K131" s="133">
        <v>1278686.4000000013</v>
      </c>
      <c r="L131" s="133">
        <v>1423588.799999999</v>
      </c>
      <c r="M131" s="133">
        <v>2477534.399999998</v>
      </c>
      <c r="N131" s="133">
        <v>2101740.000000002</v>
      </c>
      <c r="O131" s="133"/>
      <c r="P131" s="147">
        <f t="shared" si="12"/>
        <v>22031224.800000004</v>
      </c>
    </row>
    <row r="132" spans="2:16" ht="12.75" outlineLevel="1">
      <c r="B132" s="134">
        <v>2005</v>
      </c>
      <c r="C132" s="133">
        <v>2264524.8</v>
      </c>
      <c r="D132" s="133">
        <v>1887660.0000000007</v>
      </c>
      <c r="E132" s="133">
        <v>1955774.4000000001</v>
      </c>
      <c r="F132" s="133">
        <v>1519394.4000000006</v>
      </c>
      <c r="G132" s="133">
        <v>1410506.3999999987</v>
      </c>
      <c r="H132" s="133">
        <v>1495075.1999999997</v>
      </c>
      <c r="I132" s="133">
        <v>1551158.3999999994</v>
      </c>
      <c r="J132" s="133">
        <v>1495725.5999999999</v>
      </c>
      <c r="K132" s="133">
        <v>1801159.1999999997</v>
      </c>
      <c r="L132" s="133">
        <v>3222239.9999999986</v>
      </c>
      <c r="M132" s="133">
        <v>1607959.2000000011</v>
      </c>
      <c r="N132" s="133">
        <v>2129001.599999998</v>
      </c>
      <c r="O132" s="133"/>
      <c r="P132" s="147">
        <f t="shared" si="12"/>
        <v>22340179.19999999</v>
      </c>
    </row>
    <row r="133" spans="2:16" ht="12.75" outlineLevel="1">
      <c r="B133" s="134">
        <v>2006</v>
      </c>
      <c r="C133" s="133">
        <v>1959144.000000002</v>
      </c>
      <c r="D133" s="133">
        <v>1844997.600000001</v>
      </c>
      <c r="E133" s="133">
        <v>1832368.799999999</v>
      </c>
      <c r="F133" s="133">
        <v>1510543.2000000007</v>
      </c>
      <c r="G133" s="133">
        <v>1386321.5999999985</v>
      </c>
      <c r="H133" s="133">
        <v>1351922.4000000015</v>
      </c>
      <c r="I133" s="133">
        <v>2482243.199999999</v>
      </c>
      <c r="J133" s="133">
        <v>3357607.2000000025</v>
      </c>
      <c r="K133" s="133">
        <v>3024866.4000000027</v>
      </c>
      <c r="L133" s="133">
        <v>3573506.3999999976</v>
      </c>
      <c r="M133" s="133">
        <v>3777931.2</v>
      </c>
      <c r="N133" s="133">
        <v>2206329.6049999995</v>
      </c>
      <c r="O133" s="133"/>
      <c r="P133" s="147">
        <f t="shared" si="12"/>
        <v>28307781.605000008</v>
      </c>
    </row>
    <row r="134" spans="2:16" ht="12.75" outlineLevel="1">
      <c r="B134" s="134">
        <v>2007</v>
      </c>
      <c r="C134" s="133">
        <v>2082081.5999999987</v>
      </c>
      <c r="D134" s="133">
        <v>2099570.3999999994</v>
      </c>
      <c r="E134" s="133">
        <v>1957108.7999999996</v>
      </c>
      <c r="F134" s="133">
        <v>1666298.4</v>
      </c>
      <c r="G134" s="133">
        <v>1390965.6000000008</v>
      </c>
      <c r="H134" s="133">
        <v>1424664.000000001</v>
      </c>
      <c r="I134" s="133">
        <v>1439232</v>
      </c>
      <c r="J134" s="133">
        <v>1500326.4000000001</v>
      </c>
      <c r="K134" s="133">
        <v>1311573.6000000003</v>
      </c>
      <c r="L134" s="133">
        <v>1647969.5999999982</v>
      </c>
      <c r="M134" s="133">
        <v>2155303.199999999</v>
      </c>
      <c r="N134" s="133">
        <v>2083291.199999998</v>
      </c>
      <c r="O134" s="133"/>
      <c r="P134" s="147">
        <f t="shared" si="12"/>
        <v>20758384.799999997</v>
      </c>
    </row>
    <row r="135" spans="2:16" ht="12.75" outlineLevel="1">
      <c r="B135" s="134">
        <v>2008</v>
      </c>
      <c r="C135" s="133">
        <v>2105027.999999998</v>
      </c>
      <c r="D135" s="133">
        <v>2026564.8000000014</v>
      </c>
      <c r="E135" s="133">
        <v>2015056.8000000017</v>
      </c>
      <c r="F135" s="133">
        <v>1476787.1999999988</v>
      </c>
      <c r="G135" s="133">
        <v>1370440.799999999</v>
      </c>
      <c r="H135" s="133">
        <v>1347777.5999999987</v>
      </c>
      <c r="I135" s="133">
        <v>1446791.9999999984</v>
      </c>
      <c r="J135" s="133">
        <v>1400640.0000000002</v>
      </c>
      <c r="K135" s="133">
        <v>1330823.9999999995</v>
      </c>
      <c r="L135" s="133">
        <v>1504012.7999999989</v>
      </c>
      <c r="M135" s="133">
        <v>1721042.4</v>
      </c>
      <c r="N135" s="133">
        <v>2141536.7999999993</v>
      </c>
      <c r="O135" s="133"/>
      <c r="P135" s="147">
        <f t="shared" si="12"/>
        <v>19886503.199999996</v>
      </c>
    </row>
    <row r="136" spans="2:16" ht="12.75" outlineLevel="1">
      <c r="B136" s="134">
        <v>2009</v>
      </c>
      <c r="C136" s="133">
        <v>2293562.3999999994</v>
      </c>
      <c r="D136" s="133">
        <v>1868623.1999999995</v>
      </c>
      <c r="E136" s="133">
        <v>1860717.6000000015</v>
      </c>
      <c r="F136" s="133">
        <v>1583426.3999999994</v>
      </c>
      <c r="G136" s="133">
        <v>1412090.3999999997</v>
      </c>
      <c r="H136" s="133">
        <v>1371242.4000000004</v>
      </c>
      <c r="I136" s="133">
        <v>1319349.599999999</v>
      </c>
      <c r="J136" s="50">
        <v>1341005</v>
      </c>
      <c r="K136" s="157">
        <v>0</v>
      </c>
      <c r="L136" s="157">
        <v>0</v>
      </c>
      <c r="M136" s="133">
        <v>98469.59999999999</v>
      </c>
      <c r="N136" s="133">
        <v>2037971.9999999984</v>
      </c>
      <c r="O136" s="133"/>
      <c r="P136" s="147">
        <f t="shared" si="12"/>
        <v>15186458.599999998</v>
      </c>
    </row>
    <row r="137" spans="2:16" ht="13.5" outlineLevel="1" thickBot="1">
      <c r="B137" s="140">
        <v>2010</v>
      </c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50">
        <f t="shared" si="12"/>
        <v>0</v>
      </c>
    </row>
  </sheetData>
  <sheetProtection/>
  <printOptions horizontalCentered="1"/>
  <pageMargins left="0.7" right="0.16" top="0.75" bottom="0.75" header="0.3" footer="0.3"/>
  <pageSetup fitToHeight="1" fitToWidth="1" horizontalDpi="600" verticalDpi="600" orientation="portrait" paperSize="5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 One Brampton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larseneau</dc:creator>
  <cp:keywords/>
  <dc:description/>
  <cp:lastModifiedBy>jrobinson</cp:lastModifiedBy>
  <cp:lastPrinted>2010-06-28T14:59:32Z</cp:lastPrinted>
  <dcterms:created xsi:type="dcterms:W3CDTF">2010-04-27T15:15:16Z</dcterms:created>
  <dcterms:modified xsi:type="dcterms:W3CDTF">2010-06-30T19:07:25Z</dcterms:modified>
  <cp:category/>
  <cp:version/>
  <cp:contentType/>
  <cp:contentStatus/>
</cp:coreProperties>
</file>